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320" windowHeight="10425" tabRatio="875" firstSheet="8" activeTab="4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成本逼近法4" sheetId="72" state="hidden" r:id="rId41"/>
    <sheet name="成本逼近法3" sheetId="71" state="hidden" r:id="rId42"/>
    <sheet name="成本逼近法2" sheetId="70" state="hidden" r:id="rId43"/>
    <sheet name="成本逼近法（0048）" sheetId="69" state="hidden" r:id="rId44"/>
    <sheet name="成本逼近法（014）" sheetId="79" state="hidden" r:id="rId45"/>
    <sheet name="成本逼近法（015）" sheetId="76" state="hidden" r:id="rId46"/>
    <sheet name="成本逼近法（051）" sheetId="77" r:id="rId47"/>
    <sheet name="成本逼近法（0011）" sheetId="78" state="hidden" r:id="rId48"/>
    <sheet name="Sheet1" sheetId="68" state="hidden" r:id="rId49"/>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1" i="77" l="1"/>
  <c r="B5" i="77" l="1"/>
  <c r="B2" i="77"/>
  <c r="C17" i="66"/>
  <c r="D17" i="66"/>
  <c r="F17" i="66" l="1"/>
  <c r="J17" i="66" s="1"/>
  <c r="B5" i="78"/>
  <c r="B2" i="78"/>
  <c r="I3" i="59" l="1"/>
  <c r="L3" i="59"/>
  <c r="B27" i="79" l="1"/>
  <c r="B29" i="79" s="1"/>
  <c r="C25" i="79" s="1"/>
  <c r="C21" i="79" s="1"/>
  <c r="I11" i="79"/>
  <c r="I10" i="79" s="1"/>
  <c r="I9" i="79" s="1"/>
  <c r="H26" i="76"/>
  <c r="I17" i="79" l="1"/>
  <c r="I18" i="79"/>
  <c r="I19" i="79" s="1"/>
  <c r="B27" i="69"/>
  <c r="B29" i="69" s="1"/>
  <c r="C25" i="69" s="1"/>
  <c r="C21" i="69" s="1"/>
  <c r="B27" i="76"/>
  <c r="B29" i="76" s="1"/>
  <c r="C25" i="76" s="1"/>
  <c r="B27" i="77"/>
  <c r="B29" i="77" s="1"/>
  <c r="C25" i="77" s="1"/>
  <c r="B27" i="78"/>
  <c r="B29" i="78" s="1"/>
  <c r="C25" i="78" s="1"/>
  <c r="I23" i="79" l="1"/>
  <c r="B4" i="79" s="1"/>
  <c r="B2" i="79" s="1"/>
  <c r="B5" i="79" s="1"/>
  <c r="I20" i="79"/>
  <c r="C21" i="78"/>
  <c r="I11" i="78"/>
  <c r="I10" i="78" s="1"/>
  <c r="I9" i="78" s="1"/>
  <c r="C21" i="77"/>
  <c r="I11" i="77"/>
  <c r="I10" i="77" s="1"/>
  <c r="I9" i="77" s="1"/>
  <c r="I17" i="78" l="1"/>
  <c r="I18" i="78"/>
  <c r="I19" i="78" s="1"/>
  <c r="I17" i="77"/>
  <c r="I18" i="77"/>
  <c r="I19" i="77" s="1"/>
  <c r="I23" i="78" l="1"/>
  <c r="B4" i="78" s="1"/>
  <c r="I20" i="78"/>
  <c r="I23" i="77"/>
  <c r="B4" i="77" s="1"/>
  <c r="I20" i="77"/>
  <c r="C21" i="76" l="1"/>
  <c r="I23" i="76" s="1"/>
  <c r="I11" i="76"/>
  <c r="I10" i="76" s="1"/>
  <c r="I9" i="76" s="1"/>
  <c r="I17" i="76" l="1"/>
  <c r="I18" i="76"/>
  <c r="I19" i="76" s="1"/>
  <c r="I17" i="69"/>
  <c r="B4" i="76" l="1"/>
  <c r="B2" i="76" s="1"/>
  <c r="I20" i="76"/>
  <c r="B5" i="76" l="1"/>
  <c r="I33" i="70"/>
  <c r="I33" i="71"/>
  <c r="C36" i="72"/>
  <c r="I32" i="72"/>
  <c r="E27" i="72" l="1"/>
  <c r="I33" i="72"/>
  <c r="C36" i="70" l="1"/>
  <c r="C36" i="71"/>
  <c r="I11" i="72"/>
  <c r="I10" i="72" s="1"/>
  <c r="G13" i="72"/>
  <c r="G14" i="72"/>
  <c r="G16" i="72"/>
  <c r="G17" i="72"/>
  <c r="G18" i="72"/>
  <c r="G19" i="72"/>
  <c r="G20" i="72"/>
  <c r="G21" i="72"/>
  <c r="G22" i="72"/>
  <c r="G24" i="72"/>
  <c r="G23" i="72" s="1"/>
  <c r="G25" i="72"/>
  <c r="G5" i="72"/>
  <c r="J2" i="72"/>
  <c r="J3" i="72" s="1"/>
  <c r="I11" i="71"/>
  <c r="I10" i="71" s="1"/>
  <c r="I9" i="71" s="1"/>
  <c r="G13" i="71"/>
  <c r="G14" i="71"/>
  <c r="G12" i="71" s="1"/>
  <c r="G16" i="71"/>
  <c r="G17" i="71"/>
  <c r="G18" i="71"/>
  <c r="G19" i="71"/>
  <c r="G20" i="71"/>
  <c r="G21" i="71"/>
  <c r="G22" i="71"/>
  <c r="G24" i="71"/>
  <c r="G25" i="71"/>
  <c r="G5" i="71"/>
  <c r="J2" i="71"/>
  <c r="J3" i="71" s="1"/>
  <c r="I11" i="70"/>
  <c r="I10" i="70" s="1"/>
  <c r="G13" i="70"/>
  <c r="G14" i="70"/>
  <c r="G16" i="70"/>
  <c r="G17" i="70"/>
  <c r="G18" i="70"/>
  <c r="G19" i="70"/>
  <c r="G20" i="70"/>
  <c r="G21" i="70"/>
  <c r="G22" i="70"/>
  <c r="G24" i="70"/>
  <c r="G23" i="70" s="1"/>
  <c r="G25" i="70"/>
  <c r="G5" i="70"/>
  <c r="J2" i="70"/>
  <c r="J3" i="70" s="1"/>
  <c r="I11" i="69"/>
  <c r="I10" i="69" s="1"/>
  <c r="I9" i="69" s="1"/>
  <c r="G33" i="68"/>
  <c r="G32" i="68"/>
  <c r="G31" i="68"/>
  <c r="G30" i="68"/>
  <c r="G22" i="68"/>
  <c r="G28" i="68"/>
  <c r="G27" i="68"/>
  <c r="G26" i="68"/>
  <c r="G21" i="68"/>
  <c r="G20" i="68"/>
  <c r="G19" i="68"/>
  <c r="I18" i="68"/>
  <c r="I19" i="68"/>
  <c r="I20" i="68"/>
  <c r="I21" i="68"/>
  <c r="I22" i="68"/>
  <c r="I23" i="68"/>
  <c r="I24" i="68"/>
  <c r="I11" i="68"/>
  <c r="I12" i="68"/>
  <c r="I14" i="68"/>
  <c r="I15" i="68"/>
  <c r="I16" i="68"/>
  <c r="I26" i="68"/>
  <c r="I25" i="68" s="1"/>
  <c r="I27" i="68"/>
  <c r="I28" i="68"/>
  <c r="I30" i="68"/>
  <c r="I31" i="68"/>
  <c r="I32" i="68"/>
  <c r="I33" i="68"/>
  <c r="I29" i="68"/>
  <c r="G5" i="68"/>
  <c r="G16" i="68"/>
  <c r="G15" i="68"/>
  <c r="G14" i="68"/>
  <c r="G13" i="68"/>
  <c r="C1" i="65"/>
  <c r="H1" i="65" s="1"/>
  <c r="BB13" i="3"/>
  <c r="BC13" i="3"/>
  <c r="BD13" i="3"/>
  <c r="BE13" i="3"/>
  <c r="BF13" i="3"/>
  <c r="BG13" i="3"/>
  <c r="BH13" i="3"/>
  <c r="BI13" i="3"/>
  <c r="BJ13" i="3"/>
  <c r="BK13" i="3"/>
  <c r="BA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L19" i="3" s="1"/>
  <c r="BO19" i="3"/>
  <c r="BP19" i="3"/>
  <c r="BQ19" i="3"/>
  <c r="BR19" i="3"/>
  <c r="BS19" i="3"/>
  <c r="BT19" i="3"/>
  <c r="BB20" i="3"/>
  <c r="BC20" i="3"/>
  <c r="BD20" i="3"/>
  <c r="BE20" i="3"/>
  <c r="BA20" i="3" s="1"/>
  <c r="AZ20" i="3" s="1"/>
  <c r="BF20" i="3"/>
  <c r="BG20" i="3"/>
  <c r="BH20" i="3"/>
  <c r="BI20" i="3"/>
  <c r="BJ20" i="3"/>
  <c r="BK20" i="3"/>
  <c r="BM20" i="3"/>
  <c r="BN20" i="3"/>
  <c r="BO20" i="3"/>
  <c r="BP20" i="3"/>
  <c r="BQ20" i="3"/>
  <c r="BR20" i="3"/>
  <c r="BS20" i="3"/>
  <c r="BT20" i="3"/>
  <c r="BL20" i="3"/>
  <c r="H13" i="3"/>
  <c r="H14" i="3"/>
  <c r="H15" i="3"/>
  <c r="H16" i="3"/>
  <c r="H17" i="3"/>
  <c r="H18" i="3"/>
  <c r="H19" i="3"/>
  <c r="H20" i="3"/>
  <c r="AH5" i="59"/>
  <c r="AG5" i="59"/>
  <c r="AE5" i="59"/>
  <c r="AF5" i="59" s="1"/>
  <c r="AD5" i="59"/>
  <c r="Q5" i="59"/>
  <c r="P5" i="59"/>
  <c r="O5" i="59"/>
  <c r="N5" i="59"/>
  <c r="F25" i="12"/>
  <c r="AH6" i="59"/>
  <c r="AG6" i="59"/>
  <c r="AE6" i="59"/>
  <c r="AF6" i="59"/>
  <c r="AD6" i="59"/>
  <c r="Q6" i="59"/>
  <c r="P6" i="59"/>
  <c r="O6" i="59"/>
  <c r="N6" i="59"/>
  <c r="M15" i="49"/>
  <c r="L15" i="49"/>
  <c r="K15" i="49"/>
  <c r="J15" i="49"/>
  <c r="I15" i="49"/>
  <c r="H15" i="49"/>
  <c r="G15" i="49"/>
  <c r="F15" i="49"/>
  <c r="E15" i="49"/>
  <c r="D15" i="49"/>
  <c r="C15" i="49"/>
  <c r="B15" i="49"/>
  <c r="AH7" i="59"/>
  <c r="AG7" i="59"/>
  <c r="AF7" i="59"/>
  <c r="AE7" i="59"/>
  <c r="AD7" i="59"/>
  <c r="Q7" i="59"/>
  <c r="P7" i="59"/>
  <c r="O7" i="59"/>
  <c r="N7" i="59"/>
  <c r="AH3" i="59"/>
  <c r="K3" i="59"/>
  <c r="AG3" i="59" s="1"/>
  <c r="J3" i="59"/>
  <c r="AE3" i="59"/>
  <c r="AF3" i="59"/>
  <c r="AH8" i="59"/>
  <c r="AG8" i="59"/>
  <c r="AE8" i="59"/>
  <c r="AF8" i="59" s="1"/>
  <c r="AD8" i="59"/>
  <c r="Q8" i="59"/>
  <c r="Q9" i="59"/>
  <c r="P8" i="59"/>
  <c r="P9" i="59"/>
  <c r="O8" i="59"/>
  <c r="O9" i="59"/>
  <c r="N8" i="59"/>
  <c r="N9" i="59"/>
  <c r="AH9" i="59"/>
  <c r="AG9" i="59"/>
  <c r="AE9" i="59"/>
  <c r="AF9" i="59"/>
  <c r="AD9" i="59"/>
  <c r="Q10" i="59"/>
  <c r="P10" i="59"/>
  <c r="O10" i="59"/>
  <c r="N10" i="59"/>
  <c r="M19" i="46"/>
  <c r="J50" i="15"/>
  <c r="J51" i="15"/>
  <c r="D12" i="59"/>
  <c r="AH10" i="59"/>
  <c r="AG10" i="59"/>
  <c r="AE10" i="59"/>
  <c r="AF10" i="59" s="1"/>
  <c r="AD10" i="59"/>
  <c r="AE11" i="59"/>
  <c r="AF11" i="59"/>
  <c r="AG11" i="59"/>
  <c r="AH11" i="59"/>
  <c r="AD11" i="59"/>
  <c r="Q11" i="59"/>
  <c r="P11" i="59"/>
  <c r="O11" i="59"/>
  <c r="N11" i="59"/>
  <c r="N12" i="59"/>
  <c r="Q12" i="59"/>
  <c r="P12" i="59"/>
  <c r="O12" i="59"/>
  <c r="L4" i="9"/>
  <c r="M4" i="9"/>
  <c r="A30" i="64"/>
  <c r="A30" i="51"/>
  <c r="K59" i="15"/>
  <c r="P62" i="15" s="1"/>
  <c r="P75" i="15"/>
  <c r="Q74" i="44"/>
  <c r="Q61" i="44"/>
  <c r="Q60" i="44"/>
  <c r="Q53" i="44"/>
  <c r="J51" i="44"/>
  <c r="J52" i="44" s="1"/>
  <c r="M48" i="44"/>
  <c r="A16" i="55"/>
  <c r="B67" i="63" s="1"/>
  <c r="A15" i="55"/>
  <c r="B66" i="63" s="1"/>
  <c r="A10" i="55"/>
  <c r="B61" i="63" s="1"/>
  <c r="A9" i="55"/>
  <c r="B60" i="63"/>
  <c r="A8" i="55"/>
  <c r="A6" i="54"/>
  <c r="A8" i="54"/>
  <c r="A7" i="54"/>
  <c r="A27" i="51"/>
  <c r="B20" i="63" s="1"/>
  <c r="Q13" i="59"/>
  <c r="O13" i="59"/>
  <c r="N14" i="59"/>
  <c r="O14" i="59"/>
  <c r="P14" i="59"/>
  <c r="Q14" i="59"/>
  <c r="N13" i="59"/>
  <c r="P13" i="59"/>
  <c r="F15" i="59"/>
  <c r="K75" i="9"/>
  <c r="K6" i="4"/>
  <c r="O76" i="9" s="1"/>
  <c r="L76" i="9"/>
  <c r="K76" i="9"/>
  <c r="B22" i="31"/>
  <c r="E18" i="66"/>
  <c r="F18" i="66"/>
  <c r="E19" i="66"/>
  <c r="F19" i="66"/>
  <c r="E20" i="66"/>
  <c r="F20" i="66"/>
  <c r="E21" i="66"/>
  <c r="F21" i="66"/>
  <c r="E22" i="66"/>
  <c r="F22" i="66"/>
  <c r="E23" i="66"/>
  <c r="F23" i="66"/>
  <c r="B3" i="66"/>
  <c r="E11" i="59"/>
  <c r="U11" i="59" s="1"/>
  <c r="E10" i="59"/>
  <c r="E9" i="59" s="1"/>
  <c r="E8" i="59" s="1"/>
  <c r="E7" i="59" s="1"/>
  <c r="F11" i="59"/>
  <c r="V11" i="59"/>
  <c r="AD3" i="59"/>
  <c r="AD12" i="59"/>
  <c r="AE12" i="59"/>
  <c r="AF12" i="59" s="1"/>
  <c r="AG12" i="59"/>
  <c r="AH12" i="59"/>
  <c r="AD13" i="59"/>
  <c r="AE13" i="59"/>
  <c r="AF13" i="59" s="1"/>
  <c r="AG13" i="59"/>
  <c r="AH13" i="59"/>
  <c r="AD14" i="59"/>
  <c r="AE14" i="59"/>
  <c r="AF14" i="59"/>
  <c r="AG14" i="59"/>
  <c r="AH14" i="59"/>
  <c r="AD15" i="59"/>
  <c r="AE15" i="59"/>
  <c r="AF15" i="59"/>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D21" i="59"/>
  <c r="AE21" i="59"/>
  <c r="AF21" i="59" s="1"/>
  <c r="AG21" i="59"/>
  <c r="AH21" i="59"/>
  <c r="AD22" i="59"/>
  <c r="AE22" i="59"/>
  <c r="AF22" i="59"/>
  <c r="AG22" i="59"/>
  <c r="AH22" i="59"/>
  <c r="AD23" i="59"/>
  <c r="AE23" i="59"/>
  <c r="AF23" i="59"/>
  <c r="AG23" i="59"/>
  <c r="AH23" i="59"/>
  <c r="AD24" i="59"/>
  <c r="AE24" i="59"/>
  <c r="AF24" i="59" s="1"/>
  <c r="AG24" i="59"/>
  <c r="AH24" i="59"/>
  <c r="AD25" i="59"/>
  <c r="AE25" i="59"/>
  <c r="AF25" i="59" s="1"/>
  <c r="AG25" i="59"/>
  <c r="AH25" i="59"/>
  <c r="AH26" i="59"/>
  <c r="AG26" i="59"/>
  <c r="AE26" i="59"/>
  <c r="AF26" i="59" s="1"/>
  <c r="AD26" i="59"/>
  <c r="AD27" i="59"/>
  <c r="AE27" i="59"/>
  <c r="AF27" i="59" s="1"/>
  <c r="AG27" i="59"/>
  <c r="AH27" i="59"/>
  <c r="S2" i="31"/>
  <c r="M2" i="31"/>
  <c r="N2" i="31"/>
  <c r="O2" i="31"/>
  <c r="P2" i="31"/>
  <c r="Q2" i="31"/>
  <c r="R2" i="31"/>
  <c r="C11" i="59"/>
  <c r="C3" i="65"/>
  <c r="N1" i="65"/>
  <c r="T11" i="59"/>
  <c r="D11" i="59"/>
  <c r="B76" i="63"/>
  <c r="M5" i="54"/>
  <c r="B41" i="63" s="1"/>
  <c r="A23" i="51"/>
  <c r="Y12" i="46"/>
  <c r="AA9" i="46"/>
  <c r="AB9" i="46"/>
  <c r="AB10" i="46" s="1"/>
  <c r="AC9" i="46"/>
  <c r="AC10" i="46" s="1"/>
  <c r="AD9" i="46"/>
  <c r="AD10" i="46"/>
  <c r="AE9" i="46"/>
  <c r="AF9" i="46"/>
  <c r="AF10" i="46" s="1"/>
  <c r="AG9" i="46"/>
  <c r="AG12" i="46" s="1"/>
  <c r="AH9" i="46"/>
  <c r="AH10" i="46" s="1"/>
  <c r="AI9" i="46"/>
  <c r="AJ9" i="46"/>
  <c r="AJ10" i="46"/>
  <c r="Z9" i="46"/>
  <c r="Z10" i="46" s="1"/>
  <c r="AI10" i="46"/>
  <c r="AG10" i="46"/>
  <c r="AE10" i="46"/>
  <c r="AA10" i="46"/>
  <c r="Y10" i="46"/>
  <c r="Z12" i="46"/>
  <c r="AI12" i="46"/>
  <c r="AE12" i="46"/>
  <c r="AC12" i="46"/>
  <c r="AA12" i="46"/>
  <c r="B73" i="63"/>
  <c r="A21" i="64"/>
  <c r="B75" i="63" s="1"/>
  <c r="A27" i="64"/>
  <c r="A15" i="64"/>
  <c r="A14" i="64"/>
  <c r="A11" i="64"/>
  <c r="A3" i="64"/>
  <c r="A45" i="9"/>
  <c r="A44" i="9"/>
  <c r="C57" i="10"/>
  <c r="A28" i="64" s="1"/>
  <c r="C56" i="10"/>
  <c r="C55" i="10"/>
  <c r="C54" i="10"/>
  <c r="B49" i="63"/>
  <c r="B44" i="63"/>
  <c r="B40" i="63"/>
  <c r="B30" i="63"/>
  <c r="B27" i="63"/>
  <c r="B25" i="63"/>
  <c r="A11" i="51"/>
  <c r="B10" i="63" s="1"/>
  <c r="K39" i="9"/>
  <c r="K40" i="9"/>
  <c r="B58" i="63"/>
  <c r="B53" i="63"/>
  <c r="B51" i="63"/>
  <c r="A46" i="9"/>
  <c r="K41" i="9"/>
  <c r="B8" i="63"/>
  <c r="A21" i="55"/>
  <c r="B71" i="63" s="1"/>
  <c r="A20" i="55"/>
  <c r="B69" i="63"/>
  <c r="B26" i="63"/>
  <c r="B28" i="63"/>
  <c r="B29" i="63"/>
  <c r="B31" i="63"/>
  <c r="B33" i="63"/>
  <c r="B35" i="63"/>
  <c r="B36" i="63"/>
  <c r="B37" i="63"/>
  <c r="B63" i="63"/>
  <c r="B64" i="63"/>
  <c r="B68" i="63"/>
  <c r="D51" i="10"/>
  <c r="B59" i="63"/>
  <c r="B51" i="10"/>
  <c r="B17" i="63"/>
  <c r="A15" i="51"/>
  <c r="B12" i="63" s="1"/>
  <c r="A14" i="51"/>
  <c r="B11" i="63"/>
  <c r="A4" i="55"/>
  <c r="B57" i="63" s="1"/>
  <c r="G5" i="54"/>
  <c r="B34" i="63"/>
  <c r="E5" i="54"/>
  <c r="B32" i="63"/>
  <c r="R2" i="54"/>
  <c r="B24" i="63"/>
  <c r="B49" i="50"/>
  <c r="B5" i="63"/>
  <c r="B40" i="50"/>
  <c r="B3" i="63" s="1"/>
  <c r="I19" i="46"/>
  <c r="Q15" i="59"/>
  <c r="P15" i="59"/>
  <c r="E15" i="59" s="1"/>
  <c r="O15" i="59"/>
  <c r="N15" i="59"/>
  <c r="B15" i="59" s="1"/>
  <c r="S15" i="59" s="1"/>
  <c r="D76" i="59"/>
  <c r="F75" i="59"/>
  <c r="F74" i="59" s="1"/>
  <c r="F73" i="59" s="1"/>
  <c r="E75" i="59"/>
  <c r="E74" i="59" s="1"/>
  <c r="E73" i="59" s="1"/>
  <c r="C75" i="59"/>
  <c r="D75" i="59"/>
  <c r="B75" i="59"/>
  <c r="B74" i="59"/>
  <c r="B73" i="59" s="1"/>
  <c r="D72" i="59"/>
  <c r="F71" i="59"/>
  <c r="F70" i="59" s="1"/>
  <c r="F69" i="59" s="1"/>
  <c r="E71" i="59"/>
  <c r="E70" i="59" s="1"/>
  <c r="E69" i="59" s="1"/>
  <c r="C71" i="59"/>
  <c r="C70" i="59" s="1"/>
  <c r="C69" i="59" s="1"/>
  <c r="D69" i="59" s="1"/>
  <c r="D71" i="59"/>
  <c r="B71" i="59"/>
  <c r="B70" i="59"/>
  <c r="B69" i="59" s="1"/>
  <c r="D68" i="59"/>
  <c r="Q67" i="59"/>
  <c r="P67" i="59"/>
  <c r="O67" i="59"/>
  <c r="N67" i="59"/>
  <c r="F67" i="59"/>
  <c r="V67" i="59"/>
  <c r="E67" i="59"/>
  <c r="U67" i="59"/>
  <c r="C67" i="59"/>
  <c r="D67" i="59" s="1"/>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s="1"/>
  <c r="E63" i="59"/>
  <c r="U63" i="59"/>
  <c r="C63" i="59"/>
  <c r="B63" i="59"/>
  <c r="S63" i="59"/>
  <c r="Q62" i="59"/>
  <c r="P62" i="59"/>
  <c r="O62" i="59"/>
  <c r="N62"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s="1"/>
  <c r="C55" i="59"/>
  <c r="D55" i="59" s="1"/>
  <c r="B55" i="59"/>
  <c r="F54" i="59"/>
  <c r="F53" i="59"/>
  <c r="Q52" i="59" s="1"/>
  <c r="Q53" i="59"/>
  <c r="D52" i="59"/>
  <c r="Q51" i="59"/>
  <c r="P51" i="59"/>
  <c r="O51" i="59"/>
  <c r="N51" i="59"/>
  <c r="Q50" i="59"/>
  <c r="P50" i="59"/>
  <c r="O50" i="59"/>
  <c r="N50" i="59"/>
  <c r="Q49" i="59"/>
  <c r="P49" i="59"/>
  <c r="O49" i="59"/>
  <c r="N49" i="59"/>
  <c r="Q48" i="59"/>
  <c r="F49" i="59" s="1"/>
  <c r="F50" i="59" s="1"/>
  <c r="F51" i="59" s="1"/>
  <c r="V51" i="59" s="1"/>
  <c r="P48" i="59"/>
  <c r="E49" i="59"/>
  <c r="E50" i="59"/>
  <c r="E51" i="59" s="1"/>
  <c r="U51" i="59" s="1"/>
  <c r="O48" i="59"/>
  <c r="C49" i="59"/>
  <c r="C50" i="59" s="1"/>
  <c r="C51" i="59" s="1"/>
  <c r="T51" i="59" s="1"/>
  <c r="N48" i="59"/>
  <c r="B49" i="59"/>
  <c r="B50" i="59"/>
  <c r="B51" i="59"/>
  <c r="S51" i="59" s="1"/>
  <c r="D48" i="59"/>
  <c r="Q47" i="59"/>
  <c r="P47" i="59"/>
  <c r="O47" i="59"/>
  <c r="N47" i="59"/>
  <c r="Q46" i="59"/>
  <c r="P46" i="59"/>
  <c r="O46" i="59"/>
  <c r="N46" i="59"/>
  <c r="Q45" i="59"/>
  <c r="P45" i="59"/>
  <c r="E46" i="59" s="1"/>
  <c r="E47" i="59" s="1"/>
  <c r="U47" i="59" s="1"/>
  <c r="O45" i="59"/>
  <c r="N45" i="59"/>
  <c r="Q44" i="59"/>
  <c r="F45" i="59"/>
  <c r="F46" i="59" s="1"/>
  <c r="F47" i="59" s="1"/>
  <c r="V47" i="59" s="1"/>
  <c r="P44" i="59"/>
  <c r="E45" i="59"/>
  <c r="O44" i="59"/>
  <c r="C45" i="59"/>
  <c r="C46" i="59" s="1"/>
  <c r="C47" i="59" s="1"/>
  <c r="T47" i="59" s="1"/>
  <c r="N44" i="59"/>
  <c r="B45" i="59" s="1"/>
  <c r="B46" i="59" s="1"/>
  <c r="B47" i="59" s="1"/>
  <c r="S47" i="59" s="1"/>
  <c r="D44" i="59"/>
  <c r="Q43" i="59"/>
  <c r="P43" i="59"/>
  <c r="O43" i="59"/>
  <c r="N43" i="59"/>
  <c r="Q42" i="59"/>
  <c r="P42" i="59"/>
  <c r="O42" i="59"/>
  <c r="N42" i="59"/>
  <c r="Q41" i="59"/>
  <c r="P41" i="59"/>
  <c r="O41" i="59"/>
  <c r="C42" i="59" s="1"/>
  <c r="C43" i="59" s="1"/>
  <c r="D43" i="59" s="1"/>
  <c r="N41" i="59"/>
  <c r="Q40" i="59"/>
  <c r="F41" i="59"/>
  <c r="P40" i="59"/>
  <c r="E41" i="59" s="1"/>
  <c r="E42" i="59" s="1"/>
  <c r="E43" i="59" s="1"/>
  <c r="U43" i="59"/>
  <c r="O40" i="59"/>
  <c r="C41" i="59"/>
  <c r="N40" i="59"/>
  <c r="B41" i="59"/>
  <c r="B42" i="59" s="1"/>
  <c r="B43" i="59" s="1"/>
  <c r="S43" i="59" s="1"/>
  <c r="D40" i="59"/>
  <c r="Q39" i="59"/>
  <c r="P39" i="59"/>
  <c r="O39" i="59"/>
  <c r="N39" i="59"/>
  <c r="Q38" i="59"/>
  <c r="P38" i="59"/>
  <c r="O38" i="59"/>
  <c r="N38" i="59"/>
  <c r="Q37" i="59"/>
  <c r="P37" i="59"/>
  <c r="O37" i="59"/>
  <c r="N37" i="59"/>
  <c r="B38" i="59" s="1"/>
  <c r="B39" i="59" s="1"/>
  <c r="S39" i="59" s="1"/>
  <c r="Q36" i="59"/>
  <c r="F37" i="59"/>
  <c r="F38" i="59"/>
  <c r="F39" i="59"/>
  <c r="V39" i="59" s="1"/>
  <c r="P36" i="59"/>
  <c r="E37" i="59"/>
  <c r="E38" i="59" s="1"/>
  <c r="E39" i="59" s="1"/>
  <c r="O36" i="59"/>
  <c r="C37" i="59" s="1"/>
  <c r="N36" i="59"/>
  <c r="B37" i="59"/>
  <c r="D36" i="59"/>
  <c r="T35" i="59"/>
  <c r="Q35" i="59"/>
  <c r="P35" i="59"/>
  <c r="O35" i="59"/>
  <c r="N35" i="59"/>
  <c r="D35" i="59"/>
  <c r="Q34" i="59"/>
  <c r="P34" i="59"/>
  <c r="O34" i="59"/>
  <c r="N34" i="59"/>
  <c r="Q33" i="59"/>
  <c r="P33" i="59"/>
  <c r="E34" i="59" s="1"/>
  <c r="O33" i="59"/>
  <c r="N33" i="59"/>
  <c r="Q32" i="59"/>
  <c r="F33" i="59"/>
  <c r="P32" i="59"/>
  <c r="E33" i="59"/>
  <c r="E35" i="59"/>
  <c r="U35" i="59" s="1"/>
  <c r="O32" i="59"/>
  <c r="C33" i="59"/>
  <c r="C34" i="59" s="1"/>
  <c r="D34" i="59" s="1"/>
  <c r="N32" i="59"/>
  <c r="B33" i="59" s="1"/>
  <c r="B34" i="59" s="1"/>
  <c r="B35" i="59" s="1"/>
  <c r="S35" i="59" s="1"/>
  <c r="D32" i="59"/>
  <c r="Q31" i="59"/>
  <c r="P31" i="59"/>
  <c r="O31" i="59"/>
  <c r="N31" i="59"/>
  <c r="Q30" i="59"/>
  <c r="P30" i="59"/>
  <c r="O30" i="59"/>
  <c r="N30" i="59"/>
  <c r="Q29" i="59"/>
  <c r="P29" i="59"/>
  <c r="O29" i="59"/>
  <c r="N29" i="59"/>
  <c r="Q28" i="59"/>
  <c r="F29" i="59"/>
  <c r="F30" i="59" s="1"/>
  <c r="F31" i="59" s="1"/>
  <c r="V31" i="59" s="1"/>
  <c r="P28" i="59"/>
  <c r="E29" i="59" s="1"/>
  <c r="E30" i="59" s="1"/>
  <c r="E31" i="59" s="1"/>
  <c r="U31" i="59" s="1"/>
  <c r="O28" i="59"/>
  <c r="C29" i="59"/>
  <c r="N28" i="59"/>
  <c r="B29" i="59"/>
  <c r="B30" i="59" s="1"/>
  <c r="B31" i="59" s="1"/>
  <c r="S31" i="59" s="1"/>
  <c r="D28" i="59"/>
  <c r="Q27" i="59"/>
  <c r="P27" i="59"/>
  <c r="O27" i="59"/>
  <c r="N27" i="59"/>
  <c r="Q26" i="59"/>
  <c r="AB26" i="59"/>
  <c r="P26" i="59"/>
  <c r="AA25" i="59" s="1"/>
  <c r="O26" i="59"/>
  <c r="Y26" i="59" s="1"/>
  <c r="Z26" i="59" s="1"/>
  <c r="N26" i="59"/>
  <c r="X26" i="59"/>
  <c r="Q25" i="59"/>
  <c r="AB25" i="59" s="1"/>
  <c r="P25" i="59"/>
  <c r="O25" i="59"/>
  <c r="N25" i="59"/>
  <c r="X25" i="59" s="1"/>
  <c r="Q24" i="59"/>
  <c r="AB24" i="59" s="1"/>
  <c r="F25" i="59"/>
  <c r="P24" i="59"/>
  <c r="AA24" i="59" s="1"/>
  <c r="E25" i="59"/>
  <c r="E26" i="59" s="1"/>
  <c r="E27" i="59" s="1"/>
  <c r="U27" i="59" s="1"/>
  <c r="O24" i="59"/>
  <c r="Y19" i="59" s="1"/>
  <c r="Z19" i="59" s="1"/>
  <c r="N24" i="59"/>
  <c r="X24" i="59" s="1"/>
  <c r="B25" i="59"/>
  <c r="B26" i="59"/>
  <c r="B27" i="59" s="1"/>
  <c r="S27" i="59" s="1"/>
  <c r="D24" i="59"/>
  <c r="Q23" i="59"/>
  <c r="AB23" i="59" s="1"/>
  <c r="P23" i="59"/>
  <c r="AA23" i="59" s="1"/>
  <c r="O23" i="59"/>
  <c r="N23" i="59"/>
  <c r="Q22" i="59"/>
  <c r="AB22" i="59" s="1"/>
  <c r="P22" i="59"/>
  <c r="AA22" i="59" s="1"/>
  <c r="O22" i="59"/>
  <c r="N22" i="59"/>
  <c r="Q21" i="59"/>
  <c r="AB21" i="59" s="1"/>
  <c r="P21" i="59"/>
  <c r="AA21" i="59" s="1"/>
  <c r="O21" i="59"/>
  <c r="N21" i="59"/>
  <c r="Q20" i="59"/>
  <c r="P20" i="59"/>
  <c r="E21" i="59"/>
  <c r="E22" i="59"/>
  <c r="E23" i="59" s="1"/>
  <c r="U23" i="59" s="1"/>
  <c r="O20" i="59"/>
  <c r="C21" i="59"/>
  <c r="N20" i="59"/>
  <c r="B21" i="59"/>
  <c r="B22" i="59"/>
  <c r="B23" i="59"/>
  <c r="S23" i="59" s="1"/>
  <c r="D20" i="59"/>
  <c r="Q19" i="59"/>
  <c r="P19" i="59"/>
  <c r="AA19" i="59" s="1"/>
  <c r="O19" i="59"/>
  <c r="N19" i="59"/>
  <c r="Q18" i="59"/>
  <c r="P18" i="59"/>
  <c r="AA18" i="59" s="1"/>
  <c r="O18" i="59"/>
  <c r="N18" i="59"/>
  <c r="Q17" i="59"/>
  <c r="P17" i="59"/>
  <c r="AA14" i="59" s="1"/>
  <c r="O17" i="59"/>
  <c r="N17" i="59"/>
  <c r="Q16" i="59"/>
  <c r="F17" i="59"/>
  <c r="F18" i="59" s="1"/>
  <c r="F19" i="59" s="1"/>
  <c r="V19" i="59" s="1"/>
  <c r="P16" i="59"/>
  <c r="O16" i="59"/>
  <c r="C17" i="59"/>
  <c r="D17" i="59" s="1"/>
  <c r="N16" i="59"/>
  <c r="X16" i="59" s="1"/>
  <c r="D16" i="59"/>
  <c r="AA15" i="59"/>
  <c r="E17" i="59"/>
  <c r="U39" i="59"/>
  <c r="AA26" i="59"/>
  <c r="F26" i="59"/>
  <c r="F27" i="59"/>
  <c r="V27" i="59"/>
  <c r="F34" i="59"/>
  <c r="F35" i="59" s="1"/>
  <c r="V35" i="59" s="1"/>
  <c r="F42" i="59"/>
  <c r="F43" i="59"/>
  <c r="V43" i="59" s="1"/>
  <c r="C18" i="59"/>
  <c r="C19" i="59" s="1"/>
  <c r="D19" i="59" s="1"/>
  <c r="C30" i="59"/>
  <c r="C31" i="59" s="1"/>
  <c r="D31" i="59" s="1"/>
  <c r="D29" i="59"/>
  <c r="D33" i="59"/>
  <c r="D41" i="59"/>
  <c r="D49" i="59"/>
  <c r="Q54" i="59"/>
  <c r="T55" i="59"/>
  <c r="O55" i="59"/>
  <c r="P55" i="59"/>
  <c r="Q55" i="59"/>
  <c r="C58" i="59"/>
  <c r="E58" i="59"/>
  <c r="E57" i="59" s="1"/>
  <c r="D59" i="59"/>
  <c r="E62" i="59"/>
  <c r="E61" i="59" s="1"/>
  <c r="E66" i="59"/>
  <c r="E65" i="59" s="1"/>
  <c r="C74" i="59"/>
  <c r="C73" i="59" s="1"/>
  <c r="D73" i="59" s="1"/>
  <c r="U16" i="4"/>
  <c r="S16" i="4"/>
  <c r="Q16" i="4"/>
  <c r="O16" i="4"/>
  <c r="M16" i="4"/>
  <c r="L16" i="4" s="1"/>
  <c r="K16" i="4"/>
  <c r="D74" i="59"/>
  <c r="D58" i="59"/>
  <c r="C57" i="59"/>
  <c r="D57" i="59"/>
  <c r="D70" i="59"/>
  <c r="D50" i="59"/>
  <c r="D46" i="59"/>
  <c r="D42" i="59"/>
  <c r="D30" i="59"/>
  <c r="D18" i="59"/>
  <c r="D47" i="59"/>
  <c r="T19" i="59"/>
  <c r="T43" i="59"/>
  <c r="O27" i="6"/>
  <c r="N27" i="6"/>
  <c r="P26" i="6"/>
  <c r="L26" i="6"/>
  <c r="P25" i="6"/>
  <c r="L25" i="6"/>
  <c r="P24" i="6"/>
  <c r="L24" i="6"/>
  <c r="P23" i="6"/>
  <c r="L23" i="6"/>
  <c r="P22" i="6"/>
  <c r="L22" i="6"/>
  <c r="P21" i="6"/>
  <c r="L21" i="6"/>
  <c r="P20" i="6"/>
  <c r="P19" i="6"/>
  <c r="P27" i="6" s="1"/>
  <c r="Q18" i="36"/>
  <c r="Z18" i="36" s="1"/>
  <c r="C18" i="36"/>
  <c r="D66" i="36"/>
  <c r="F18" i="36"/>
  <c r="AA18" i="36"/>
  <c r="Z18" i="35"/>
  <c r="Q18" i="35"/>
  <c r="F18" i="35"/>
  <c r="AA18" i="35"/>
  <c r="C18" i="35"/>
  <c r="D68" i="35"/>
  <c r="E68" i="35"/>
  <c r="F68" i="35"/>
  <c r="G68" i="35"/>
  <c r="Q21" i="37"/>
  <c r="Z21" i="37" s="1"/>
  <c r="F21" i="37"/>
  <c r="S21" i="37" s="1"/>
  <c r="C21" i="37"/>
  <c r="E77" i="37"/>
  <c r="F77" i="37"/>
  <c r="G77" i="37" s="1"/>
  <c r="D77" i="37"/>
  <c r="Q21" i="34"/>
  <c r="Z21" i="34" s="1"/>
  <c r="C21" i="34"/>
  <c r="D84" i="34"/>
  <c r="F21" i="34"/>
  <c r="S21" i="34" s="1"/>
  <c r="AA21" i="34"/>
  <c r="Z21" i="33"/>
  <c r="Q21" i="33"/>
  <c r="C21" i="33"/>
  <c r="D83" i="33"/>
  <c r="E83" i="33"/>
  <c r="F83" i="33" s="1"/>
  <c r="G83" i="33" s="1"/>
  <c r="Q21" i="21"/>
  <c r="Z21" i="21" s="1"/>
  <c r="D83" i="21"/>
  <c r="E83" i="21"/>
  <c r="F21" i="21"/>
  <c r="AA21" i="21" s="1"/>
  <c r="C21" i="21"/>
  <c r="Q27" i="40"/>
  <c r="Z27" i="40" s="1"/>
  <c r="D96" i="40"/>
  <c r="E96" i="40" s="1"/>
  <c r="F27" i="40"/>
  <c r="AA27" i="40"/>
  <c r="Z31" i="39"/>
  <c r="Q31" i="39"/>
  <c r="D105" i="39"/>
  <c r="E105" i="39"/>
  <c r="F31" i="39"/>
  <c r="AA31" i="39" s="1"/>
  <c r="G20" i="20"/>
  <c r="C27" i="40" s="1"/>
  <c r="C22" i="20"/>
  <c r="B65" i="46" s="1"/>
  <c r="S18" i="36"/>
  <c r="S18" i="35"/>
  <c r="S27" i="40"/>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s="1"/>
  <c r="C31" i="57"/>
  <c r="C32" i="57"/>
  <c r="I23" i="57"/>
  <c r="D20" i="57"/>
  <c r="I19" i="57"/>
  <c r="I18" i="57"/>
  <c r="I17" i="57"/>
  <c r="I20" i="57" s="1"/>
  <c r="E15" i="57"/>
  <c r="I14" i="57"/>
  <c r="I13" i="57"/>
  <c r="I12" i="57"/>
  <c r="I15" i="57" s="1"/>
  <c r="I9" i="57"/>
  <c r="I8" i="57"/>
  <c r="I7" i="57"/>
  <c r="I6" i="57"/>
  <c r="I5" i="57"/>
  <c r="I4" i="57"/>
  <c r="I3" i="57"/>
  <c r="I10" i="57" s="1"/>
  <c r="C30" i="57"/>
  <c r="E26" i="57"/>
  <c r="C112" i="9"/>
  <c r="C7" i="11"/>
  <c r="D1" i="46"/>
  <c r="F113" i="46"/>
  <c r="D99" i="46"/>
  <c r="D108" i="46"/>
  <c r="E99" i="46"/>
  <c r="E108" i="46" s="1"/>
  <c r="F99" i="46"/>
  <c r="F100" i="46"/>
  <c r="G99" i="46"/>
  <c r="G108" i="46" s="1"/>
  <c r="H99" i="46"/>
  <c r="H108" i="46"/>
  <c r="I99" i="46"/>
  <c r="I108" i="46" s="1"/>
  <c r="J99" i="46"/>
  <c r="J108" i="46"/>
  <c r="K99" i="46"/>
  <c r="K108" i="46" s="1"/>
  <c r="L99" i="46"/>
  <c r="L100" i="46"/>
  <c r="M99" i="46"/>
  <c r="M108" i="46" s="1"/>
  <c r="N99" i="46"/>
  <c r="N108" i="46"/>
  <c r="C99" i="46"/>
  <c r="C108" i="46" s="1"/>
  <c r="L108" i="46"/>
  <c r="K58" i="46"/>
  <c r="J58" i="46"/>
  <c r="D58" i="46"/>
  <c r="K50" i="46"/>
  <c r="D83" i="46"/>
  <c r="D77" i="46"/>
  <c r="B83" i="46"/>
  <c r="B82" i="46"/>
  <c r="B71" i="46"/>
  <c r="B60" i="46"/>
  <c r="B49" i="46"/>
  <c r="M87" i="46"/>
  <c r="N87" i="46"/>
  <c r="K87" i="46"/>
  <c r="J87" i="46" s="1"/>
  <c r="D87" i="46"/>
  <c r="M86" i="46"/>
  <c r="N86" i="46"/>
  <c r="D86" i="46"/>
  <c r="K86" i="46"/>
  <c r="J86" i="46"/>
  <c r="M85" i="46"/>
  <c r="N85" i="46" s="1"/>
  <c r="D85" i="46"/>
  <c r="K85" i="46"/>
  <c r="J85" i="46"/>
  <c r="M84" i="46"/>
  <c r="N84" i="46" s="1"/>
  <c r="K84" i="46"/>
  <c r="J84" i="46"/>
  <c r="M83" i="46"/>
  <c r="N83" i="46" s="1"/>
  <c r="K83" i="46"/>
  <c r="J83" i="46"/>
  <c r="M82" i="46"/>
  <c r="N82" i="46" s="1"/>
  <c r="K82" i="46"/>
  <c r="J82" i="46"/>
  <c r="D82" i="46"/>
  <c r="M81" i="46"/>
  <c r="N81" i="46"/>
  <c r="K81" i="46"/>
  <c r="J81" i="46" s="1"/>
  <c r="M80" i="46"/>
  <c r="N80" i="46"/>
  <c r="K80" i="46"/>
  <c r="J80" i="46" s="1"/>
  <c r="M77" i="46"/>
  <c r="N77" i="46"/>
  <c r="K77" i="46"/>
  <c r="J77" i="46" s="1"/>
  <c r="M76" i="46"/>
  <c r="N76" i="46"/>
  <c r="D76" i="46"/>
  <c r="K76" i="46"/>
  <c r="J76" i="46" s="1"/>
  <c r="M75" i="46"/>
  <c r="N75" i="46"/>
  <c r="K75" i="46"/>
  <c r="J75" i="46" s="1"/>
  <c r="M74" i="46"/>
  <c r="N74" i="46"/>
  <c r="K74" i="46"/>
  <c r="J74" i="46" s="1"/>
  <c r="D74" i="46"/>
  <c r="M73" i="46"/>
  <c r="D73" i="46"/>
  <c r="K73" i="46"/>
  <c r="J73" i="46"/>
  <c r="M72" i="46"/>
  <c r="N72" i="46" s="1"/>
  <c r="K72" i="46"/>
  <c r="J72" i="46"/>
  <c r="D72" i="46"/>
  <c r="M71" i="46"/>
  <c r="N71" i="46" s="1"/>
  <c r="K71" i="46"/>
  <c r="J71" i="46"/>
  <c r="M70" i="46"/>
  <c r="N70" i="46" s="1"/>
  <c r="K70" i="46"/>
  <c r="J70" i="46"/>
  <c r="D70" i="46"/>
  <c r="M69" i="46"/>
  <c r="N69" i="46"/>
  <c r="K69" i="46"/>
  <c r="J69" i="46" s="1"/>
  <c r="M66" i="46"/>
  <c r="N66" i="46"/>
  <c r="K66" i="46"/>
  <c r="J66" i="46" s="1"/>
  <c r="M65" i="46"/>
  <c r="N65" i="46" s="1"/>
  <c r="K65" i="46"/>
  <c r="J65" i="46"/>
  <c r="D65" i="46"/>
  <c r="M64" i="46"/>
  <c r="N64" i="46"/>
  <c r="K64" i="46"/>
  <c r="J64" i="46" s="1"/>
  <c r="D64" i="46"/>
  <c r="M63" i="46"/>
  <c r="N63" i="46"/>
  <c r="K63" i="46"/>
  <c r="J63" i="46" s="1"/>
  <c r="D63" i="46"/>
  <c r="M62" i="46"/>
  <c r="N62" i="46" s="1"/>
  <c r="K62" i="46"/>
  <c r="J62" i="46"/>
  <c r="D62" i="46"/>
  <c r="M61" i="46"/>
  <c r="N61" i="46" s="1"/>
  <c r="K61" i="46"/>
  <c r="J61" i="46"/>
  <c r="D61" i="46"/>
  <c r="M60" i="46"/>
  <c r="N60" i="46"/>
  <c r="K60" i="46"/>
  <c r="J60" i="46" s="1"/>
  <c r="D60" i="46"/>
  <c r="M59" i="46"/>
  <c r="N59" i="46"/>
  <c r="K59" i="46"/>
  <c r="J59" i="46" s="1"/>
  <c r="D59" i="46"/>
  <c r="M58" i="46"/>
  <c r="N58" i="46" s="1"/>
  <c r="M55" i="46"/>
  <c r="N55" i="46"/>
  <c r="K55" i="46"/>
  <c r="J55" i="46" s="1"/>
  <c r="M54" i="46"/>
  <c r="N54" i="46"/>
  <c r="K54" i="46"/>
  <c r="J54" i="46" s="1"/>
  <c r="M53" i="46"/>
  <c r="N53" i="46" s="1"/>
  <c r="K53" i="46"/>
  <c r="J53" i="46"/>
  <c r="D53" i="46"/>
  <c r="M52" i="46"/>
  <c r="N52" i="46"/>
  <c r="K52" i="46"/>
  <c r="J52" i="46" s="1"/>
  <c r="D52" i="46"/>
  <c r="M51" i="46"/>
  <c r="N51" i="46"/>
  <c r="K51" i="46"/>
  <c r="J51" i="46" s="1"/>
  <c r="M50" i="46"/>
  <c r="N50" i="46"/>
  <c r="M49" i="46"/>
  <c r="N49" i="46" s="1"/>
  <c r="K49" i="46"/>
  <c r="J49" i="46"/>
  <c r="D49" i="46"/>
  <c r="M48" i="46"/>
  <c r="N48" i="46"/>
  <c r="K48" i="46"/>
  <c r="J48" i="46" s="1"/>
  <c r="D48" i="46"/>
  <c r="M47" i="46"/>
  <c r="N47" i="46"/>
  <c r="K47" i="46"/>
  <c r="J47" i="46" s="1"/>
  <c r="D47" i="46"/>
  <c r="D51" i="46"/>
  <c r="D55" i="46"/>
  <c r="D80" i="46"/>
  <c r="D81" i="46"/>
  <c r="N73"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c r="A13" i="1"/>
  <c r="B13" i="1" s="1"/>
  <c r="E13" i="1" s="1"/>
  <c r="A7" i="1"/>
  <c r="A8" i="1"/>
  <c r="A9" i="1"/>
  <c r="A10" i="1"/>
  <c r="R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s="1"/>
  <c r="AZ103" i="3" s="1"/>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s="1"/>
  <c r="AZ100" i="3" s="1"/>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L97" i="3" s="1"/>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G95" i="3" s="1"/>
  <c r="H95" i="3"/>
  <c r="BT94" i="3"/>
  <c r="BS94" i="3"/>
  <c r="BR94" i="3"/>
  <c r="BQ94" i="3"/>
  <c r="BP94" i="3"/>
  <c r="BO94" i="3"/>
  <c r="BN94" i="3"/>
  <c r="BM94" i="3"/>
  <c r="BL94" i="3" s="1"/>
  <c r="BK94" i="3"/>
  <c r="BJ94" i="3"/>
  <c r="BI94" i="3"/>
  <c r="BH94" i="3"/>
  <c r="BG94" i="3"/>
  <c r="BF94" i="3"/>
  <c r="BE94" i="3"/>
  <c r="BD94" i="3"/>
  <c r="BC94" i="3"/>
  <c r="BA94" i="3" s="1"/>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G91" i="3" s="1"/>
  <c r="H91" i="3"/>
  <c r="BT90" i="3"/>
  <c r="BS90" i="3"/>
  <c r="BR90" i="3"/>
  <c r="BQ90" i="3"/>
  <c r="BP90" i="3"/>
  <c r="BO90" i="3"/>
  <c r="BN90" i="3"/>
  <c r="BM90" i="3"/>
  <c r="BK90" i="3"/>
  <c r="BJ90" i="3"/>
  <c r="BI90" i="3"/>
  <c r="BH90" i="3"/>
  <c r="BG90" i="3"/>
  <c r="BF90" i="3"/>
  <c r="BE90" i="3"/>
  <c r="BD90" i="3"/>
  <c r="BC90" i="3"/>
  <c r="BB90" i="3"/>
  <c r="BA90" i="3" s="1"/>
  <c r="AX90" i="3"/>
  <c r="AW90" i="3"/>
  <c r="AV90" i="3"/>
  <c r="AC90" i="3"/>
  <c r="G90" i="3" s="1"/>
  <c r="H90" i="3"/>
  <c r="BT89" i="3"/>
  <c r="BS89" i="3"/>
  <c r="BR89" i="3"/>
  <c r="BQ89" i="3"/>
  <c r="BP89" i="3"/>
  <c r="BO89" i="3"/>
  <c r="BN89" i="3"/>
  <c r="BM89" i="3"/>
  <c r="BL89" i="3"/>
  <c r="BK89" i="3"/>
  <c r="BJ89" i="3"/>
  <c r="BI89" i="3"/>
  <c r="BH89" i="3"/>
  <c r="BG89" i="3"/>
  <c r="BF89" i="3"/>
  <c r="BE89" i="3"/>
  <c r="BD89" i="3"/>
  <c r="BC89" i="3"/>
  <c r="BA89" i="3" s="1"/>
  <c r="AZ89" i="3" s="1"/>
  <c r="BB89" i="3"/>
  <c r="AX89" i="3"/>
  <c r="AW89" i="3"/>
  <c r="AV89" i="3"/>
  <c r="AC89" i="3"/>
  <c r="H89" i="3"/>
  <c r="BT88" i="3"/>
  <c r="BS88" i="3"/>
  <c r="BR88" i="3"/>
  <c r="BQ88" i="3"/>
  <c r="BP88" i="3"/>
  <c r="BO88" i="3"/>
  <c r="BN88" i="3"/>
  <c r="BL88" i="3" s="1"/>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Z62" i="3" s="1"/>
  <c r="AX62" i="3"/>
  <c r="AW62" i="3"/>
  <c r="AV62" i="3"/>
  <c r="AC62" i="3"/>
  <c r="G62" i="3" s="1"/>
  <c r="H62" i="3"/>
  <c r="BT61" i="3"/>
  <c r="BS61" i="3"/>
  <c r="BR61" i="3"/>
  <c r="BQ61" i="3"/>
  <c r="BP61" i="3"/>
  <c r="BO61" i="3"/>
  <c r="BN61" i="3"/>
  <c r="BM61" i="3"/>
  <c r="BL61" i="3" s="1"/>
  <c r="BK61" i="3"/>
  <c r="BJ61" i="3"/>
  <c r="BI61" i="3"/>
  <c r="BH61" i="3"/>
  <c r="BG61" i="3"/>
  <c r="BF61" i="3"/>
  <c r="BE61" i="3"/>
  <c r="BD61" i="3"/>
  <c r="BC61" i="3"/>
  <c r="BA61" i="3" s="1"/>
  <c r="AZ61" i="3" s="1"/>
  <c r="BB61" i="3"/>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BA57" i="3" s="1"/>
  <c r="AX57" i="3"/>
  <c r="AW57" i="3"/>
  <c r="AV57" i="3"/>
  <c r="AC57" i="3"/>
  <c r="G57" i="3" s="1"/>
  <c r="H57" i="3"/>
  <c r="BT56" i="3"/>
  <c r="BS56" i="3"/>
  <c r="BR56" i="3"/>
  <c r="BQ56" i="3"/>
  <c r="BP56" i="3"/>
  <c r="BO56" i="3"/>
  <c r="BN56" i="3"/>
  <c r="BM56" i="3"/>
  <c r="BL56" i="3" s="1"/>
  <c r="BK56" i="3"/>
  <c r="BJ56" i="3"/>
  <c r="BI56" i="3"/>
  <c r="BH56" i="3"/>
  <c r="BG56" i="3"/>
  <c r="BF56" i="3"/>
  <c r="BE56" i="3"/>
  <c r="BD56" i="3"/>
  <c r="BC56" i="3"/>
  <c r="BA56" i="3" s="1"/>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G46" i="3" s="1"/>
  <c r="H46" i="3"/>
  <c r="BT45" i="3"/>
  <c r="BS45" i="3"/>
  <c r="BR45" i="3"/>
  <c r="BQ45" i="3"/>
  <c r="BP45" i="3"/>
  <c r="BO45" i="3"/>
  <c r="BN45" i="3"/>
  <c r="BM45" i="3"/>
  <c r="BL45" i="3" s="1"/>
  <c r="BK45" i="3"/>
  <c r="BJ45" i="3"/>
  <c r="BI45" i="3"/>
  <c r="BH45" i="3"/>
  <c r="BG45" i="3"/>
  <c r="BF45" i="3"/>
  <c r="BE45" i="3"/>
  <c r="BD45" i="3"/>
  <c r="BC45" i="3"/>
  <c r="BA45" i="3" s="1"/>
  <c r="AZ45" i="3" s="1"/>
  <c r="BB45" i="3"/>
  <c r="AX45" i="3"/>
  <c r="AW45" i="3"/>
  <c r="AV45" i="3"/>
  <c r="AC45" i="3"/>
  <c r="H45" i="3"/>
  <c r="G45" i="3" s="1"/>
  <c r="BT44" i="3"/>
  <c r="BS44" i="3"/>
  <c r="BR44" i="3"/>
  <c r="BQ44" i="3"/>
  <c r="BP44" i="3"/>
  <c r="BO44" i="3"/>
  <c r="BN44" i="3"/>
  <c r="BL44" i="3" s="1"/>
  <c r="BM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L42" i="3" s="1"/>
  <c r="BK42" i="3"/>
  <c r="BJ42" i="3"/>
  <c r="BI42" i="3"/>
  <c r="BH42" i="3"/>
  <c r="BG42" i="3"/>
  <c r="BF42" i="3"/>
  <c r="BE42" i="3"/>
  <c r="BD42" i="3"/>
  <c r="BC42" i="3"/>
  <c r="BA42" i="3" s="1"/>
  <c r="AZ42" i="3" s="1"/>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G40" i="3" s="1"/>
  <c r="H40" i="3"/>
  <c r="BT39" i="3"/>
  <c r="BS39" i="3"/>
  <c r="BR39" i="3"/>
  <c r="BQ39" i="3"/>
  <c r="BP39" i="3"/>
  <c r="BO39" i="3"/>
  <c r="BN39" i="3"/>
  <c r="BM39" i="3"/>
  <c r="BL39" i="3" s="1"/>
  <c r="BK39" i="3"/>
  <c r="BJ39" i="3"/>
  <c r="BI39" i="3"/>
  <c r="BH39" i="3"/>
  <c r="BG39" i="3"/>
  <c r="BF39" i="3"/>
  <c r="BE39" i="3"/>
  <c r="BD39" i="3"/>
  <c r="BC39" i="3"/>
  <c r="BA39" i="3" s="1"/>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G37" i="3" s="1"/>
  <c r="H37" i="3"/>
  <c r="BT36" i="3"/>
  <c r="BS36" i="3"/>
  <c r="BR36" i="3"/>
  <c r="BQ36" i="3"/>
  <c r="BP36" i="3"/>
  <c r="BO36" i="3"/>
  <c r="BN36" i="3"/>
  <c r="BM36" i="3"/>
  <c r="BL36" i="3" s="1"/>
  <c r="BK36" i="3"/>
  <c r="BJ36" i="3"/>
  <c r="BI36" i="3"/>
  <c r="BH36" i="3"/>
  <c r="BG36" i="3"/>
  <c r="BF36" i="3"/>
  <c r="BE36" i="3"/>
  <c r="BD36" i="3"/>
  <c r="BC36" i="3"/>
  <c r="BA36" i="3" s="1"/>
  <c r="AZ36" i="3" s="1"/>
  <c r="BB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G34" i="3" s="1"/>
  <c r="H34" i="3"/>
  <c r="BT33" i="3"/>
  <c r="BS33" i="3"/>
  <c r="BR33" i="3"/>
  <c r="BQ33" i="3"/>
  <c r="BP33" i="3"/>
  <c r="BO33" i="3"/>
  <c r="BN33" i="3"/>
  <c r="BM33" i="3"/>
  <c r="BL33" i="3" s="1"/>
  <c r="BK33" i="3"/>
  <c r="BJ33" i="3"/>
  <c r="BI33" i="3"/>
  <c r="BH33" i="3"/>
  <c r="BG33" i="3"/>
  <c r="BF33" i="3"/>
  <c r="BE33" i="3"/>
  <c r="BD33" i="3"/>
  <c r="BC33" i="3"/>
  <c r="BA33" i="3" s="1"/>
  <c r="AZ33" i="3" s="1"/>
  <c r="BB33" i="3"/>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G28" i="3" s="1"/>
  <c r="H28" i="3"/>
  <c r="BT27" i="3"/>
  <c r="BS27" i="3"/>
  <c r="BR27" i="3"/>
  <c r="BQ27" i="3"/>
  <c r="BP27" i="3"/>
  <c r="BO27" i="3"/>
  <c r="BN27" i="3"/>
  <c r="BM27" i="3"/>
  <c r="BL27" i="3" s="1"/>
  <c r="BK27" i="3"/>
  <c r="BJ27" i="3"/>
  <c r="BI27" i="3"/>
  <c r="BH27" i="3"/>
  <c r="BG27" i="3"/>
  <c r="BF27" i="3"/>
  <c r="BE27" i="3"/>
  <c r="BD27" i="3"/>
  <c r="BC27" i="3"/>
  <c r="BA27" i="3" s="1"/>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G25" i="3" s="1"/>
  <c r="H25" i="3"/>
  <c r="BT24" i="3"/>
  <c r="BS24" i="3"/>
  <c r="BR24" i="3"/>
  <c r="BQ24" i="3"/>
  <c r="BP24" i="3"/>
  <c r="BO24" i="3"/>
  <c r="BN24" i="3"/>
  <c r="BM24" i="3"/>
  <c r="BL24" i="3" s="1"/>
  <c r="BK24" i="3"/>
  <c r="BJ24" i="3"/>
  <c r="BI24" i="3"/>
  <c r="BH24" i="3"/>
  <c r="BG24" i="3"/>
  <c r="BF24" i="3"/>
  <c r="BE24" i="3"/>
  <c r="BD24" i="3"/>
  <c r="BC24" i="3"/>
  <c r="BA24" i="3" s="1"/>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G23" i="3" s="1"/>
  <c r="H23" i="3"/>
  <c r="BT22" i="3"/>
  <c r="BS22" i="3"/>
  <c r="BR22" i="3"/>
  <c r="BQ22" i="3"/>
  <c r="BP22" i="3"/>
  <c r="BO22" i="3"/>
  <c r="BN22" i="3"/>
  <c r="BM22" i="3"/>
  <c r="BL22" i="3" s="1"/>
  <c r="BK22" i="3"/>
  <c r="BJ22" i="3"/>
  <c r="BI22" i="3"/>
  <c r="BH22" i="3"/>
  <c r="BG22" i="3"/>
  <c r="BF22" i="3"/>
  <c r="BE22" i="3"/>
  <c r="BD22" i="3"/>
  <c r="BC22" i="3"/>
  <c r="BA22" i="3" s="1"/>
  <c r="AZ22" i="3" s="1"/>
  <c r="BB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L199" i="3" s="1"/>
  <c r="BK199" i="3"/>
  <c r="BJ199" i="3"/>
  <c r="BI199" i="3"/>
  <c r="BH199" i="3"/>
  <c r="BG199" i="3"/>
  <c r="BF199" i="3"/>
  <c r="BE199" i="3"/>
  <c r="BD199" i="3"/>
  <c r="BC199" i="3"/>
  <c r="BA199" i="3" s="1"/>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G195" i="3" s="1"/>
  <c r="H195" i="3"/>
  <c r="BT194" i="3"/>
  <c r="BS194" i="3"/>
  <c r="BR194" i="3"/>
  <c r="BQ194" i="3"/>
  <c r="BP194" i="3"/>
  <c r="BO194" i="3"/>
  <c r="BN194" i="3"/>
  <c r="BM194" i="3"/>
  <c r="BL194" i="3" s="1"/>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L191" i="3" s="1"/>
  <c r="BK191" i="3"/>
  <c r="BJ191" i="3"/>
  <c r="BI191" i="3"/>
  <c r="BH191" i="3"/>
  <c r="BG191" i="3"/>
  <c r="BF191" i="3"/>
  <c r="BE191" i="3"/>
  <c r="BD191" i="3"/>
  <c r="BC191" i="3"/>
  <c r="BA191" i="3" s="1"/>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G187" i="3" s="1"/>
  <c r="H187" i="3"/>
  <c r="BT186" i="3"/>
  <c r="BS186" i="3"/>
  <c r="BR186" i="3"/>
  <c r="BQ186" i="3"/>
  <c r="BP186" i="3"/>
  <c r="BO186" i="3"/>
  <c r="BN186" i="3"/>
  <c r="BM186" i="3"/>
  <c r="BL186" i="3" s="1"/>
  <c r="BK186" i="3"/>
  <c r="BJ186" i="3"/>
  <c r="BI186" i="3"/>
  <c r="BH186" i="3"/>
  <c r="BG186" i="3"/>
  <c r="BF186" i="3"/>
  <c r="BE186" i="3"/>
  <c r="BD186" i="3"/>
  <c r="BC186" i="3"/>
  <c r="BA186" i="3" s="1"/>
  <c r="AZ186" i="3" s="1"/>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L183" i="3" s="1"/>
  <c r="BK183" i="3"/>
  <c r="BJ183" i="3"/>
  <c r="BI183" i="3"/>
  <c r="BH183" i="3"/>
  <c r="BG183" i="3"/>
  <c r="BF183" i="3"/>
  <c r="BE183" i="3"/>
  <c r="BD183" i="3"/>
  <c r="BC183" i="3"/>
  <c r="BA183" i="3" s="1"/>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L177" i="3" s="1"/>
  <c r="BK177" i="3"/>
  <c r="BJ177" i="3"/>
  <c r="BI177" i="3"/>
  <c r="BH177" i="3"/>
  <c r="BG177" i="3"/>
  <c r="BF177" i="3"/>
  <c r="BE177" i="3"/>
  <c r="BD177" i="3"/>
  <c r="BC177" i="3"/>
  <c r="BA177" i="3" s="1"/>
  <c r="BB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G172" i="3" s="1"/>
  <c r="H172" i="3"/>
  <c r="BT171" i="3"/>
  <c r="BS171" i="3"/>
  <c r="BR171" i="3"/>
  <c r="BQ171" i="3"/>
  <c r="BP171" i="3"/>
  <c r="BO171" i="3"/>
  <c r="BN171" i="3"/>
  <c r="BM171" i="3"/>
  <c r="BL171" i="3" s="1"/>
  <c r="BK171" i="3"/>
  <c r="BJ171" i="3"/>
  <c r="BI171" i="3"/>
  <c r="BH171" i="3"/>
  <c r="BG171" i="3"/>
  <c r="BF171" i="3"/>
  <c r="BE171" i="3"/>
  <c r="BD171" i="3"/>
  <c r="BC171" i="3"/>
  <c r="BA171" i="3" s="1"/>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L156" i="3" s="1"/>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G147" i="3" s="1"/>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s="1"/>
  <c r="BK121" i="3"/>
  <c r="BJ121" i="3"/>
  <c r="BI121" i="3"/>
  <c r="BH121" i="3"/>
  <c r="BG121" i="3"/>
  <c r="BF121" i="3"/>
  <c r="BE121" i="3"/>
  <c r="BD121" i="3"/>
  <c r="BC121" i="3"/>
  <c r="BA121" i="3" s="1"/>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G115" i="3" s="1"/>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G113" i="3" s="1"/>
  <c r="H113" i="3"/>
  <c r="BT296" i="3"/>
  <c r="BS296" i="3"/>
  <c r="BR296" i="3"/>
  <c r="BQ296" i="3"/>
  <c r="BP296" i="3"/>
  <c r="BO296" i="3"/>
  <c r="BN296" i="3"/>
  <c r="BM296" i="3"/>
  <c r="BL296" i="3" s="1"/>
  <c r="BK296" i="3"/>
  <c r="BJ296" i="3"/>
  <c r="BI296" i="3"/>
  <c r="BH296" i="3"/>
  <c r="BG296" i="3"/>
  <c r="BF296" i="3"/>
  <c r="BE296" i="3"/>
  <c r="BD296" i="3"/>
  <c r="BC296" i="3"/>
  <c r="BA296" i="3" s="1"/>
  <c r="AZ296" i="3" s="1"/>
  <c r="BB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L275" i="3" s="1"/>
  <c r="BN275" i="3"/>
  <c r="BM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A273" i="3" s="1"/>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G262" i="3" s="1"/>
  <c r="H262" i="3"/>
  <c r="BT261" i="3"/>
  <c r="BS261" i="3"/>
  <c r="BR261" i="3"/>
  <c r="BQ261" i="3"/>
  <c r="BP261" i="3"/>
  <c r="BO261" i="3"/>
  <c r="BN261" i="3"/>
  <c r="BM261" i="3"/>
  <c r="BL261" i="3" s="1"/>
  <c r="BK261" i="3"/>
  <c r="BJ261" i="3"/>
  <c r="BI261" i="3"/>
  <c r="BH261" i="3"/>
  <c r="BG261" i="3"/>
  <c r="BF261" i="3"/>
  <c r="BE261" i="3"/>
  <c r="BD261" i="3"/>
  <c r="BC261" i="3"/>
  <c r="BA261" i="3" s="1"/>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A259" i="3" s="1"/>
  <c r="BB259" i="3"/>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G257" i="3" s="1"/>
  <c r="H257" i="3"/>
  <c r="BT256" i="3"/>
  <c r="BS256" i="3"/>
  <c r="BR256" i="3"/>
  <c r="BQ256" i="3"/>
  <c r="BP256" i="3"/>
  <c r="BO256" i="3"/>
  <c r="BN256" i="3"/>
  <c r="BM256" i="3"/>
  <c r="BL256" i="3" s="1"/>
  <c r="BK256" i="3"/>
  <c r="BJ256" i="3"/>
  <c r="BI256" i="3"/>
  <c r="BH256" i="3"/>
  <c r="BG256" i="3"/>
  <c r="BF256" i="3"/>
  <c r="BE256" i="3"/>
  <c r="BD256" i="3"/>
  <c r="BC256" i="3"/>
  <c r="BA256" i="3" s="1"/>
  <c r="BB256" i="3"/>
  <c r="AX256" i="3"/>
  <c r="AW256" i="3"/>
  <c r="AV256" i="3"/>
  <c r="AC256" i="3"/>
  <c r="H256" i="3"/>
  <c r="G256" i="3" s="1"/>
  <c r="BT255" i="3"/>
  <c r="BS255" i="3"/>
  <c r="BR255" i="3"/>
  <c r="BQ255" i="3"/>
  <c r="BP255" i="3"/>
  <c r="BO255" i="3"/>
  <c r="BN255" i="3"/>
  <c r="BL255" i="3" s="1"/>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G254" i="3" s="1"/>
  <c r="H254" i="3"/>
  <c r="BT253" i="3"/>
  <c r="BS253" i="3"/>
  <c r="BR253" i="3"/>
  <c r="BQ253" i="3"/>
  <c r="BP253" i="3"/>
  <c r="BO253" i="3"/>
  <c r="BN253" i="3"/>
  <c r="BM253" i="3"/>
  <c r="BL253" i="3" s="1"/>
  <c r="BK253" i="3"/>
  <c r="BJ253" i="3"/>
  <c r="BI253" i="3"/>
  <c r="BH253" i="3"/>
  <c r="BG253" i="3"/>
  <c r="BF253" i="3"/>
  <c r="BE253" i="3"/>
  <c r="BD253" i="3"/>
  <c r="BC253" i="3"/>
  <c r="BA253" i="3" s="1"/>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G252" i="3" s="1"/>
  <c r="H252" i="3"/>
  <c r="BT251" i="3"/>
  <c r="BS251" i="3"/>
  <c r="BR251" i="3"/>
  <c r="BQ251" i="3"/>
  <c r="BP251" i="3"/>
  <c r="BO251" i="3"/>
  <c r="BN251" i="3"/>
  <c r="BM251" i="3"/>
  <c r="BL251" i="3" s="1"/>
  <c r="BK251" i="3"/>
  <c r="BJ251" i="3"/>
  <c r="BI251" i="3"/>
  <c r="BH251" i="3"/>
  <c r="BG251" i="3"/>
  <c r="BF251" i="3"/>
  <c r="BE251" i="3"/>
  <c r="BD251" i="3"/>
  <c r="BC251" i="3"/>
  <c r="BA251" i="3" s="1"/>
  <c r="AZ251" i="3" s="1"/>
  <c r="BB251" i="3"/>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G249" i="3" s="1"/>
  <c r="H249" i="3"/>
  <c r="BT248" i="3"/>
  <c r="BS248" i="3"/>
  <c r="BR248" i="3"/>
  <c r="BQ248" i="3"/>
  <c r="BP248" i="3"/>
  <c r="BO248" i="3"/>
  <c r="BL248" i="3" s="1"/>
  <c r="BN248" i="3"/>
  <c r="BM248" i="3"/>
  <c r="BK248" i="3"/>
  <c r="BJ248" i="3"/>
  <c r="BI248" i="3"/>
  <c r="BH248" i="3"/>
  <c r="BG248" i="3"/>
  <c r="BF248" i="3"/>
  <c r="BE248" i="3"/>
  <c r="BD248" i="3"/>
  <c r="BC248" i="3"/>
  <c r="BA248" i="3" s="1"/>
  <c r="BB248" i="3"/>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G246" i="3" s="1"/>
  <c r="H246" i="3"/>
  <c r="BT245" i="3"/>
  <c r="BS245" i="3"/>
  <c r="BR245" i="3"/>
  <c r="BQ245" i="3"/>
  <c r="BP245" i="3"/>
  <c r="BO245" i="3"/>
  <c r="BL245" i="3" s="1"/>
  <c r="BN245" i="3"/>
  <c r="BM245" i="3"/>
  <c r="BK245" i="3"/>
  <c r="BJ245" i="3"/>
  <c r="BI245" i="3"/>
  <c r="BH245" i="3"/>
  <c r="BG245" i="3"/>
  <c r="BF245" i="3"/>
  <c r="BE245" i="3"/>
  <c r="BD245" i="3"/>
  <c r="BC245" i="3"/>
  <c r="BA245" i="3" s="1"/>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G244" i="3" s="1"/>
  <c r="H244" i="3"/>
  <c r="BT243" i="3"/>
  <c r="BS243" i="3"/>
  <c r="BR243" i="3"/>
  <c r="BQ243" i="3"/>
  <c r="BP243" i="3"/>
  <c r="BO243" i="3"/>
  <c r="BL243" i="3" s="1"/>
  <c r="BN243" i="3"/>
  <c r="BM243" i="3"/>
  <c r="BK243" i="3"/>
  <c r="BJ243" i="3"/>
  <c r="BI243" i="3"/>
  <c r="BH243" i="3"/>
  <c r="BG243" i="3"/>
  <c r="BF243" i="3"/>
  <c r="BE243" i="3"/>
  <c r="BD243" i="3"/>
  <c r="BC243" i="3"/>
  <c r="BA243" i="3" s="1"/>
  <c r="AZ243" i="3" s="1"/>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G241" i="3" s="1"/>
  <c r="H241" i="3"/>
  <c r="BT240" i="3"/>
  <c r="BS240" i="3"/>
  <c r="BR240" i="3"/>
  <c r="BQ240" i="3"/>
  <c r="BP240" i="3"/>
  <c r="BO240" i="3"/>
  <c r="BL240" i="3" s="1"/>
  <c r="BN240" i="3"/>
  <c r="BM240" i="3"/>
  <c r="BK240" i="3"/>
  <c r="BJ240" i="3"/>
  <c r="BI240" i="3"/>
  <c r="BH240" i="3"/>
  <c r="BG240" i="3"/>
  <c r="BF240" i="3"/>
  <c r="BE240" i="3"/>
  <c r="BD240" i="3"/>
  <c r="BC240" i="3"/>
  <c r="BA240" i="3" s="1"/>
  <c r="AZ240" i="3" s="1"/>
  <c r="BB240" i="3"/>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A238" i="3" s="1"/>
  <c r="AZ238" i="3" s="1"/>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N230" i="3"/>
  <c r="BM230" i="3"/>
  <c r="BL230" i="3"/>
  <c r="BK230" i="3"/>
  <c r="BJ230" i="3"/>
  <c r="BI230" i="3"/>
  <c r="BH230" i="3"/>
  <c r="BG230" i="3"/>
  <c r="BF230" i="3"/>
  <c r="BE230" i="3"/>
  <c r="BD230" i="3"/>
  <c r="BC230" i="3"/>
  <c r="BA230" i="3" s="1"/>
  <c r="AZ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C222" i="3"/>
  <c r="BA222" i="3" s="1"/>
  <c r="AZ222" i="3" s="1"/>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G215" i="3" s="1"/>
  <c r="H215" i="3"/>
  <c r="BT214" i="3"/>
  <c r="BS214" i="3"/>
  <c r="BR214" i="3"/>
  <c r="BQ214" i="3"/>
  <c r="BP214" i="3"/>
  <c r="BO214" i="3"/>
  <c r="BN214" i="3"/>
  <c r="BM214" i="3"/>
  <c r="BL214" i="3"/>
  <c r="BK214" i="3"/>
  <c r="BJ214" i="3"/>
  <c r="BI214" i="3"/>
  <c r="BH214" i="3"/>
  <c r="BG214" i="3"/>
  <c r="BF214" i="3"/>
  <c r="BE214" i="3"/>
  <c r="BD214" i="3"/>
  <c r="BC214" i="3"/>
  <c r="BA214" i="3" s="1"/>
  <c r="AZ214" i="3" s="1"/>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G207" i="3" s="1"/>
  <c r="H207" i="3"/>
  <c r="BT206" i="3"/>
  <c r="BS206" i="3"/>
  <c r="BR206" i="3"/>
  <c r="BQ206" i="3"/>
  <c r="BP206" i="3"/>
  <c r="BO206" i="3"/>
  <c r="BN206" i="3"/>
  <c r="BM206" i="3"/>
  <c r="BL206" i="3"/>
  <c r="BK206" i="3"/>
  <c r="BJ206" i="3"/>
  <c r="BI206" i="3"/>
  <c r="BH206" i="3"/>
  <c r="BG206" i="3"/>
  <c r="BF206" i="3"/>
  <c r="BE206" i="3"/>
  <c r="BD206" i="3"/>
  <c r="BC206" i="3"/>
  <c r="BA206" i="3" s="1"/>
  <c r="AZ206" i="3" s="1"/>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L387" i="3" s="1"/>
  <c r="BM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L376" i="3" s="1"/>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G375" i="3" s="1"/>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A371" i="3" s="1"/>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L360" i="3" s="1"/>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A357" i="3" s="1"/>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L350" i="3" s="1"/>
  <c r="BN350" i="3"/>
  <c r="BM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L334" i="3" s="1"/>
  <c r="BN334" i="3"/>
  <c r="BM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A333" i="3" s="1"/>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L318" i="3" s="1"/>
  <c r="BN318" i="3"/>
  <c r="BM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A317" i="3" s="1"/>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A309" i="3" s="1"/>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L478" i="3" s="1"/>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s="1"/>
  <c r="AZ476" i="3" s="1"/>
  <c r="BC476" i="3"/>
  <c r="BB476" i="3"/>
  <c r="AX476" i="3"/>
  <c r="AW476" i="3"/>
  <c r="AV476" i="3"/>
  <c r="AC476" i="3"/>
  <c r="H476" i="3"/>
  <c r="G476" i="3" s="1"/>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L473" i="3" s="1"/>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L470" i="3" s="1"/>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H468" i="3"/>
  <c r="G468" i="3" s="1"/>
  <c r="BT467" i="3"/>
  <c r="BS467" i="3"/>
  <c r="BR467" i="3"/>
  <c r="BQ467" i="3"/>
  <c r="BP467" i="3"/>
  <c r="BO467" i="3"/>
  <c r="BL467" i="3" s="1"/>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AZ460" i="3" s="1"/>
  <c r="BC460" i="3"/>
  <c r="BB460" i="3"/>
  <c r="AX460" i="3"/>
  <c r="AW460" i="3"/>
  <c r="AV460" i="3"/>
  <c r="AC460" i="3"/>
  <c r="H460" i="3"/>
  <c r="BT459" i="3"/>
  <c r="BS459" i="3"/>
  <c r="BR459" i="3"/>
  <c r="BQ459" i="3"/>
  <c r="BP459" i="3"/>
  <c r="BO459" i="3"/>
  <c r="BL459" i="3" s="1"/>
  <c r="BN459" i="3"/>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L452" i="3" s="1"/>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A448" i="3" s="1"/>
  <c r="AZ448" i="3" s="1"/>
  <c r="BB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G446" i="3" s="1"/>
  <c r="H446" i="3"/>
  <c r="BT445" i="3"/>
  <c r="BS445" i="3"/>
  <c r="BR445" i="3"/>
  <c r="BQ445" i="3"/>
  <c r="BP445" i="3"/>
  <c r="BO445" i="3"/>
  <c r="BL445" i="3" s="1"/>
  <c r="BN445" i="3"/>
  <c r="BM445" i="3"/>
  <c r="BK445" i="3"/>
  <c r="BJ445" i="3"/>
  <c r="BI445" i="3"/>
  <c r="BH445" i="3"/>
  <c r="BG445" i="3"/>
  <c r="BF445" i="3"/>
  <c r="BE445" i="3"/>
  <c r="BD445" i="3"/>
  <c r="BC445" i="3"/>
  <c r="BA445" i="3" s="1"/>
  <c r="BB445" i="3"/>
  <c r="AX445" i="3"/>
  <c r="AW445" i="3"/>
  <c r="AV445" i="3"/>
  <c r="AC445" i="3"/>
  <c r="H445" i="3"/>
  <c r="G445" i="3" s="1"/>
  <c r="BT444" i="3"/>
  <c r="BS444" i="3"/>
  <c r="BR444" i="3"/>
  <c r="BQ444" i="3"/>
  <c r="BP444" i="3"/>
  <c r="BO444" i="3"/>
  <c r="BN444" i="3"/>
  <c r="BL444" i="3" s="1"/>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L439" i="3" s="1"/>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G436" i="3" s="1"/>
  <c r="H436" i="3"/>
  <c r="BT435" i="3"/>
  <c r="BS435" i="3"/>
  <c r="BR435" i="3"/>
  <c r="BQ435" i="3"/>
  <c r="BP435" i="3"/>
  <c r="BO435" i="3"/>
  <c r="BL435" i="3" s="1"/>
  <c r="BN435" i="3"/>
  <c r="BM435" i="3"/>
  <c r="BK435" i="3"/>
  <c r="BJ435" i="3"/>
  <c r="BI435" i="3"/>
  <c r="BH435" i="3"/>
  <c r="BG435" i="3"/>
  <c r="BF435" i="3"/>
  <c r="BE435" i="3"/>
  <c r="BD435" i="3"/>
  <c r="BC435" i="3"/>
  <c r="BA435" i="3" s="1"/>
  <c r="AZ435" i="3" s="1"/>
  <c r="BB435" i="3"/>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A430" i="3" s="1"/>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A429" i="3" s="1"/>
  <c r="AZ429" i="3" s="1"/>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A426" i="3" s="1"/>
  <c r="BC426" i="3"/>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BC423" i="3"/>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A421" i="3" s="1"/>
  <c r="AZ421" i="3" s="1"/>
  <c r="BC421" i="3"/>
  <c r="BB421" i="3"/>
  <c r="AX421" i="3"/>
  <c r="AW421" i="3"/>
  <c r="AV421" i="3"/>
  <c r="AC421" i="3"/>
  <c r="H421" i="3"/>
  <c r="G421" i="3" s="1"/>
  <c r="BT420" i="3"/>
  <c r="BS420" i="3"/>
  <c r="BR420" i="3"/>
  <c r="BQ420" i="3"/>
  <c r="BP420" i="3"/>
  <c r="BO420" i="3"/>
  <c r="BL420" i="3" s="1"/>
  <c r="BN420" i="3"/>
  <c r="BM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L417" i="3" s="1"/>
  <c r="BN417" i="3"/>
  <c r="BM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L414" i="3" s="1"/>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AZ412" i="3" s="1"/>
  <c r="BC412" i="3"/>
  <c r="BB412" i="3"/>
  <c r="AX412" i="3"/>
  <c r="AW412" i="3"/>
  <c r="AV412" i="3"/>
  <c r="AC412" i="3"/>
  <c r="H412" i="3"/>
  <c r="G412" i="3" s="1"/>
  <c r="BT411" i="3"/>
  <c r="BS411" i="3"/>
  <c r="BR411" i="3"/>
  <c r="BQ411" i="3"/>
  <c r="BP411" i="3"/>
  <c r="BO411" i="3"/>
  <c r="BL411" i="3" s="1"/>
  <c r="BN411" i="3"/>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G409" i="3" s="1"/>
  <c r="BT408" i="3"/>
  <c r="BS408" i="3"/>
  <c r="BR408" i="3"/>
  <c r="BQ408" i="3"/>
  <c r="BP408" i="3"/>
  <c r="BO408" i="3"/>
  <c r="BL408" i="3" s="1"/>
  <c r="BN408" i="3"/>
  <c r="BM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G401" i="3" s="1"/>
  <c r="H401" i="3"/>
  <c r="BT400" i="3"/>
  <c r="BS400" i="3"/>
  <c r="BR400" i="3"/>
  <c r="BQ400" i="3"/>
  <c r="BP400" i="3"/>
  <c r="BO400" i="3"/>
  <c r="BN400" i="3"/>
  <c r="BM400" i="3"/>
  <c r="BL400" i="3"/>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G395" i="3" s="1"/>
  <c r="H395" i="3"/>
  <c r="BT394" i="3"/>
  <c r="BS394" i="3"/>
  <c r="BR394" i="3"/>
  <c r="BQ394" i="3"/>
  <c r="BP394" i="3"/>
  <c r="BO394" i="3"/>
  <c r="BN394" i="3"/>
  <c r="BM394" i="3"/>
  <c r="BL394" i="3"/>
  <c r="BK394" i="3"/>
  <c r="BJ394" i="3"/>
  <c r="BI394" i="3"/>
  <c r="BH394" i="3"/>
  <c r="BG394" i="3"/>
  <c r="BF394" i="3"/>
  <c r="BE394" i="3"/>
  <c r="BD394" i="3"/>
  <c r="BC394" i="3"/>
  <c r="BA394" i="3" s="1"/>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G392" i="3" s="1"/>
  <c r="H392" i="3"/>
  <c r="BT391" i="3"/>
  <c r="BS391" i="3"/>
  <c r="BR391" i="3"/>
  <c r="BQ391" i="3"/>
  <c r="BP391" i="3"/>
  <c r="BO391" i="3"/>
  <c r="BN391" i="3"/>
  <c r="BM391" i="3"/>
  <c r="BL391" i="3"/>
  <c r="BK391" i="3"/>
  <c r="BJ391" i="3"/>
  <c r="BI391" i="3"/>
  <c r="BH391" i="3"/>
  <c r="BG391" i="3"/>
  <c r="BF391" i="3"/>
  <c r="BE391" i="3"/>
  <c r="BD391" i="3"/>
  <c r="BC391" i="3"/>
  <c r="BA391" i="3" s="1"/>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G390" i="3" s="1"/>
  <c r="H390" i="3"/>
  <c r="BT389" i="3"/>
  <c r="BS389" i="3"/>
  <c r="BR389" i="3"/>
  <c r="BQ389" i="3"/>
  <c r="BP389" i="3"/>
  <c r="BO389" i="3"/>
  <c r="BN389" i="3"/>
  <c r="BM389" i="3"/>
  <c r="BL389" i="3"/>
  <c r="BK389" i="3"/>
  <c r="BJ389" i="3"/>
  <c r="BI389" i="3"/>
  <c r="BH389" i="3"/>
  <c r="BG389" i="3"/>
  <c r="BF389" i="3"/>
  <c r="BE389" i="3"/>
  <c r="BD389" i="3"/>
  <c r="BC389" i="3"/>
  <c r="BA389" i="3" s="1"/>
  <c r="AZ389" i="3" s="1"/>
  <c r="BB389" i="3"/>
  <c r="AX389" i="3"/>
  <c r="AW389" i="3"/>
  <c r="AV389" i="3"/>
  <c r="AC389" i="3"/>
  <c r="H389" i="3"/>
  <c r="G389" i="3" s="1"/>
  <c r="H62" i="40"/>
  <c r="I62" i="40"/>
  <c r="C62" i="40" s="1"/>
  <c r="H61" i="40"/>
  <c r="I61" i="40"/>
  <c r="C61" i="40"/>
  <c r="H60" i="40"/>
  <c r="H59" i="40"/>
  <c r="H58" i="40"/>
  <c r="I58" i="40"/>
  <c r="C58" i="40" s="1"/>
  <c r="H57" i="40"/>
  <c r="I57" i="40"/>
  <c r="C57" i="40"/>
  <c r="H56" i="40"/>
  <c r="I56" i="40" s="1"/>
  <c r="C56" i="40" s="1"/>
  <c r="H55" i="40"/>
  <c r="I55" i="40" s="1"/>
  <c r="C55" i="40" s="1"/>
  <c r="H54" i="40"/>
  <c r="I54" i="40"/>
  <c r="C54" i="40" s="1"/>
  <c r="H63" i="39"/>
  <c r="I63" i="39"/>
  <c r="C63" i="39"/>
  <c r="H59" i="39"/>
  <c r="I59" i="39" s="1"/>
  <c r="C59" i="39" s="1"/>
  <c r="H67" i="39"/>
  <c r="I67" i="39" s="1"/>
  <c r="C67" i="39" s="1"/>
  <c r="H66" i="39"/>
  <c r="I66" i="39"/>
  <c r="C66" i="39" s="1"/>
  <c r="H65" i="39"/>
  <c r="I65" i="39"/>
  <c r="C65" i="39"/>
  <c r="H64" i="39"/>
  <c r="I64" i="39" s="1"/>
  <c r="C64" i="39" s="1"/>
  <c r="H62" i="39"/>
  <c r="I62" i="39" s="1"/>
  <c r="C62" i="39" s="1"/>
  <c r="H61" i="39"/>
  <c r="I61" i="39"/>
  <c r="C61" i="39" s="1"/>
  <c r="H60" i="39"/>
  <c r="I60" i="39"/>
  <c r="C60" i="39"/>
  <c r="L25" i="4"/>
  <c r="C109" i="9"/>
  <c r="C145" i="21"/>
  <c r="J142" i="21"/>
  <c r="J140" i="21"/>
  <c r="K145" i="21" s="1"/>
  <c r="K139" i="21"/>
  <c r="M87" i="21"/>
  <c r="L87" i="21"/>
  <c r="K87" i="21"/>
  <c r="J87" i="21"/>
  <c r="I87" i="21"/>
  <c r="H87" i="21"/>
  <c r="G87" i="21"/>
  <c r="F87" i="21"/>
  <c r="E87" i="21"/>
  <c r="D87" i="21"/>
  <c r="G2" i="46"/>
  <c r="F80" i="46" s="1"/>
  <c r="H17" i="46"/>
  <c r="G19" i="46"/>
  <c r="R26" i="31"/>
  <c r="S26" i="31" s="1"/>
  <c r="R27" i="31"/>
  <c r="R28" i="31"/>
  <c r="S28" i="31" s="1"/>
  <c r="R29" i="31"/>
  <c r="R30" i="31"/>
  <c r="S30" i="31"/>
  <c r="R31" i="31"/>
  <c r="R32" i="31"/>
  <c r="S32" i="31"/>
  <c r="R33" i="31"/>
  <c r="R34" i="31"/>
  <c r="S34" i="31" s="1"/>
  <c r="R35" i="31"/>
  <c r="R36" i="31"/>
  <c r="S36" i="31" s="1"/>
  <c r="R37" i="31"/>
  <c r="R38" i="31"/>
  <c r="S38" i="31"/>
  <c r="R39" i="31"/>
  <c r="R40" i="31"/>
  <c r="S40" i="31"/>
  <c r="R41" i="31"/>
  <c r="R42" i="31"/>
  <c r="S42" i="31" s="1"/>
  <c r="R43" i="31"/>
  <c r="R44" i="31"/>
  <c r="S44" i="31" s="1"/>
  <c r="R45" i="31"/>
  <c r="R46" i="31"/>
  <c r="S46" i="31"/>
  <c r="R47" i="31"/>
  <c r="R48" i="31"/>
  <c r="S48" i="31"/>
  <c r="R49" i="31"/>
  <c r="R50" i="31"/>
  <c r="S50" i="31" s="1"/>
  <c r="R51" i="31"/>
  <c r="R52" i="31"/>
  <c r="S52" i="31" s="1"/>
  <c r="R53" i="31"/>
  <c r="R54" i="31"/>
  <c r="S54" i="31"/>
  <c r="R55" i="31"/>
  <c r="R56" i="31"/>
  <c r="S56" i="31"/>
  <c r="R57" i="31"/>
  <c r="R58" i="31"/>
  <c r="S58" i="31" s="1"/>
  <c r="R59" i="31"/>
  <c r="R60" i="31"/>
  <c r="S60" i="31" s="1"/>
  <c r="R61" i="31"/>
  <c r="R62" i="31"/>
  <c r="S62" i="31"/>
  <c r="R63" i="31"/>
  <c r="R64" i="31"/>
  <c r="S64" i="31"/>
  <c r="R65" i="31"/>
  <c r="R66" i="31"/>
  <c r="S66" i="31" s="1"/>
  <c r="R67" i="31"/>
  <c r="R68" i="31"/>
  <c r="S68" i="31" s="1"/>
  <c r="R69" i="31"/>
  <c r="R70" i="31"/>
  <c r="S70" i="31"/>
  <c r="R71" i="31"/>
  <c r="R72" i="31"/>
  <c r="S72" i="31"/>
  <c r="R73" i="31"/>
  <c r="R74" i="31"/>
  <c r="S74" i="31" s="1"/>
  <c r="R75" i="31"/>
  <c r="R76" i="31"/>
  <c r="S76" i="31" s="1"/>
  <c r="R77" i="31"/>
  <c r="R78" i="31"/>
  <c r="S78" i="31"/>
  <c r="R79" i="31"/>
  <c r="R80" i="31"/>
  <c r="S80" i="31"/>
  <c r="R81" i="31"/>
  <c r="R82" i="31"/>
  <c r="S82" i="31" s="1"/>
  <c r="R83" i="31"/>
  <c r="R84" i="31"/>
  <c r="S84" i="31" s="1"/>
  <c r="R85" i="31"/>
  <c r="R86" i="31"/>
  <c r="S86" i="31"/>
  <c r="R87" i="31"/>
  <c r="R88" i="31"/>
  <c r="S88" i="31"/>
  <c r="R89" i="31"/>
  <c r="R90" i="31"/>
  <c r="S90" i="31" s="1"/>
  <c r="R91" i="31"/>
  <c r="R92" i="31"/>
  <c r="S92" i="31" s="1"/>
  <c r="R93" i="31"/>
  <c r="R94" i="31"/>
  <c r="S94" i="31"/>
  <c r="R95" i="31"/>
  <c r="R96" i="31"/>
  <c r="S96" i="31"/>
  <c r="R97" i="31"/>
  <c r="R98" i="31"/>
  <c r="S98" i="31" s="1"/>
  <c r="R99" i="31"/>
  <c r="R100" i="31"/>
  <c r="S100" i="31" s="1"/>
  <c r="R101" i="31"/>
  <c r="R102" i="31"/>
  <c r="S102" i="31"/>
  <c r="R103" i="31"/>
  <c r="R104" i="31"/>
  <c r="S104" i="31"/>
  <c r="R105" i="31"/>
  <c r="R106" i="31"/>
  <c r="S106" i="31" s="1"/>
  <c r="R107" i="31"/>
  <c r="R108" i="31"/>
  <c r="S108" i="31" s="1"/>
  <c r="R109" i="31"/>
  <c r="R110" i="31"/>
  <c r="S110" i="31"/>
  <c r="R111" i="31"/>
  <c r="R112" i="31"/>
  <c r="S112" i="31"/>
  <c r="R113" i="31"/>
  <c r="R114" i="31"/>
  <c r="S114" i="31" s="1"/>
  <c r="R115" i="31"/>
  <c r="R116" i="31"/>
  <c r="S116" i="31" s="1"/>
  <c r="R117" i="31"/>
  <c r="R118" i="31"/>
  <c r="S118" i="31"/>
  <c r="R119" i="31"/>
  <c r="R120" i="31"/>
  <c r="S120" i="31"/>
  <c r="R121" i="31"/>
  <c r="R122" i="31"/>
  <c r="S122" i="31" s="1"/>
  <c r="R123" i="31"/>
  <c r="R124" i="31"/>
  <c r="S124" i="31" s="1"/>
  <c r="R125" i="31"/>
  <c r="R126" i="31"/>
  <c r="S126" i="31"/>
  <c r="R127" i="31"/>
  <c r="R128" i="31"/>
  <c r="S128" i="31"/>
  <c r="R129" i="31"/>
  <c r="R130" i="31"/>
  <c r="S130" i="31" s="1"/>
  <c r="R131" i="31"/>
  <c r="R132" i="31"/>
  <c r="S132" i="31" s="1"/>
  <c r="R133" i="31"/>
  <c r="R134" i="31"/>
  <c r="S134" i="31"/>
  <c r="R135" i="31"/>
  <c r="R136" i="31"/>
  <c r="S136" i="31"/>
  <c r="R137" i="31"/>
  <c r="R138" i="31"/>
  <c r="S138" i="31" s="1"/>
  <c r="R139" i="31"/>
  <c r="R140" i="31"/>
  <c r="S140" i="31" s="1"/>
  <c r="R141" i="31"/>
  <c r="R142" i="31"/>
  <c r="S142" i="31"/>
  <c r="R143" i="31"/>
  <c r="R144" i="31"/>
  <c r="S144" i="31"/>
  <c r="R145" i="31"/>
  <c r="R146" i="31"/>
  <c r="S146" i="31" s="1"/>
  <c r="R147" i="31"/>
  <c r="R148" i="31"/>
  <c r="S148" i="31" s="1"/>
  <c r="R149" i="31"/>
  <c r="R150" i="31"/>
  <c r="S150" i="31"/>
  <c r="R151" i="31"/>
  <c r="R152" i="31"/>
  <c r="S152" i="31"/>
  <c r="R153" i="31"/>
  <c r="R154" i="31"/>
  <c r="S154" i="31" s="1"/>
  <c r="R155" i="31"/>
  <c r="R156" i="31"/>
  <c r="S156" i="31" s="1"/>
  <c r="R157" i="31"/>
  <c r="R158" i="31"/>
  <c r="S158" i="31"/>
  <c r="R159" i="31"/>
  <c r="R160" i="31"/>
  <c r="S160" i="31"/>
  <c r="R161" i="31"/>
  <c r="R162" i="31"/>
  <c r="S162" i="31" s="1"/>
  <c r="R163" i="31"/>
  <c r="R164" i="31"/>
  <c r="S164" i="31" s="1"/>
  <c r="R165" i="31"/>
  <c r="R166" i="31"/>
  <c r="S166" i="31"/>
  <c r="R167" i="31"/>
  <c r="R168" i="31"/>
  <c r="S168" i="31"/>
  <c r="R169" i="31"/>
  <c r="R170" i="31"/>
  <c r="S170" i="31" s="1"/>
  <c r="R171" i="31"/>
  <c r="R172" i="31"/>
  <c r="S172" i="31" s="1"/>
  <c r="R173" i="31"/>
  <c r="R174" i="31"/>
  <c r="S174" i="31"/>
  <c r="R175" i="31"/>
  <c r="R176" i="31"/>
  <c r="S176" i="31"/>
  <c r="R177" i="31"/>
  <c r="R178" i="31"/>
  <c r="S178" i="31" s="1"/>
  <c r="R179" i="31"/>
  <c r="R180" i="31"/>
  <c r="S180" i="31" s="1"/>
  <c r="R181" i="31"/>
  <c r="R182" i="31"/>
  <c r="S182" i="31"/>
  <c r="R183" i="31"/>
  <c r="R184" i="31"/>
  <c r="S184" i="31"/>
  <c r="R185" i="31"/>
  <c r="R186" i="31"/>
  <c r="S186" i="31" s="1"/>
  <c r="R187" i="31"/>
  <c r="R188" i="31"/>
  <c r="S188" i="31" s="1"/>
  <c r="R189" i="31"/>
  <c r="R190" i="31"/>
  <c r="S190" i="31"/>
  <c r="R191" i="31"/>
  <c r="R192" i="31"/>
  <c r="S192" i="31"/>
  <c r="R193" i="31"/>
  <c r="R194" i="31"/>
  <c r="S194" i="31" s="1"/>
  <c r="R195" i="31"/>
  <c r="R196" i="31"/>
  <c r="S196" i="31" s="1"/>
  <c r="R197" i="31"/>
  <c r="R198" i="31"/>
  <c r="S198" i="31"/>
  <c r="R199" i="31"/>
  <c r="R200" i="31"/>
  <c r="S200" i="31"/>
  <c r="R201" i="31"/>
  <c r="R202" i="31"/>
  <c r="S202" i="31" s="1"/>
  <c r="R203" i="31"/>
  <c r="R204" i="31"/>
  <c r="S204" i="31" s="1"/>
  <c r="R205" i="31"/>
  <c r="R206" i="31"/>
  <c r="S206" i="31"/>
  <c r="R207" i="31"/>
  <c r="R208" i="31"/>
  <c r="S208" i="31"/>
  <c r="R209" i="31"/>
  <c r="R210" i="31"/>
  <c r="S210" i="31" s="1"/>
  <c r="R211" i="31"/>
  <c r="R212" i="31"/>
  <c r="S212" i="31" s="1"/>
  <c r="R213" i="31"/>
  <c r="R214" i="31"/>
  <c r="S214" i="31"/>
  <c r="R215" i="31"/>
  <c r="R216" i="31"/>
  <c r="S216" i="3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c r="R431" i="31"/>
  <c r="R432" i="31"/>
  <c r="S432" i="31" s="1"/>
  <c r="R433" i="31"/>
  <c r="R434" i="31"/>
  <c r="S434" i="31" s="1"/>
  <c r="R435" i="31"/>
  <c r="R436" i="31"/>
  <c r="S436" i="31"/>
  <c r="R437" i="31"/>
  <c r="R438" i="31"/>
  <c r="S438" i="31"/>
  <c r="R439" i="31"/>
  <c r="R440" i="31"/>
  <c r="S440" i="31" s="1"/>
  <c r="R441" i="31"/>
  <c r="R442" i="31"/>
  <c r="S442" i="31" s="1"/>
  <c r="R443" i="31"/>
  <c r="R444" i="31"/>
  <c r="S444" i="31"/>
  <c r="R445" i="31"/>
  <c r="R446" i="31"/>
  <c r="S446" i="31"/>
  <c r="R447" i="31"/>
  <c r="R448" i="31"/>
  <c r="S448" i="31" s="1"/>
  <c r="R449" i="31"/>
  <c r="R450" i="31"/>
  <c r="S450" i="31" s="1"/>
  <c r="R451" i="31"/>
  <c r="R452" i="31"/>
  <c r="S452" i="31"/>
  <c r="R453" i="31"/>
  <c r="R454" i="31"/>
  <c r="S454" i="31"/>
  <c r="R455" i="31"/>
  <c r="R456" i="31"/>
  <c r="S456" i="31" s="1"/>
  <c r="R457" i="31"/>
  <c r="R458" i="31"/>
  <c r="S458" i="31" s="1"/>
  <c r="R459" i="31"/>
  <c r="R460" i="31"/>
  <c r="S460" i="31"/>
  <c r="R461" i="31"/>
  <c r="R462" i="31"/>
  <c r="S462" i="31"/>
  <c r="R463" i="31"/>
  <c r="R464" i="31"/>
  <c r="S464" i="31" s="1"/>
  <c r="R465" i="31"/>
  <c r="R466" i="31"/>
  <c r="S466" i="31" s="1"/>
  <c r="R467" i="31"/>
  <c r="R468" i="31"/>
  <c r="S468" i="3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c r="R503" i="31"/>
  <c r="R504" i="31"/>
  <c r="S504" i="31"/>
  <c r="R505" i="31"/>
  <c r="R506" i="31"/>
  <c r="S506" i="31" s="1"/>
  <c r="R507" i="31"/>
  <c r="R508" i="31"/>
  <c r="S508" i="31" s="1"/>
  <c r="R509" i="31"/>
  <c r="R510" i="31"/>
  <c r="S510" i="31"/>
  <c r="R511" i="31"/>
  <c r="R512" i="31"/>
  <c r="S512" i="31"/>
  <c r="R513" i="31"/>
  <c r="R514" i="31"/>
  <c r="S514" i="31" s="1"/>
  <c r="R515" i="31"/>
  <c r="R516" i="31"/>
  <c r="S516" i="31" s="1"/>
  <c r="R517" i="31"/>
  <c r="R518" i="31"/>
  <c r="S518" i="3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s="1"/>
  <c r="A2" i="9"/>
  <c r="T16" i="4"/>
  <c r="D14" i="4"/>
  <c r="G36" i="4"/>
  <c r="K2" i="54"/>
  <c r="B23" i="63" s="1"/>
  <c r="A3" i="51"/>
  <c r="R41" i="4"/>
  <c r="Q41" i="4"/>
  <c r="P41" i="4"/>
  <c r="O41" i="4"/>
  <c r="N41" i="4"/>
  <c r="M41" i="4"/>
  <c r="L41" i="4"/>
  <c r="K40" i="4"/>
  <c r="T40" i="4" s="1"/>
  <c r="F23" i="4"/>
  <c r="D19" i="4"/>
  <c r="I19" i="4"/>
  <c r="F6" i="1" s="1"/>
  <c r="H19" i="4"/>
  <c r="G19" i="4"/>
  <c r="F9" i="1"/>
  <c r="AP9" i="1" s="1"/>
  <c r="F19" i="4"/>
  <c r="F8" i="1"/>
  <c r="AP8" i="1" s="1"/>
  <c r="E19" i="4"/>
  <c r="F7" i="1"/>
  <c r="G7" i="1" s="1"/>
  <c r="B2" i="52"/>
  <c r="B15" i="52" s="1"/>
  <c r="I2" i="46"/>
  <c r="N12" i="46" s="1"/>
  <c r="A7" i="46"/>
  <c r="F41" i="4"/>
  <c r="J52" i="40" s="1"/>
  <c r="H61" i="49"/>
  <c r="H39" i="46"/>
  <c r="H38" i="46"/>
  <c r="H37" i="46"/>
  <c r="H36" i="46"/>
  <c r="H35" i="46"/>
  <c r="H34" i="46"/>
  <c r="H33" i="46"/>
  <c r="J20" i="46"/>
  <c r="C18" i="46"/>
  <c r="F15" i="46"/>
  <c r="E15" i="46"/>
  <c r="D15" i="46"/>
  <c r="C15" i="46"/>
  <c r="C10" i="46"/>
  <c r="C11" i="46" s="1"/>
  <c r="C9" i="46"/>
  <c r="E32" i="6"/>
  <c r="E20" i="6"/>
  <c r="E21" i="6"/>
  <c r="K8" i="1"/>
  <c r="M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c r="C105" i="9" s="1"/>
  <c r="C110" i="9" s="1"/>
  <c r="C17" i="9"/>
  <c r="C18" i="9" s="1"/>
  <c r="D17" i="9"/>
  <c r="F17" i="44"/>
  <c r="F19" i="44"/>
  <c r="F22" i="44"/>
  <c r="F25" i="44"/>
  <c r="D25" i="44" s="1"/>
  <c r="F23" i="44"/>
  <c r="E16" i="43"/>
  <c r="F14" i="43"/>
  <c r="F15" i="43"/>
  <c r="F17" i="43"/>
  <c r="F19" i="43"/>
  <c r="F20" i="43"/>
  <c r="F10" i="40"/>
  <c r="AA10" i="40"/>
  <c r="F11" i="40"/>
  <c r="AA11" i="40" s="1"/>
  <c r="C21" i="40"/>
  <c r="C32" i="40"/>
  <c r="F36" i="40"/>
  <c r="AA36" i="40" s="1"/>
  <c r="H10" i="40"/>
  <c r="AB10" i="40"/>
  <c r="H11" i="40"/>
  <c r="AB11" i="40" s="1"/>
  <c r="H36" i="40"/>
  <c r="AB36" i="40"/>
  <c r="J10" i="40"/>
  <c r="AC10" i="40" s="1"/>
  <c r="J11" i="40"/>
  <c r="AC11" i="40"/>
  <c r="J36" i="40"/>
  <c r="AC36" i="40" s="1"/>
  <c r="F10" i="39"/>
  <c r="AA10" i="39"/>
  <c r="F11" i="39"/>
  <c r="AA11" i="39" s="1"/>
  <c r="C25" i="39"/>
  <c r="F36" i="39"/>
  <c r="AA36" i="39"/>
  <c r="F40" i="39"/>
  <c r="AA40" i="39" s="1"/>
  <c r="F42" i="39"/>
  <c r="AA42" i="39"/>
  <c r="H10" i="39"/>
  <c r="AB10" i="39" s="1"/>
  <c r="H11" i="39"/>
  <c r="AB11" i="39"/>
  <c r="H36" i="39"/>
  <c r="AB36" i="39" s="1"/>
  <c r="H40" i="39"/>
  <c r="AB40" i="39"/>
  <c r="H42" i="39"/>
  <c r="AB42" i="39" s="1"/>
  <c r="J10" i="39"/>
  <c r="AC10" i="39"/>
  <c r="J11" i="39"/>
  <c r="AC11" i="39" s="1"/>
  <c r="J36" i="39"/>
  <c r="AC36" i="39"/>
  <c r="J40" i="39"/>
  <c r="AC40" i="39" s="1"/>
  <c r="J42" i="39"/>
  <c r="AC42" i="39"/>
  <c r="F35" i="44"/>
  <c r="M21" i="44"/>
  <c r="F20" i="44"/>
  <c r="C6" i="43"/>
  <c r="K9" i="43"/>
  <c r="J9" i="43"/>
  <c r="I9" i="43"/>
  <c r="H9" i="43"/>
  <c r="G9" i="43"/>
  <c r="F9" i="43"/>
  <c r="E9" i="43"/>
  <c r="D9" i="43"/>
  <c r="C9" i="43"/>
  <c r="C6" i="12"/>
  <c r="B24" i="1"/>
  <c r="E77" i="9"/>
  <c r="O75" i="9" s="1"/>
  <c r="L75" i="9"/>
  <c r="F77" i="9"/>
  <c r="P75" i="9"/>
  <c r="O74" i="9"/>
  <c r="O73" i="9"/>
  <c r="E66" i="9"/>
  <c r="O72" i="9"/>
  <c r="F74" i="9"/>
  <c r="P74" i="9" s="1"/>
  <c r="N67" i="9"/>
  <c r="K44" i="9"/>
  <c r="K43" i="9"/>
  <c r="B31" i="1"/>
  <c r="E10" i="11"/>
  <c r="B22" i="1"/>
  <c r="C2" i="65" s="1"/>
  <c r="B23" i="1"/>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s="1"/>
  <c r="G48" i="37"/>
  <c r="H48" i="37"/>
  <c r="E48" i="37"/>
  <c r="F48" i="37" s="1"/>
  <c r="I55" i="34"/>
  <c r="J55" i="34" s="1"/>
  <c r="G55" i="34"/>
  <c r="H55" i="34" s="1"/>
  <c r="E55" i="34"/>
  <c r="F55" i="34"/>
  <c r="I50" i="40"/>
  <c r="J50" i="40" s="1"/>
  <c r="G50" i="40"/>
  <c r="H50" i="40"/>
  <c r="E50" i="40"/>
  <c r="F50" i="40" s="1"/>
  <c r="I55" i="39"/>
  <c r="J55" i="39"/>
  <c r="G55" i="39"/>
  <c r="H55" i="39" s="1"/>
  <c r="E55" i="39"/>
  <c r="F55" i="39" s="1"/>
  <c r="I42" i="36"/>
  <c r="J42" i="36" s="1"/>
  <c r="G42" i="36"/>
  <c r="H42" i="36"/>
  <c r="E42" i="36"/>
  <c r="F42" i="36" s="1"/>
  <c r="I44" i="35"/>
  <c r="J44" i="35"/>
  <c r="G44" i="35"/>
  <c r="H44" i="35" s="1"/>
  <c r="E44" i="35"/>
  <c r="F44" i="35"/>
  <c r="I54" i="33"/>
  <c r="J54" i="33" s="1"/>
  <c r="G54" i="33"/>
  <c r="E54" i="33"/>
  <c r="F54" i="33"/>
  <c r="AC14" i="3"/>
  <c r="AC15" i="3"/>
  <c r="G15" i="3" s="1"/>
  <c r="AC16" i="3"/>
  <c r="AC17" i="3"/>
  <c r="G17" i="3" s="1"/>
  <c r="AC18" i="3"/>
  <c r="AC19" i="3"/>
  <c r="G19" i="3" s="1"/>
  <c r="AC20" i="3"/>
  <c r="H481" i="3"/>
  <c r="AC481" i="3"/>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F5" i="3" s="1"/>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L493" i="3" s="1"/>
  <c r="BN493" i="3"/>
  <c r="BO493" i="3"/>
  <c r="BP493" i="3"/>
  <c r="BQ493" i="3"/>
  <c r="BR493" i="3"/>
  <c r="BS493" i="3"/>
  <c r="BT493" i="3"/>
  <c r="H494" i="3"/>
  <c r="BB494" i="3"/>
  <c r="BC494" i="3"/>
  <c r="BD494" i="3"/>
  <c r="BE494" i="3"/>
  <c r="BF494" i="3"/>
  <c r="BG494" i="3"/>
  <c r="BH494" i="3"/>
  <c r="BI494" i="3"/>
  <c r="BI5" i="3" s="1"/>
  <c r="BJ494" i="3"/>
  <c r="BK494" i="3"/>
  <c r="BM494" i="3"/>
  <c r="BN494" i="3"/>
  <c r="BO494" i="3"/>
  <c r="BP494" i="3"/>
  <c r="BR494" i="3"/>
  <c r="BS494" i="3"/>
  <c r="BT494" i="3"/>
  <c r="H495" i="3"/>
  <c r="AC495" i="3"/>
  <c r="G495" i="3" s="1"/>
  <c r="BB495" i="3"/>
  <c r="BC495" i="3"/>
  <c r="BD495" i="3"/>
  <c r="BE495" i="3"/>
  <c r="BF495" i="3"/>
  <c r="BG495" i="3"/>
  <c r="BH495" i="3"/>
  <c r="BI495" i="3"/>
  <c r="BJ495" i="3"/>
  <c r="BK495" i="3"/>
  <c r="BM495" i="3"/>
  <c r="BN495" i="3"/>
  <c r="BL495" i="3" s="1"/>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L503" i="3" s="1"/>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BB505" i="3"/>
  <c r="BC505" i="3"/>
  <c r="BA505" i="3" s="1"/>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A509" i="3" s="1"/>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L510" i="3" s="1"/>
  <c r="BO510" i="3"/>
  <c r="BP510" i="3"/>
  <c r="BR510" i="3"/>
  <c r="BS510" i="3"/>
  <c r="BT510" i="3"/>
  <c r="H511" i="3"/>
  <c r="AC511" i="3"/>
  <c r="G511" i="3" s="1"/>
  <c r="BB511" i="3"/>
  <c r="BC511" i="3"/>
  <c r="BD511" i="3"/>
  <c r="BE511" i="3"/>
  <c r="BF511" i="3"/>
  <c r="BG511" i="3"/>
  <c r="BH511" i="3"/>
  <c r="BI511" i="3"/>
  <c r="BJ511" i="3"/>
  <c r="BK511" i="3"/>
  <c r="BM511" i="3"/>
  <c r="BN511" i="3"/>
  <c r="BL511" i="3" s="1"/>
  <c r="BO511" i="3"/>
  <c r="BP511" i="3"/>
  <c r="BQ511" i="3"/>
  <c r="BR511" i="3"/>
  <c r="BS511" i="3"/>
  <c r="BT511" i="3"/>
  <c r="H512" i="3"/>
  <c r="G512" i="3"/>
  <c r="AC512" i="3"/>
  <c r="BB512" i="3"/>
  <c r="BC512" i="3"/>
  <c r="BD512" i="3"/>
  <c r="BA512" i="3" s="1"/>
  <c r="AZ512" i="3" s="1"/>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L514" i="3" s="1"/>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A516" i="3" s="1"/>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L519" i="3" s="1"/>
  <c r="AZ519" i="3" s="1"/>
  <c r="BQ519" i="3"/>
  <c r="BR519" i="3"/>
  <c r="BS519" i="3"/>
  <c r="BT519" i="3"/>
  <c r="H520" i="3"/>
  <c r="AC520" i="3"/>
  <c r="G520" i="3" s="1"/>
  <c r="BB520" i="3"/>
  <c r="BC520" i="3"/>
  <c r="BD520" i="3"/>
  <c r="BE520" i="3"/>
  <c r="BF520" i="3"/>
  <c r="BG520" i="3"/>
  <c r="BH520" i="3"/>
  <c r="BI520" i="3"/>
  <c r="BJ520" i="3"/>
  <c r="BK520" i="3"/>
  <c r="BM520" i="3"/>
  <c r="BN520" i="3"/>
  <c r="BO520" i="3"/>
  <c r="BL520" i="3" s="1"/>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A540" i="3" s="1"/>
  <c r="BE540" i="3"/>
  <c r="BF540" i="3"/>
  <c r="BG540" i="3"/>
  <c r="BH540" i="3"/>
  <c r="BI540" i="3"/>
  <c r="BJ540" i="3"/>
  <c r="BK540" i="3"/>
  <c r="BM540" i="3"/>
  <c r="BL540" i="3" s="1"/>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L552" i="3" s="1"/>
  <c r="BP552" i="3"/>
  <c r="BR552" i="3"/>
  <c r="BS552" i="3"/>
  <c r="BT552" i="3"/>
  <c r="H553" i="3"/>
  <c r="G553" i="3" s="1"/>
  <c r="AC553" i="3"/>
  <c r="BB553" i="3"/>
  <c r="BC553" i="3"/>
  <c r="BD553" i="3"/>
  <c r="BE553" i="3"/>
  <c r="BF553" i="3"/>
  <c r="BG553" i="3"/>
  <c r="BH553" i="3"/>
  <c r="BI553" i="3"/>
  <c r="BJ553" i="3"/>
  <c r="BK553" i="3"/>
  <c r="BM553" i="3"/>
  <c r="BN553" i="3"/>
  <c r="BO553" i="3"/>
  <c r="BP553" i="3"/>
  <c r="BL553" i="3" s="1"/>
  <c r="BQ553" i="3"/>
  <c r="BR553" i="3"/>
  <c r="BS553" i="3"/>
  <c r="BT553" i="3"/>
  <c r="H554" i="3"/>
  <c r="AC554" i="3"/>
  <c r="BB554" i="3"/>
  <c r="BC554" i="3"/>
  <c r="BA554" i="3" s="1"/>
  <c r="AZ554" i="3" s="1"/>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L555" i="3" s="1"/>
  <c r="BQ555" i="3"/>
  <c r="BR555" i="3"/>
  <c r="BS555" i="3"/>
  <c r="BT555" i="3"/>
  <c r="H556" i="3"/>
  <c r="AC556" i="3"/>
  <c r="BB556" i="3"/>
  <c r="BC556" i="3"/>
  <c r="BD556" i="3"/>
  <c r="BE556" i="3"/>
  <c r="BF556" i="3"/>
  <c r="BG556" i="3"/>
  <c r="BH556" i="3"/>
  <c r="BI556" i="3"/>
  <c r="BJ556" i="3"/>
  <c r="BK556" i="3"/>
  <c r="BM556" i="3"/>
  <c r="BN556" i="3"/>
  <c r="BO556" i="3"/>
  <c r="BP556" i="3"/>
  <c r="BL556" i="3" s="1"/>
  <c r="BR556" i="3"/>
  <c r="BS556" i="3"/>
  <c r="BT556" i="3"/>
  <c r="H557" i="3"/>
  <c r="G557" i="3" s="1"/>
  <c r="AC557" i="3"/>
  <c r="BB557" i="3"/>
  <c r="BC557" i="3"/>
  <c r="BD557" i="3"/>
  <c r="BA557" i="3" s="1"/>
  <c r="AZ557" i="3" s="1"/>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L563" i="3" s="1"/>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A565" i="3" s="1"/>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c r="C26" i="35"/>
  <c r="C79" i="35" s="1"/>
  <c r="J31" i="35"/>
  <c r="H31" i="35"/>
  <c r="F31" i="35"/>
  <c r="D87" i="35"/>
  <c r="E87" i="35" s="1"/>
  <c r="F87" i="35"/>
  <c r="G87" i="35" s="1"/>
  <c r="H87" i="35"/>
  <c r="I87" i="35" s="1"/>
  <c r="J87" i="35" s="1"/>
  <c r="K87" i="35" s="1"/>
  <c r="L87" i="35" s="1"/>
  <c r="M87" i="35" s="1"/>
  <c r="H34" i="37"/>
  <c r="AB34" i="37"/>
  <c r="D101" i="37"/>
  <c r="E101" i="37" s="1"/>
  <c r="F101" i="37" s="1"/>
  <c r="G101" i="37" s="1"/>
  <c r="H101" i="37" s="1"/>
  <c r="I101" i="37" s="1"/>
  <c r="J101" i="37" s="1"/>
  <c r="K101" i="37" s="1"/>
  <c r="L101" i="37" s="1"/>
  <c r="M101" i="37" s="1"/>
  <c r="F34" i="37"/>
  <c r="D99" i="37"/>
  <c r="E99" i="37"/>
  <c r="H42" i="34"/>
  <c r="J42" i="34"/>
  <c r="F42" i="34"/>
  <c r="J38" i="34"/>
  <c r="AC38" i="34" s="1"/>
  <c r="D114" i="34"/>
  <c r="F38" i="34"/>
  <c r="D112" i="34"/>
  <c r="E112" i="34"/>
  <c r="F112" i="34" s="1"/>
  <c r="G112" i="34" s="1"/>
  <c r="H112" i="34" s="1"/>
  <c r="I112" i="34" s="1"/>
  <c r="J112" i="34" s="1"/>
  <c r="K112" i="34" s="1"/>
  <c r="L112" i="34" s="1"/>
  <c r="M112" i="34" s="1"/>
  <c r="F40" i="33"/>
  <c r="S40" i="33" s="1"/>
  <c r="J41" i="33"/>
  <c r="AC41" i="33"/>
  <c r="D113" i="33"/>
  <c r="F37" i="33"/>
  <c r="AA37" i="33" s="1"/>
  <c r="D111" i="33"/>
  <c r="E111" i="33"/>
  <c r="F111" i="33" s="1"/>
  <c r="G111" i="33" s="1"/>
  <c r="H111" i="33"/>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c r="G117" i="40" s="1"/>
  <c r="H117" i="40" s="1"/>
  <c r="I117" i="40" s="1"/>
  <c r="J117" i="40" s="1"/>
  <c r="K117" i="40" s="1"/>
  <c r="L117" i="40" s="1"/>
  <c r="M117" i="40" s="1"/>
  <c r="D115" i="40"/>
  <c r="J38" i="40"/>
  <c r="AC38" i="40"/>
  <c r="E115" i="40"/>
  <c r="F115" i="40" s="1"/>
  <c r="G115" i="40" s="1"/>
  <c r="H115" i="40" s="1"/>
  <c r="I115" i="40" s="1"/>
  <c r="J115" i="40" s="1"/>
  <c r="K115" i="40" s="1"/>
  <c r="L115" i="40" s="1"/>
  <c r="M115" i="40" s="1"/>
  <c r="H38" i="40"/>
  <c r="AB38" i="40" s="1"/>
  <c r="D113" i="40"/>
  <c r="E113" i="40"/>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s="1"/>
  <c r="Q40" i="40"/>
  <c r="Z40" i="40" s="1"/>
  <c r="Q39" i="40"/>
  <c r="Z39" i="40" s="1"/>
  <c r="Q38" i="40"/>
  <c r="Z38" i="40"/>
  <c r="Q37" i="40"/>
  <c r="Z37" i="40" s="1"/>
  <c r="Q36" i="40"/>
  <c r="Z36" i="40" s="1"/>
  <c r="Q35" i="40"/>
  <c r="Z35" i="40" s="1"/>
  <c r="Q34" i="40"/>
  <c r="Z34" i="40"/>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c r="H124" i="39"/>
  <c r="I124" i="39" s="1"/>
  <c r="J124" i="39" s="1"/>
  <c r="K124" i="39" s="1"/>
  <c r="L124" i="39" s="1"/>
  <c r="M124" i="39" s="1"/>
  <c r="B106" i="39"/>
  <c r="D99" i="39"/>
  <c r="E99" i="39" s="1"/>
  <c r="F99" i="39" s="1"/>
  <c r="G99" i="39" s="1"/>
  <c r="D97" i="39"/>
  <c r="D95" i="39"/>
  <c r="E95" i="39" s="1"/>
  <c r="F95" i="39" s="1"/>
  <c r="G95" i="39" s="1"/>
  <c r="D93" i="39"/>
  <c r="E93" i="39"/>
  <c r="F93" i="39" s="1"/>
  <c r="G93" i="39" s="1"/>
  <c r="D91" i="39"/>
  <c r="E91" i="39" s="1"/>
  <c r="F91" i="39" s="1"/>
  <c r="G91" i="39"/>
  <c r="B88" i="39"/>
  <c r="B86" i="39"/>
  <c r="B84" i="39"/>
  <c r="M81" i="39"/>
  <c r="L81" i="39"/>
  <c r="K81" i="39"/>
  <c r="J81" i="39"/>
  <c r="I81" i="39"/>
  <c r="H81" i="39"/>
  <c r="G81" i="39"/>
  <c r="F81" i="39"/>
  <c r="E81" i="39"/>
  <c r="D81" i="39"/>
  <c r="C81" i="39"/>
  <c r="P50" i="39"/>
  <c r="P49" i="39"/>
  <c r="V48" i="39"/>
  <c r="T48" i="39"/>
  <c r="R48" i="39"/>
  <c r="P48" i="39"/>
  <c r="Q37" i="39"/>
  <c r="Z37" i="39" s="1"/>
  <c r="Q36" i="39"/>
  <c r="Z36" i="39"/>
  <c r="Q34" i="39"/>
  <c r="Z34" i="39" s="1"/>
  <c r="Q33" i="39"/>
  <c r="Z33" i="39"/>
  <c r="Q29" i="39"/>
  <c r="Z29" i="39" s="1"/>
  <c r="Q27" i="39"/>
  <c r="Z27" i="39"/>
  <c r="Q25" i="39"/>
  <c r="Z25" i="39" s="1"/>
  <c r="Q23" i="39"/>
  <c r="Z23" i="39"/>
  <c r="Q21" i="39"/>
  <c r="Z21" i="39" s="1"/>
  <c r="Q19" i="39"/>
  <c r="Z19" i="39"/>
  <c r="Q17" i="39"/>
  <c r="Z17" i="39" s="1"/>
  <c r="Q16" i="39"/>
  <c r="Z16" i="39"/>
  <c r="Q15" i="39"/>
  <c r="Z15" i="39" s="1"/>
  <c r="Q14" i="39"/>
  <c r="Z14" i="39"/>
  <c r="Q13" i="39"/>
  <c r="Z13" i="39" s="1"/>
  <c r="Q12" i="39"/>
  <c r="Z12" i="39"/>
  <c r="Q11" i="39"/>
  <c r="Z11" i="39" s="1"/>
  <c r="U10" i="39"/>
  <c r="C9" i="39"/>
  <c r="C70" i="39" s="1"/>
  <c r="C20" i="36"/>
  <c r="C20" i="35"/>
  <c r="C16" i="36"/>
  <c r="C16" i="35"/>
  <c r="C14" i="36"/>
  <c r="C14" i="35"/>
  <c r="B80" i="37"/>
  <c r="J25" i="37" s="1"/>
  <c r="W25" i="37" s="1"/>
  <c r="B110" i="37"/>
  <c r="J39" i="37"/>
  <c r="W39" i="37" s="1"/>
  <c r="B108" i="37"/>
  <c r="C23" i="37"/>
  <c r="C19" i="37"/>
  <c r="C17" i="37"/>
  <c r="C15" i="37"/>
  <c r="B112" i="37"/>
  <c r="D107" i="37"/>
  <c r="E107" i="37" s="1"/>
  <c r="F107" i="37" s="1"/>
  <c r="G107" i="37" s="1"/>
  <c r="H107" i="37" s="1"/>
  <c r="I107" i="37" s="1"/>
  <c r="J107" i="37" s="1"/>
  <c r="K107" i="37" s="1"/>
  <c r="L107" i="37" s="1"/>
  <c r="M107" i="37" s="1"/>
  <c r="D105" i="37"/>
  <c r="E105" i="37" s="1"/>
  <c r="H36" i="37"/>
  <c r="D103" i="37"/>
  <c r="E103" i="37" s="1"/>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s="1"/>
  <c r="F73" i="37" s="1"/>
  <c r="G73" i="37"/>
  <c r="D71" i="37"/>
  <c r="E71" i="37" s="1"/>
  <c r="F71" i="37" s="1"/>
  <c r="G71" i="37" s="1"/>
  <c r="F15" i="37"/>
  <c r="AA15" i="37"/>
  <c r="B68" i="37"/>
  <c r="H14" i="37"/>
  <c r="U14" i="37"/>
  <c r="B66" i="37"/>
  <c r="H13" i="37" s="1"/>
  <c r="AB13" i="37" s="1"/>
  <c r="B64" i="37"/>
  <c r="D63" i="37"/>
  <c r="E63" i="37"/>
  <c r="F63" i="37"/>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Q30" i="37"/>
  <c r="Z30" i="37"/>
  <c r="J30" i="37"/>
  <c r="W30" i="37" s="1"/>
  <c r="H30" i="37"/>
  <c r="AB30" i="37"/>
  <c r="F30" i="37"/>
  <c r="Q29" i="37"/>
  <c r="Z29" i="37" s="1"/>
  <c r="H29" i="37"/>
  <c r="U29" i="37" s="1"/>
  <c r="Q28" i="37"/>
  <c r="Z28" i="37" s="1"/>
  <c r="Q27" i="37"/>
  <c r="Z27" i="37" s="1"/>
  <c r="Q26" i="37"/>
  <c r="Z26" i="37" s="1"/>
  <c r="J26" i="37"/>
  <c r="H26" i="37"/>
  <c r="AB26" i="37" s="1"/>
  <c r="F26" i="37"/>
  <c r="AA26" i="37"/>
  <c r="Q25" i="37"/>
  <c r="Z25" i="37" s="1"/>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s="1"/>
  <c r="I81" i="36"/>
  <c r="J81" i="36" s="1"/>
  <c r="K81" i="36" s="1"/>
  <c r="L81" i="36" s="1"/>
  <c r="M81" i="36" s="1"/>
  <c r="F79" i="36"/>
  <c r="E79" i="36"/>
  <c r="D79" i="36"/>
  <c r="C79" i="36"/>
  <c r="B93" i="36"/>
  <c r="B91" i="36"/>
  <c r="F32" i="36" s="1"/>
  <c r="S32" i="36"/>
  <c r="B95" i="36"/>
  <c r="H34" i="36"/>
  <c r="D83" i="36"/>
  <c r="E83" i="36"/>
  <c r="F83" i="36" s="1"/>
  <c r="G83" i="36" s="1"/>
  <c r="H83" i="36" s="1"/>
  <c r="I83" i="36" s="1"/>
  <c r="J83" i="36" s="1"/>
  <c r="K83" i="36" s="1"/>
  <c r="L83" i="36" s="1"/>
  <c r="M83" i="36" s="1"/>
  <c r="D78" i="36"/>
  <c r="J26" i="36"/>
  <c r="W26" i="36" s="1"/>
  <c r="B75" i="36"/>
  <c r="B73" i="36"/>
  <c r="J24" i="36" s="1"/>
  <c r="W24" i="36" s="1"/>
  <c r="B71" i="36"/>
  <c r="F23" i="36" s="1"/>
  <c r="D70" i="36"/>
  <c r="H22" i="36"/>
  <c r="AB22" i="36" s="1"/>
  <c r="D68" i="36"/>
  <c r="E68" i="36"/>
  <c r="D64" i="36"/>
  <c r="E64" i="36" s="1"/>
  <c r="F64" i="36" s="1"/>
  <c r="G64" i="36" s="1"/>
  <c r="J16" i="36"/>
  <c r="D62" i="36"/>
  <c r="E62" i="36"/>
  <c r="B59" i="36"/>
  <c r="B57" i="36"/>
  <c r="B55" i="36"/>
  <c r="F54" i="36"/>
  <c r="G54" i="36" s="1"/>
  <c r="H54" i="36" s="1"/>
  <c r="I54" i="36" s="1"/>
  <c r="J10" i="36"/>
  <c r="W10" i="36" s="1"/>
  <c r="C51" i="36"/>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c r="H26" i="36"/>
  <c r="Q25" i="36"/>
  <c r="Z25" i="36" s="1"/>
  <c r="Q24" i="36"/>
  <c r="Z24" i="36" s="1"/>
  <c r="H24" i="36"/>
  <c r="AB24" i="36" s="1"/>
  <c r="Q23" i="36"/>
  <c r="Z23" i="36" s="1"/>
  <c r="J23" i="36"/>
  <c r="AC23" i="36"/>
  <c r="H23" i="36"/>
  <c r="AB23" i="36" s="1"/>
  <c r="AA23" i="36"/>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c r="F9" i="36"/>
  <c r="AA9" i="36" s="1"/>
  <c r="J8" i="36"/>
  <c r="AC8" i="36"/>
  <c r="H8" i="36"/>
  <c r="U8" i="36" s="1"/>
  <c r="F8" i="36"/>
  <c r="AA8" i="36" s="1"/>
  <c r="C7" i="36"/>
  <c r="C46" i="36" s="1"/>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W24" i="35" s="1"/>
  <c r="B73" i="35"/>
  <c r="B57" i="35"/>
  <c r="B61" i="35"/>
  <c r="B59" i="35"/>
  <c r="J12" i="35" s="1"/>
  <c r="H12" i="35"/>
  <c r="B131" i="34"/>
  <c r="B129" i="34"/>
  <c r="B127" i="34"/>
  <c r="B99" i="34"/>
  <c r="B97" i="34"/>
  <c r="B95" i="34"/>
  <c r="B93" i="34"/>
  <c r="B75" i="34"/>
  <c r="B73" i="34"/>
  <c r="B71" i="34"/>
  <c r="B130" i="33"/>
  <c r="B128" i="33"/>
  <c r="H45" i="33" s="1"/>
  <c r="U45" i="33" s="1"/>
  <c r="B126" i="33"/>
  <c r="J44" i="33" s="1"/>
  <c r="B98" i="33"/>
  <c r="F31" i="33" s="1"/>
  <c r="B96" i="33"/>
  <c r="B94" i="33"/>
  <c r="J29" i="33" s="1"/>
  <c r="B74" i="33"/>
  <c r="F14" i="33" s="1"/>
  <c r="AA14" i="33" s="1"/>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c r="G66" i="35"/>
  <c r="D64" i="35"/>
  <c r="E64" i="35" s="1"/>
  <c r="F64" i="35"/>
  <c r="G64" i="35"/>
  <c r="F56" i="35"/>
  <c r="G56" i="35" s="1"/>
  <c r="H56" i="35" s="1"/>
  <c r="I56" i="35" s="1"/>
  <c r="C53" i="35"/>
  <c r="P39" i="35"/>
  <c r="P38" i="35"/>
  <c r="V37" i="35"/>
  <c r="T37" i="35"/>
  <c r="R37" i="35"/>
  <c r="P37" i="35"/>
  <c r="Q36" i="35"/>
  <c r="Z36" i="35"/>
  <c r="J36" i="35"/>
  <c r="AC36" i="35"/>
  <c r="Q35" i="35"/>
  <c r="Z35" i="35"/>
  <c r="Q34" i="35"/>
  <c r="Z34" i="35"/>
  <c r="H34" i="35"/>
  <c r="AB34" i="35" s="1"/>
  <c r="Q33" i="35"/>
  <c r="Z33" i="35" s="1"/>
  <c r="Q32" i="35"/>
  <c r="Z32" i="35"/>
  <c r="H32" i="35"/>
  <c r="AB32" i="35" s="1"/>
  <c r="F32" i="35"/>
  <c r="AA32" i="35"/>
  <c r="Q31" i="35"/>
  <c r="Z31" i="35" s="1"/>
  <c r="AC31" i="35"/>
  <c r="AB31" i="35"/>
  <c r="AA31" i="35"/>
  <c r="Q30" i="35"/>
  <c r="Z30" i="35" s="1"/>
  <c r="Q29" i="35"/>
  <c r="Z29" i="35"/>
  <c r="Q28" i="35"/>
  <c r="Z28" i="35" s="1"/>
  <c r="J28" i="35"/>
  <c r="H28" i="35"/>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c r="Q12" i="35"/>
  <c r="Z12" i="35" s="1"/>
  <c r="W12" i="35"/>
  <c r="F12" i="35"/>
  <c r="AA12" i="35" s="1"/>
  <c r="Q11" i="35"/>
  <c r="Z11" i="35" s="1"/>
  <c r="Q10" i="35"/>
  <c r="Z10" i="35" s="1"/>
  <c r="Q9" i="35"/>
  <c r="Z9" i="35" s="1"/>
  <c r="F9" i="35"/>
  <c r="AA9" i="35" s="1"/>
  <c r="J8" i="35"/>
  <c r="H8" i="35"/>
  <c r="F8" i="35"/>
  <c r="AA8" i="35" s="1"/>
  <c r="C7" i="35"/>
  <c r="C48" i="35" s="1"/>
  <c r="D48" i="35" s="1"/>
  <c r="E48" i="35" s="1"/>
  <c r="F48" i="35" s="1"/>
  <c r="G48" i="35" s="1"/>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s="1"/>
  <c r="F124" i="34" s="1"/>
  <c r="G124" i="34" s="1"/>
  <c r="H124" i="34" s="1"/>
  <c r="I124" i="34" s="1"/>
  <c r="J124" i="34" s="1"/>
  <c r="K124" i="34" s="1"/>
  <c r="L124" i="34" s="1"/>
  <c r="M124" i="34" s="1"/>
  <c r="J43" i="34"/>
  <c r="D118" i="34"/>
  <c r="E118" i="34"/>
  <c r="F118" i="34" s="1"/>
  <c r="G118" i="34" s="1"/>
  <c r="H40" i="34"/>
  <c r="U40" i="34" s="1"/>
  <c r="D116" i="34"/>
  <c r="E116" i="34" s="1"/>
  <c r="F116" i="34"/>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s="1"/>
  <c r="F102" i="34" s="1"/>
  <c r="G102" i="34"/>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H44" i="34"/>
  <c r="AB44" i="34" s="1"/>
  <c r="Q43" i="34"/>
  <c r="Z43" i="34" s="1"/>
  <c r="F43" i="34"/>
  <c r="AA43" i="34" s="1"/>
  <c r="Q42" i="34"/>
  <c r="Z42" i="34" s="1"/>
  <c r="Q41" i="34"/>
  <c r="Z41" i="34" s="1"/>
  <c r="Q40" i="34"/>
  <c r="Z40" i="34"/>
  <c r="F40" i="34"/>
  <c r="S40" i="34" s="1"/>
  <c r="Q39" i="34"/>
  <c r="Z39" i="34"/>
  <c r="J39" i="34"/>
  <c r="H39" i="34"/>
  <c r="U39" i="34" s="1"/>
  <c r="F39" i="34"/>
  <c r="Q38" i="34"/>
  <c r="Z38" i="34"/>
  <c r="Q37" i="34"/>
  <c r="Z37" i="34"/>
  <c r="Q36" i="34"/>
  <c r="Z36" i="34"/>
  <c r="Q35" i="34"/>
  <c r="Z35" i="34"/>
  <c r="Q34" i="34"/>
  <c r="Z34" i="34"/>
  <c r="J34" i="34"/>
  <c r="H34" i="34"/>
  <c r="AB34" i="34" s="1"/>
  <c r="F34" i="34"/>
  <c r="AA34" i="34"/>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Q11" i="34"/>
  <c r="Z11" i="34"/>
  <c r="Q10" i="34"/>
  <c r="Z10" i="34" s="1"/>
  <c r="F10" i="34"/>
  <c r="AA10" i="34"/>
  <c r="Q9" i="34"/>
  <c r="Z9" i="34" s="1"/>
  <c r="J9" i="34"/>
  <c r="AC9" i="34"/>
  <c r="H9" i="34"/>
  <c r="AB9" i="34" s="1"/>
  <c r="F9" i="34"/>
  <c r="AA9" i="34"/>
  <c r="J8" i="34"/>
  <c r="AC8" i="34" s="1"/>
  <c r="H8" i="34"/>
  <c r="U8" i="34"/>
  <c r="F8" i="34"/>
  <c r="AA8" i="34" s="1"/>
  <c r="C7" i="34"/>
  <c r="C59" i="34" s="1"/>
  <c r="D59" i="34" s="1"/>
  <c r="D121" i="33"/>
  <c r="F109" i="33"/>
  <c r="E109" i="33"/>
  <c r="D109" i="33"/>
  <c r="C109" i="33"/>
  <c r="D91" i="33"/>
  <c r="E91" i="33" s="1"/>
  <c r="F91" i="33" s="1"/>
  <c r="G91" i="33"/>
  <c r="H91" i="33" s="1"/>
  <c r="I91" i="33" s="1"/>
  <c r="J91" i="33" s="1"/>
  <c r="K91" i="33" s="1"/>
  <c r="L91" i="33" s="1"/>
  <c r="M91" i="33" s="1"/>
  <c r="B88" i="33"/>
  <c r="J26" i="33" s="1"/>
  <c r="AC26" i="33" s="1"/>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J28" i="33" s="1"/>
  <c r="B90" i="33"/>
  <c r="H27" i="33" s="1"/>
  <c r="D87" i="33"/>
  <c r="E87" i="33"/>
  <c r="D85" i="33"/>
  <c r="E85" i="33" s="1"/>
  <c r="D81" i="33"/>
  <c r="E81" i="33" s="1"/>
  <c r="F81" i="33" s="1"/>
  <c r="G81" i="33" s="1"/>
  <c r="D79" i="33"/>
  <c r="E79" i="33" s="1"/>
  <c r="D77" i="33"/>
  <c r="E77" i="33" s="1"/>
  <c r="F77" i="33"/>
  <c r="G77" i="33"/>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c r="J42" i="33"/>
  <c r="AC42" i="33" s="1"/>
  <c r="W41" i="33"/>
  <c r="Q41" i="33"/>
  <c r="Z41" i="33"/>
  <c r="Q40" i="33"/>
  <c r="Z40" i="33"/>
  <c r="J40" i="33"/>
  <c r="AC40" i="33"/>
  <c r="H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c r="Q9" i="33"/>
  <c r="Z9" i="33" s="1"/>
  <c r="J8" i="33"/>
  <c r="W8" i="33"/>
  <c r="H8" i="33"/>
  <c r="F8" i="33"/>
  <c r="C7" i="33"/>
  <c r="C58" i="33" s="1"/>
  <c r="D58" i="33" s="1"/>
  <c r="E58" i="33" s="1"/>
  <c r="M102" i="21"/>
  <c r="D102" i="21"/>
  <c r="E102" i="21"/>
  <c r="F102" i="21"/>
  <c r="G102" i="21"/>
  <c r="H102" i="21"/>
  <c r="I102" i="21"/>
  <c r="J102" i="21"/>
  <c r="K102" i="21"/>
  <c r="L102" i="21"/>
  <c r="C102" i="21"/>
  <c r="C63" i="21"/>
  <c r="F9" i="21" s="1"/>
  <c r="S9" i="21"/>
  <c r="G18" i="20"/>
  <c r="B87" i="46" s="1"/>
  <c r="C25" i="40"/>
  <c r="G16" i="20"/>
  <c r="B81" i="46"/>
  <c r="G15" i="20"/>
  <c r="B80" i="46" s="1"/>
  <c r="C24" i="20"/>
  <c r="B72" i="46" s="1"/>
  <c r="C21" i="20"/>
  <c r="B73" i="46" s="1"/>
  <c r="C20" i="20"/>
  <c r="B76" i="46"/>
  <c r="C18" i="20"/>
  <c r="C23" i="39" s="1"/>
  <c r="B70" i="46"/>
  <c r="C17" i="20"/>
  <c r="B58" i="46"/>
  <c r="C16" i="20"/>
  <c r="B47" i="46"/>
  <c r="C15" i="20"/>
  <c r="B69" i="46"/>
  <c r="E54" i="21"/>
  <c r="F54" i="21"/>
  <c r="I54" i="21"/>
  <c r="J54" i="21"/>
  <c r="G54" i="21"/>
  <c r="H54" i="21"/>
  <c r="D125" i="21"/>
  <c r="E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c r="D108" i="21"/>
  <c r="E108" i="21" s="1"/>
  <c r="F108" i="21" s="1"/>
  <c r="G108" i="21" s="1"/>
  <c r="H108" i="21" s="1"/>
  <c r="I108" i="21" s="1"/>
  <c r="J108" i="21" s="1"/>
  <c r="K108" i="21" s="1"/>
  <c r="L108" i="21" s="1"/>
  <c r="M108" i="21" s="1"/>
  <c r="D106" i="21"/>
  <c r="E106" i="2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J44" i="21" s="1"/>
  <c r="AC44" i="21" s="1"/>
  <c r="B98" i="21"/>
  <c r="B96" i="21"/>
  <c r="B94" i="21"/>
  <c r="B92" i="21"/>
  <c r="F28" i="21" s="1"/>
  <c r="B90" i="21"/>
  <c r="B74" i="21"/>
  <c r="B72" i="21"/>
  <c r="B70" i="21"/>
  <c r="F10" i="21"/>
  <c r="AA10" i="21" s="1"/>
  <c r="C7" i="21"/>
  <c r="C58" i="21" s="1"/>
  <c r="D58" i="21" s="1"/>
  <c r="E58"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Q40" i="21"/>
  <c r="Z40" i="21"/>
  <c r="Q41" i="21"/>
  <c r="Z41" i="21" s="1"/>
  <c r="Q42" i="21"/>
  <c r="Z42" i="21"/>
  <c r="J43" i="21"/>
  <c r="AC43" i="21" s="1"/>
  <c r="Q43" i="21"/>
  <c r="Z43" i="21"/>
  <c r="Q44" i="21"/>
  <c r="Z44" i="21" s="1"/>
  <c r="Q45" i="21"/>
  <c r="Z45" i="21"/>
  <c r="Q46" i="21"/>
  <c r="Z46" i="21" s="1"/>
  <c r="P47" i="21"/>
  <c r="R47" i="21"/>
  <c r="T47" i="21"/>
  <c r="V47" i="21"/>
  <c r="P48" i="21"/>
  <c r="P49" i="21"/>
  <c r="F8" i="21"/>
  <c r="S8" i="21" s="1"/>
  <c r="E13" i="11"/>
  <c r="E12" i="11"/>
  <c r="C9" i="12"/>
  <c r="BB12" i="3"/>
  <c r="F9" i="12"/>
  <c r="D9" i="12"/>
  <c r="E9" i="12"/>
  <c r="G9" i="12"/>
  <c r="K5" i="3"/>
  <c r="J5" i="3"/>
  <c r="BE10" i="3"/>
  <c r="BT5" i="3"/>
  <c r="BB570" i="3"/>
  <c r="BA570" i="3" s="1"/>
  <c r="AZ570" i="3" s="1"/>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I5" i="3"/>
  <c r="F19" i="6" s="1"/>
  <c r="E19" i="6" s="1"/>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F38" i="21"/>
  <c r="AA38" i="21" s="1"/>
  <c r="F36" i="21"/>
  <c r="S36" i="21"/>
  <c r="F39" i="21"/>
  <c r="AA39" i="21" s="1"/>
  <c r="J40" i="21"/>
  <c r="W40" i="21"/>
  <c r="H35" i="21"/>
  <c r="AB35" i="21" s="1"/>
  <c r="J8" i="21"/>
  <c r="AC8" i="21"/>
  <c r="J9" i="21"/>
  <c r="AC9" i="21" s="1"/>
  <c r="H8" i="21"/>
  <c r="H9" i="21"/>
  <c r="AB9" i="21"/>
  <c r="H10" i="21"/>
  <c r="U10" i="21" s="1"/>
  <c r="H39" i="21"/>
  <c r="AB39" i="21" s="1"/>
  <c r="J34" i="21"/>
  <c r="W34" i="21" s="1"/>
  <c r="H36" i="21"/>
  <c r="U36" i="21" s="1"/>
  <c r="F35" i="21"/>
  <c r="AA35" i="21" s="1"/>
  <c r="J33" i="21"/>
  <c r="W33" i="21" s="1"/>
  <c r="H33" i="21"/>
  <c r="U33" i="21" s="1"/>
  <c r="F33" i="21"/>
  <c r="J10" i="21"/>
  <c r="AC10" i="21" s="1"/>
  <c r="H26" i="21"/>
  <c r="F19" i="21"/>
  <c r="AA19" i="21"/>
  <c r="H19" i="21"/>
  <c r="AB19" i="21" s="1"/>
  <c r="J19" i="21"/>
  <c r="W19" i="21" s="1"/>
  <c r="J12" i="21"/>
  <c r="J26" i="21"/>
  <c r="W26" i="21" s="1"/>
  <c r="F26" i="21"/>
  <c r="AA26" i="21"/>
  <c r="S41" i="21"/>
  <c r="AA41" i="21"/>
  <c r="W41" i="21"/>
  <c r="S10" i="39"/>
  <c r="U30" i="37"/>
  <c r="F103" i="37"/>
  <c r="F39" i="37"/>
  <c r="S39" i="37" s="1"/>
  <c r="F29" i="36"/>
  <c r="AA29" i="36"/>
  <c r="F16" i="36"/>
  <c r="AA16" i="36" s="1"/>
  <c r="W23" i="36"/>
  <c r="W22" i="36"/>
  <c r="AC31" i="36"/>
  <c r="J33" i="36"/>
  <c r="W33" i="36" s="1"/>
  <c r="AC27" i="35"/>
  <c r="U31" i="35"/>
  <c r="W36" i="35"/>
  <c r="S31" i="35"/>
  <c r="W31" i="35"/>
  <c r="U34" i="35"/>
  <c r="F36" i="34"/>
  <c r="S36" i="34"/>
  <c r="W9" i="34"/>
  <c r="S34" i="34"/>
  <c r="H39" i="33"/>
  <c r="AB39" i="33"/>
  <c r="F26" i="33"/>
  <c r="AA26" i="33" s="1"/>
  <c r="U33" i="33"/>
  <c r="W38" i="33"/>
  <c r="S33" i="33"/>
  <c r="W33" i="33"/>
  <c r="U38" i="33"/>
  <c r="W8" i="21"/>
  <c r="H39" i="37"/>
  <c r="AB39" i="37" s="1"/>
  <c r="AB27" i="35"/>
  <c r="S10" i="40"/>
  <c r="W10" i="40"/>
  <c r="S11" i="40"/>
  <c r="U11" i="40"/>
  <c r="S36" i="40"/>
  <c r="U36" i="40"/>
  <c r="S40" i="39"/>
  <c r="S36" i="39"/>
  <c r="F11" i="21"/>
  <c r="S11" i="21" s="1"/>
  <c r="AC40" i="21"/>
  <c r="AC35" i="21"/>
  <c r="C29" i="39"/>
  <c r="U36" i="39"/>
  <c r="S42" i="39"/>
  <c r="H32" i="33"/>
  <c r="AB32" i="33" s="1"/>
  <c r="H11" i="21"/>
  <c r="U11" i="21" s="1"/>
  <c r="J11" i="21"/>
  <c r="W11" i="21" s="1"/>
  <c r="F100" i="40"/>
  <c r="F86" i="40"/>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H16" i="35"/>
  <c r="U16" i="35" s="1"/>
  <c r="H33" i="35"/>
  <c r="AB33" i="35" s="1"/>
  <c r="W8" i="35"/>
  <c r="AC8" i="35"/>
  <c r="F35" i="37"/>
  <c r="J34" i="37"/>
  <c r="W34" i="37" s="1"/>
  <c r="H43" i="34"/>
  <c r="U42" i="34"/>
  <c r="E114" i="34"/>
  <c r="H36" i="34"/>
  <c r="U36" i="34" s="1"/>
  <c r="F37" i="34"/>
  <c r="AA37" i="34" s="1"/>
  <c r="F33" i="34"/>
  <c r="S33" i="34" s="1"/>
  <c r="AA28" i="34"/>
  <c r="F19" i="34"/>
  <c r="AA19" i="34" s="1"/>
  <c r="J10" i="34"/>
  <c r="AC10" i="34"/>
  <c r="U9" i="34"/>
  <c r="W8" i="34"/>
  <c r="J28" i="34"/>
  <c r="W28" i="34"/>
  <c r="S38" i="33"/>
  <c r="E113" i="33"/>
  <c r="F36" i="33"/>
  <c r="S36" i="33"/>
  <c r="F19" i="33"/>
  <c r="S19" i="33" s="1"/>
  <c r="J19" i="33"/>
  <c r="S10" i="21"/>
  <c r="W40" i="33"/>
  <c r="F125" i="21"/>
  <c r="G125" i="21" s="1"/>
  <c r="G86" i="40"/>
  <c r="AB30" i="36"/>
  <c r="AC34" i="36"/>
  <c r="S22" i="35"/>
  <c r="H29" i="35"/>
  <c r="U29" i="35" s="1"/>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A38" i="34"/>
  <c r="S38" i="34"/>
  <c r="J37" i="33"/>
  <c r="W37" i="33" s="1"/>
  <c r="J42" i="21"/>
  <c r="AC42" i="21" s="1"/>
  <c r="J44" i="34"/>
  <c r="AC44" i="34" s="1"/>
  <c r="F44" i="34"/>
  <c r="S44" i="34" s="1"/>
  <c r="J10" i="35"/>
  <c r="W10" i="35" s="1"/>
  <c r="AL5" i="3"/>
  <c r="BL572" i="3"/>
  <c r="J14" i="21"/>
  <c r="F14" i="21"/>
  <c r="AA14" i="21" s="1"/>
  <c r="H14" i="21"/>
  <c r="U14" i="21" s="1"/>
  <c r="H28" i="21"/>
  <c r="AB28" i="21" s="1"/>
  <c r="H30" i="21"/>
  <c r="U30" i="21" s="1"/>
  <c r="F30" i="21"/>
  <c r="S30" i="21"/>
  <c r="J30" i="21"/>
  <c r="AC30" i="21" s="1"/>
  <c r="H44" i="21"/>
  <c r="U44" i="21" s="1"/>
  <c r="H46" i="21"/>
  <c r="AB46" i="21" s="1"/>
  <c r="J46" i="21"/>
  <c r="W46" i="21" s="1"/>
  <c r="F46" i="21"/>
  <c r="AA46" i="21" s="1"/>
  <c r="H28" i="33"/>
  <c r="F28" i="33"/>
  <c r="AA28" i="33" s="1"/>
  <c r="F33" i="35"/>
  <c r="S33" i="35" s="1"/>
  <c r="J33" i="35"/>
  <c r="W33" i="35"/>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13" i="33"/>
  <c r="S13" i="33" s="1"/>
  <c r="J31" i="33"/>
  <c r="AC31" i="33" s="1"/>
  <c r="J45" i="33"/>
  <c r="W45" i="33" s="1"/>
  <c r="F45" i="33"/>
  <c r="S45" i="33"/>
  <c r="F11" i="35"/>
  <c r="S11" i="35" s="1"/>
  <c r="H28" i="36"/>
  <c r="U28" i="36"/>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c r="F105" i="37"/>
  <c r="AB36" i="37"/>
  <c r="J37" i="37"/>
  <c r="AC37" i="37" s="1"/>
  <c r="H37" i="37"/>
  <c r="U37" i="37" s="1"/>
  <c r="H40" i="37"/>
  <c r="U40" i="37" s="1"/>
  <c r="J40" i="37"/>
  <c r="F40" i="37"/>
  <c r="AA40" i="37"/>
  <c r="H14" i="33"/>
  <c r="U14" i="33" s="1"/>
  <c r="J14" i="33"/>
  <c r="AC14" i="33" s="1"/>
  <c r="H30" i="33"/>
  <c r="AB30" i="33"/>
  <c r="F30" i="33"/>
  <c r="S30" i="33" s="1"/>
  <c r="J30" i="33"/>
  <c r="H44" i="33"/>
  <c r="U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F13" i="37"/>
  <c r="S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U30" i="33"/>
  <c r="J36" i="37"/>
  <c r="AC36" i="37" s="1"/>
  <c r="G105" i="37"/>
  <c r="AB28" i="36"/>
  <c r="AB31" i="21"/>
  <c r="S46" i="21"/>
  <c r="AB30" i="21"/>
  <c r="W14" i="21"/>
  <c r="AC14" i="21"/>
  <c r="S46" i="33"/>
  <c r="U36" i="37"/>
  <c r="AB45" i="33"/>
  <c r="S19" i="21"/>
  <c r="G529" i="3"/>
  <c r="G521" i="3"/>
  <c r="G517" i="3"/>
  <c r="G508" i="3"/>
  <c r="G499" i="3"/>
  <c r="G485" i="3"/>
  <c r="G565" i="3"/>
  <c r="G561" i="3"/>
  <c r="G549" i="3"/>
  <c r="G545" i="3"/>
  <c r="G539" i="3"/>
  <c r="BL569" i="3"/>
  <c r="BL561" i="3"/>
  <c r="BL557" i="3"/>
  <c r="BL545" i="3"/>
  <c r="BL535" i="3"/>
  <c r="BL527" i="3"/>
  <c r="BL501" i="3"/>
  <c r="BL491" i="3"/>
  <c r="BL483" i="3"/>
  <c r="BL559" i="3"/>
  <c r="BL551" i="3"/>
  <c r="BL541" i="3"/>
  <c r="BL533" i="3"/>
  <c r="BL525" i="3"/>
  <c r="G518" i="3"/>
  <c r="G514" i="3"/>
  <c r="G510" i="3"/>
  <c r="BL485" i="3"/>
  <c r="BA569" i="3"/>
  <c r="AZ569" i="3" s="1"/>
  <c r="BA561" i="3"/>
  <c r="AZ561" i="3"/>
  <c r="BA559" i="3"/>
  <c r="AZ559" i="3" s="1"/>
  <c r="BA555" i="3"/>
  <c r="AZ555" i="3" s="1"/>
  <c r="BA551" i="3"/>
  <c r="AZ551" i="3" s="1"/>
  <c r="BA545" i="3"/>
  <c r="AZ545" i="3" s="1"/>
  <c r="BA543" i="3"/>
  <c r="AZ543" i="3" s="1"/>
  <c r="BA541" i="3"/>
  <c r="AZ541" i="3" s="1"/>
  <c r="BA531" i="3"/>
  <c r="BA521" i="3"/>
  <c r="BA501" i="3"/>
  <c r="AZ501" i="3" s="1"/>
  <c r="BA493" i="3"/>
  <c r="AZ493" i="3" s="1"/>
  <c r="BA487" i="3"/>
  <c r="BA572" i="3"/>
  <c r="AZ572" i="3" s="1"/>
  <c r="BA566" i="3"/>
  <c r="BA562" i="3"/>
  <c r="BA560" i="3"/>
  <c r="BA558" i="3"/>
  <c r="AZ558" i="3" s="1"/>
  <c r="BA556" i="3"/>
  <c r="AZ556" i="3" s="1"/>
  <c r="BA550" i="3"/>
  <c r="BA546" i="3"/>
  <c r="BA544" i="3"/>
  <c r="BA536" i="3"/>
  <c r="BA532" i="3"/>
  <c r="BA528" i="3"/>
  <c r="BA524" i="3"/>
  <c r="BA520" i="3"/>
  <c r="AZ520" i="3" s="1"/>
  <c r="BA508" i="3"/>
  <c r="BA502" i="3"/>
  <c r="AZ502" i="3" s="1"/>
  <c r="BA498" i="3"/>
  <c r="BA492" i="3"/>
  <c r="AZ492" i="3" s="1"/>
  <c r="BA488" i="3"/>
  <c r="BA484" i="3"/>
  <c r="G562" i="3"/>
  <c r="G560" i="3"/>
  <c r="G558" i="3"/>
  <c r="G556" i="3"/>
  <c r="G554" i="3"/>
  <c r="G550" i="3"/>
  <c r="G546" i="3"/>
  <c r="BL543" i="3"/>
  <c r="BA542" i="3"/>
  <c r="AZ542" i="3" s="1"/>
  <c r="AC542" i="3"/>
  <c r="G542" i="3" s="1"/>
  <c r="BQ542" i="3"/>
  <c r="BL542" i="3"/>
  <c r="BQ568" i="3"/>
  <c r="BQ566" i="3"/>
  <c r="BQ564" i="3"/>
  <c r="BL564" i="3" s="1"/>
  <c r="BQ562" i="3"/>
  <c r="BL562" i="3" s="1"/>
  <c r="AZ562" i="3" s="1"/>
  <c r="BQ560" i="3"/>
  <c r="BL560" i="3" s="1"/>
  <c r="AZ560" i="3" s="1"/>
  <c r="BQ558" i="3"/>
  <c r="BL558" i="3"/>
  <c r="BQ556" i="3"/>
  <c r="BQ554" i="3"/>
  <c r="BQ552" i="3"/>
  <c r="BQ550" i="3"/>
  <c r="BL550" i="3"/>
  <c r="AZ550" i="3" s="1"/>
  <c r="BQ548" i="3"/>
  <c r="BQ546" i="3"/>
  <c r="BL546" i="3" s="1"/>
  <c r="BQ544" i="3"/>
  <c r="BL544" i="3" s="1"/>
  <c r="AZ544" i="3" s="1"/>
  <c r="G544" i="3"/>
  <c r="G538" i="3"/>
  <c r="G534" i="3"/>
  <c r="G530" i="3"/>
  <c r="G526" i="3"/>
  <c r="G522" i="3"/>
  <c r="BQ540" i="3"/>
  <c r="BQ538" i="3"/>
  <c r="BL538" i="3"/>
  <c r="BQ536" i="3"/>
  <c r="BQ534" i="3"/>
  <c r="BL534" i="3" s="1"/>
  <c r="BQ532" i="3"/>
  <c r="BL532" i="3" s="1"/>
  <c r="AZ532" i="3" s="1"/>
  <c r="BQ530" i="3"/>
  <c r="BQ528" i="3"/>
  <c r="BQ526" i="3"/>
  <c r="BL526" i="3" s="1"/>
  <c r="AZ526" i="3" s="1"/>
  <c r="BQ524" i="3"/>
  <c r="BL524" i="3" s="1"/>
  <c r="AZ524" i="3" s="1"/>
  <c r="BQ522" i="3"/>
  <c r="BQ520" i="3"/>
  <c r="BQ518" i="3"/>
  <c r="BQ516" i="3"/>
  <c r="BL516" i="3" s="1"/>
  <c r="BQ514" i="3"/>
  <c r="BQ512" i="3"/>
  <c r="BQ510" i="3"/>
  <c r="BQ508" i="3"/>
  <c r="BL508" i="3"/>
  <c r="AC506" i="3"/>
  <c r="G506" i="3" s="1"/>
  <c r="BQ506" i="3"/>
  <c r="G502" i="3"/>
  <c r="G498" i="3"/>
  <c r="BQ504" i="3"/>
  <c r="BQ502" i="3"/>
  <c r="BL502" i="3"/>
  <c r="BQ500" i="3"/>
  <c r="BL500" i="3" s="1"/>
  <c r="BQ498" i="3"/>
  <c r="BQ496" i="3"/>
  <c r="BL496" i="3" s="1"/>
  <c r="AC494" i="3"/>
  <c r="BQ494" i="3"/>
  <c r="G492" i="3"/>
  <c r="G488" i="3"/>
  <c r="G484" i="3"/>
  <c r="BQ492" i="3"/>
  <c r="BL492" i="3"/>
  <c r="BQ490" i="3"/>
  <c r="BQ488" i="3"/>
  <c r="BL488" i="3" s="1"/>
  <c r="AZ488" i="3" s="1"/>
  <c r="BQ486" i="3"/>
  <c r="BQ484" i="3"/>
  <c r="BL484" i="3" s="1"/>
  <c r="AZ484" i="3" s="1"/>
  <c r="BQ482" i="3"/>
  <c r="BL482"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s="1"/>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s="1"/>
  <c r="F17" i="37"/>
  <c r="AA17" i="37"/>
  <c r="AB43" i="33"/>
  <c r="D3" i="21"/>
  <c r="AC33" i="36"/>
  <c r="AC12" i="35"/>
  <c r="W23" i="35"/>
  <c r="S27" i="37"/>
  <c r="U39" i="37"/>
  <c r="AC8" i="37"/>
  <c r="AC36" i="34"/>
  <c r="AB8" i="34"/>
  <c r="AC37" i="33"/>
  <c r="U19" i="21"/>
  <c r="AC33" i="21"/>
  <c r="AA36" i="21"/>
  <c r="S39" i="33"/>
  <c r="F43" i="33"/>
  <c r="AA43" i="33" s="1"/>
  <c r="AA23" i="37"/>
  <c r="AB44" i="33"/>
  <c r="AA9" i="21"/>
  <c r="F37" i="21"/>
  <c r="S37" i="21" s="1"/>
  <c r="J37" i="21"/>
  <c r="W37" i="21"/>
  <c r="H19" i="34"/>
  <c r="AB19" i="34" s="1"/>
  <c r="J10" i="37"/>
  <c r="W10" i="37"/>
  <c r="F36" i="35"/>
  <c r="S36" i="35" s="1"/>
  <c r="J9" i="37"/>
  <c r="W9" i="37"/>
  <c r="H9" i="37"/>
  <c r="U9" i="37" s="1"/>
  <c r="F9" i="37"/>
  <c r="S9" i="37"/>
  <c r="F11" i="37"/>
  <c r="S11" i="37" s="1"/>
  <c r="J12" i="37"/>
  <c r="AC12" i="37"/>
  <c r="H12" i="37"/>
  <c r="AB12" i="37" s="1"/>
  <c r="F12" i="37"/>
  <c r="AA12" i="37"/>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U40" i="39"/>
  <c r="F90" i="40"/>
  <c r="G90" i="40" s="1"/>
  <c r="J21" i="40"/>
  <c r="AC21" i="40" s="1"/>
  <c r="S27" i="31"/>
  <c r="G483" i="3"/>
  <c r="G515" i="3"/>
  <c r="G507" i="3"/>
  <c r="G501" i="3"/>
  <c r="J57" i="39"/>
  <c r="H13" i="40"/>
  <c r="U13" i="40" s="1"/>
  <c r="H12" i="48"/>
  <c r="I4" i="4"/>
  <c r="K141" i="21"/>
  <c r="K143" i="21"/>
  <c r="K144" i="21"/>
  <c r="I59" i="40"/>
  <c r="C59" i="40" s="1"/>
  <c r="I60" i="40"/>
  <c r="C60" i="40" s="1"/>
  <c r="G297" i="3"/>
  <c r="BL298" i="3"/>
  <c r="G299" i="3"/>
  <c r="BL300" i="3"/>
  <c r="BA302" i="3"/>
  <c r="AZ302" i="3" s="1"/>
  <c r="BA303" i="3"/>
  <c r="BL303" i="3"/>
  <c r="AZ303" i="3" s="1"/>
  <c r="G304" i="3"/>
  <c r="BA305" i="3"/>
  <c r="AZ305" i="3"/>
  <c r="G321" i="3"/>
  <c r="BL322" i="3"/>
  <c r="G323" i="3"/>
  <c r="BL324" i="3"/>
  <c r="BA326" i="3"/>
  <c r="AZ326" i="3" s="1"/>
  <c r="BA327" i="3"/>
  <c r="BL327" i="3"/>
  <c r="AZ327" i="3"/>
  <c r="G328" i="3"/>
  <c r="BA329" i="3"/>
  <c r="AZ329" i="3"/>
  <c r="G337" i="3"/>
  <c r="BL338" i="3"/>
  <c r="G339" i="3"/>
  <c r="BL340" i="3"/>
  <c r="BA342" i="3"/>
  <c r="AZ342" i="3" s="1"/>
  <c r="BA343" i="3"/>
  <c r="BL343" i="3"/>
  <c r="AZ343" i="3"/>
  <c r="G344" i="3"/>
  <c r="BA345" i="3"/>
  <c r="AZ345" i="3"/>
  <c r="G353" i="3"/>
  <c r="BL354" i="3"/>
  <c r="G355" i="3"/>
  <c r="BL356" i="3"/>
  <c r="G357" i="3"/>
  <c r="BL358" i="3"/>
  <c r="G359" i="3"/>
  <c r="BA360" i="3"/>
  <c r="AZ360" i="3" s="1"/>
  <c r="BA361" i="3"/>
  <c r="BL361" i="3"/>
  <c r="G362" i="3"/>
  <c r="BA363" i="3"/>
  <c r="G371" i="3"/>
  <c r="BL372" i="3"/>
  <c r="G373" i="3"/>
  <c r="BL374" i="3"/>
  <c r="BA376" i="3"/>
  <c r="AZ376" i="3"/>
  <c r="BA377" i="3"/>
  <c r="AZ377" i="3" s="1"/>
  <c r="BL377" i="3"/>
  <c r="G378" i="3"/>
  <c r="BA379" i="3"/>
  <c r="AZ379" i="3" s="1"/>
  <c r="BA114" i="3"/>
  <c r="AZ114" i="3" s="1"/>
  <c r="BL115" i="3"/>
  <c r="AZ115" i="3"/>
  <c r="G116" i="3"/>
  <c r="BA118" i="3"/>
  <c r="AZ118" i="3"/>
  <c r="BL119" i="3"/>
  <c r="AZ119" i="3" s="1"/>
  <c r="G120" i="3"/>
  <c r="BA122" i="3"/>
  <c r="AZ122" i="3"/>
  <c r="BL123" i="3"/>
  <c r="AZ123" i="3" s="1"/>
  <c r="G124" i="3"/>
  <c r="BA126" i="3"/>
  <c r="AZ126" i="3" s="1"/>
  <c r="BL127" i="3"/>
  <c r="G128" i="3"/>
  <c r="BA130" i="3"/>
  <c r="AZ130" i="3" s="1"/>
  <c r="BL131" i="3"/>
  <c r="AZ131" i="3"/>
  <c r="G132" i="3"/>
  <c r="BA134" i="3"/>
  <c r="AZ134" i="3" s="1"/>
  <c r="BL135" i="3"/>
  <c r="AZ135" i="3"/>
  <c r="G136" i="3"/>
  <c r="BA138" i="3"/>
  <c r="AZ138" i="3"/>
  <c r="BL139" i="3"/>
  <c r="AZ139" i="3" s="1"/>
  <c r="G140" i="3"/>
  <c r="BA142" i="3"/>
  <c r="AZ142" i="3"/>
  <c r="BL143" i="3"/>
  <c r="AZ143" i="3" s="1"/>
  <c r="G144" i="3"/>
  <c r="BA146" i="3"/>
  <c r="AZ146" i="3"/>
  <c r="BL147" i="3"/>
  <c r="AZ147" i="3" s="1"/>
  <c r="G148" i="3"/>
  <c r="BA150" i="3"/>
  <c r="AZ150" i="3" s="1"/>
  <c r="BL151" i="3"/>
  <c r="AZ151" i="3"/>
  <c r="BA153" i="3"/>
  <c r="AZ153" i="3" s="1"/>
  <c r="BL154" i="3"/>
  <c r="G155" i="3"/>
  <c r="BA157" i="3"/>
  <c r="AZ157" i="3" s="1"/>
  <c r="BL158" i="3"/>
  <c r="G159" i="3"/>
  <c r="BA161" i="3"/>
  <c r="AZ161" i="3" s="1"/>
  <c r="BL162" i="3"/>
  <c r="G163" i="3"/>
  <c r="BA165" i="3"/>
  <c r="AZ165" i="3" s="1"/>
  <c r="BL166" i="3"/>
  <c r="G167" i="3"/>
  <c r="BA169" i="3"/>
  <c r="AZ169" i="3" s="1"/>
  <c r="BL170" i="3"/>
  <c r="G171" i="3"/>
  <c r="BA173" i="3"/>
  <c r="AZ173" i="3" s="1"/>
  <c r="BL174" i="3"/>
  <c r="G175" i="3"/>
  <c r="BA178" i="3"/>
  <c r="AZ178" i="3" s="1"/>
  <c r="BL179" i="3"/>
  <c r="G180" i="3"/>
  <c r="AZ23" i="3"/>
  <c r="AZ27" i="3"/>
  <c r="AZ31" i="3"/>
  <c r="AZ35" i="3"/>
  <c r="AZ39" i="3"/>
  <c r="AZ43" i="3"/>
  <c r="AZ47" i="3"/>
  <c r="AZ51" i="3"/>
  <c r="AZ55" i="3"/>
  <c r="AZ59" i="3"/>
  <c r="G537" i="3"/>
  <c r="BL181" i="3"/>
  <c r="AZ181" i="3"/>
  <c r="G182" i="3"/>
  <c r="BA184" i="3"/>
  <c r="AZ184" i="3"/>
  <c r="BL185" i="3"/>
  <c r="AZ185" i="3" s="1"/>
  <c r="G186" i="3"/>
  <c r="BA188" i="3"/>
  <c r="AZ188" i="3"/>
  <c r="BL189" i="3"/>
  <c r="AZ189" i="3" s="1"/>
  <c r="G190" i="3"/>
  <c r="BA192" i="3"/>
  <c r="AZ192" i="3"/>
  <c r="BL193" i="3"/>
  <c r="AZ193" i="3" s="1"/>
  <c r="G194" i="3"/>
  <c r="BA196" i="3"/>
  <c r="AZ196" i="3" s="1"/>
  <c r="BL197" i="3"/>
  <c r="AZ197" i="3"/>
  <c r="G198" i="3"/>
  <c r="BA200" i="3"/>
  <c r="AZ200" i="3" s="1"/>
  <c r="BL201" i="3"/>
  <c r="AZ201" i="3" s="1"/>
  <c r="AZ66" i="3"/>
  <c r="AZ70" i="3"/>
  <c r="AZ74" i="3"/>
  <c r="AZ78" i="3"/>
  <c r="AZ86" i="3"/>
  <c r="AZ94" i="3"/>
  <c r="AZ102" i="3"/>
  <c r="AZ106" i="3"/>
  <c r="G491" i="3"/>
  <c r="BA298" i="3"/>
  <c r="AZ298" i="3" s="1"/>
  <c r="BA299" i="3"/>
  <c r="BL299" i="3"/>
  <c r="AZ299" i="3" s="1"/>
  <c r="G300" i="3"/>
  <c r="G303" i="3"/>
  <c r="BL304" i="3"/>
  <c r="BA306" i="3"/>
  <c r="BA307" i="3"/>
  <c r="BL307" i="3"/>
  <c r="AZ307" i="3"/>
  <c r="G308" i="3"/>
  <c r="G319" i="3"/>
  <c r="BL320" i="3"/>
  <c r="BA322" i="3"/>
  <c r="BA323" i="3"/>
  <c r="AZ323" i="3" s="1"/>
  <c r="BL323" i="3"/>
  <c r="G324" i="3"/>
  <c r="G327" i="3"/>
  <c r="BL328" i="3"/>
  <c r="BA330" i="3"/>
  <c r="AZ330" i="3"/>
  <c r="BA331" i="3"/>
  <c r="AZ331" i="3" s="1"/>
  <c r="BL331" i="3"/>
  <c r="G332" i="3"/>
  <c r="G335" i="3"/>
  <c r="BL336" i="3"/>
  <c r="BA338" i="3"/>
  <c r="AZ338" i="3"/>
  <c r="BA339" i="3"/>
  <c r="BL339" i="3"/>
  <c r="G340" i="3"/>
  <c r="G343" i="3"/>
  <c r="BL344" i="3"/>
  <c r="BA346" i="3"/>
  <c r="AZ346" i="3" s="1"/>
  <c r="BA347" i="3"/>
  <c r="AZ347" i="3" s="1"/>
  <c r="BL347" i="3"/>
  <c r="G348" i="3"/>
  <c r="G351" i="3"/>
  <c r="BL352" i="3"/>
  <c r="BA354" i="3"/>
  <c r="AZ354" i="3" s="1"/>
  <c r="BA355" i="3"/>
  <c r="AZ355" i="3" s="1"/>
  <c r="BL355" i="3"/>
  <c r="G356" i="3"/>
  <c r="AZ127" i="3"/>
  <c r="BA358" i="3"/>
  <c r="AZ358" i="3" s="1"/>
  <c r="BA359" i="3"/>
  <c r="AZ359" i="3" s="1"/>
  <c r="BL359" i="3"/>
  <c r="G360" i="3"/>
  <c r="G361" i="3"/>
  <c r="BL362" i="3"/>
  <c r="BA364" i="3"/>
  <c r="AZ364" i="3"/>
  <c r="BA365" i="3"/>
  <c r="AZ365" i="3" s="1"/>
  <c r="BL365" i="3"/>
  <c r="G366" i="3"/>
  <c r="G369" i="3"/>
  <c r="BL370" i="3"/>
  <c r="BA372" i="3"/>
  <c r="AZ372" i="3"/>
  <c r="BA373" i="3"/>
  <c r="BL373" i="3"/>
  <c r="AZ373" i="3"/>
  <c r="G374" i="3"/>
  <c r="G377" i="3"/>
  <c r="BL378" i="3"/>
  <c r="BA380" i="3"/>
  <c r="AZ380" i="3"/>
  <c r="BA381" i="3"/>
  <c r="AZ381" i="3" s="1"/>
  <c r="BL381" i="3"/>
  <c r="G382" i="3"/>
  <c r="G385" i="3"/>
  <c r="AZ154" i="3"/>
  <c r="AZ158" i="3"/>
  <c r="AZ162" i="3"/>
  <c r="AZ166" i="3"/>
  <c r="AZ170" i="3"/>
  <c r="AZ174" i="3"/>
  <c r="AZ179" i="3"/>
  <c r="AZ183" i="3"/>
  <c r="AZ187" i="3"/>
  <c r="AZ191" i="3"/>
  <c r="AZ195" i="3"/>
  <c r="AZ199" i="3"/>
  <c r="AZ203" i="3"/>
  <c r="G523" i="3"/>
  <c r="BL297" i="3"/>
  <c r="AZ297" i="3" s="1"/>
  <c r="G298" i="3"/>
  <c r="BA300" i="3"/>
  <c r="AZ300" i="3" s="1"/>
  <c r="BL301" i="3"/>
  <c r="G302" i="3"/>
  <c r="BA304" i="3"/>
  <c r="AZ304" i="3"/>
  <c r="BL305" i="3"/>
  <c r="G306" i="3"/>
  <c r="BA308" i="3"/>
  <c r="BL309" i="3"/>
  <c r="G310" i="3"/>
  <c r="BA310" i="3"/>
  <c r="AZ310" i="3"/>
  <c r="BL311" i="3"/>
  <c r="G312" i="3"/>
  <c r="BA312" i="3"/>
  <c r="AZ312" i="3"/>
  <c r="BL313" i="3"/>
  <c r="G314" i="3"/>
  <c r="BA314" i="3"/>
  <c r="AZ314" i="3"/>
  <c r="BL315" i="3"/>
  <c r="G316" i="3"/>
  <c r="BA316" i="3"/>
  <c r="AZ316" i="3"/>
  <c r="BL317" i="3"/>
  <c r="AZ317" i="3" s="1"/>
  <c r="G318" i="3"/>
  <c r="BA320" i="3"/>
  <c r="AZ320" i="3"/>
  <c r="BL321" i="3"/>
  <c r="G322" i="3"/>
  <c r="BA324" i="3"/>
  <c r="AZ324" i="3"/>
  <c r="BL325" i="3"/>
  <c r="G326" i="3"/>
  <c r="BA328" i="3"/>
  <c r="AZ328" i="3"/>
  <c r="BL329" i="3"/>
  <c r="G330" i="3"/>
  <c r="BA332" i="3"/>
  <c r="AZ332" i="3"/>
  <c r="BL333" i="3"/>
  <c r="G334" i="3"/>
  <c r="BA336" i="3"/>
  <c r="AZ336" i="3"/>
  <c r="BL337" i="3"/>
  <c r="AZ337" i="3" s="1"/>
  <c r="G338" i="3"/>
  <c r="BA340" i="3"/>
  <c r="AZ340" i="3"/>
  <c r="BL341" i="3"/>
  <c r="G342" i="3"/>
  <c r="BA344" i="3"/>
  <c r="AZ344" i="3"/>
  <c r="BL345" i="3"/>
  <c r="G346" i="3"/>
  <c r="BA348" i="3"/>
  <c r="AZ348" i="3"/>
  <c r="BL349" i="3"/>
  <c r="G350" i="3"/>
  <c r="BA352" i="3"/>
  <c r="AZ352" i="3"/>
  <c r="BL353" i="3"/>
  <c r="G354" i="3"/>
  <c r="BA356" i="3"/>
  <c r="AZ356" i="3"/>
  <c r="BL357" i="3"/>
  <c r="AZ357" i="3" s="1"/>
  <c r="G358" i="3"/>
  <c r="BA362" i="3"/>
  <c r="AZ362" i="3"/>
  <c r="BL363" i="3"/>
  <c r="G364" i="3"/>
  <c r="BA366" i="3"/>
  <c r="AZ366" i="3"/>
  <c r="BL367" i="3"/>
  <c r="AZ205" i="3"/>
  <c r="AZ209" i="3"/>
  <c r="AZ213" i="3"/>
  <c r="AZ217" i="3"/>
  <c r="AZ221" i="3"/>
  <c r="AZ225" i="3"/>
  <c r="AZ229" i="3"/>
  <c r="AZ233" i="3"/>
  <c r="AZ237" i="3"/>
  <c r="AZ241" i="3"/>
  <c r="AZ245" i="3"/>
  <c r="AZ309" i="3"/>
  <c r="AZ321" i="3"/>
  <c r="AZ325" i="3"/>
  <c r="AZ333" i="3"/>
  <c r="AZ341" i="3"/>
  <c r="AZ349" i="3"/>
  <c r="AZ353" i="3"/>
  <c r="AZ363" i="3"/>
  <c r="AZ367" i="3"/>
  <c r="G368" i="3"/>
  <c r="BA370" i="3"/>
  <c r="AZ370" i="3" s="1"/>
  <c r="BL371" i="3"/>
  <c r="AZ371" i="3"/>
  <c r="G372" i="3"/>
  <c r="BA374" i="3"/>
  <c r="AZ374" i="3"/>
  <c r="BL375" i="3"/>
  <c r="G376" i="3"/>
  <c r="BA378" i="3"/>
  <c r="AZ378" i="3"/>
  <c r="BL379" i="3"/>
  <c r="G380" i="3"/>
  <c r="BA382" i="3"/>
  <c r="AZ382" i="3"/>
  <c r="BL383" i="3"/>
  <c r="G384" i="3"/>
  <c r="AZ249" i="3"/>
  <c r="AZ253" i="3"/>
  <c r="AZ257" i="3"/>
  <c r="AZ261" i="3"/>
  <c r="AZ265" i="3"/>
  <c r="AZ375" i="3"/>
  <c r="AZ383" i="3"/>
  <c r="AZ270" i="3"/>
  <c r="AZ278" i="3"/>
  <c r="AZ282" i="3"/>
  <c r="AZ286" i="3"/>
  <c r="AZ290" i="3"/>
  <c r="AZ295" i="3"/>
  <c r="AZ313" i="3"/>
  <c r="AZ315" i="3"/>
  <c r="AZ319" i="3"/>
  <c r="AZ335" i="3"/>
  <c r="AZ339" i="3"/>
  <c r="AZ351" i="3"/>
  <c r="AZ361" i="3"/>
  <c r="AZ369" i="3"/>
  <c r="AZ385" i="3"/>
  <c r="AZ390" i="3"/>
  <c r="AZ394" i="3"/>
  <c r="AZ398" i="3"/>
  <c r="AZ410" i="3"/>
  <c r="AZ414" i="3"/>
  <c r="AZ418" i="3"/>
  <c r="AZ422" i="3"/>
  <c r="AZ426" i="3"/>
  <c r="AZ430" i="3"/>
  <c r="AZ434" i="3"/>
  <c r="AZ438" i="3"/>
  <c r="AZ442" i="3"/>
  <c r="AZ450" i="3"/>
  <c r="AZ455" i="3"/>
  <c r="AZ459" i="3"/>
  <c r="AZ463" i="3"/>
  <c r="AZ471" i="3"/>
  <c r="AZ479" i="3"/>
  <c r="H7" i="48"/>
  <c r="F33" i="46"/>
  <c r="H16" i="48"/>
  <c r="H9" i="48"/>
  <c r="H8" i="48"/>
  <c r="C12" i="46"/>
  <c r="AB16" i="35"/>
  <c r="AA43" i="21"/>
  <c r="U43" i="21"/>
  <c r="AA13" i="40"/>
  <c r="E78" i="40"/>
  <c r="F78" i="40"/>
  <c r="G78" i="40"/>
  <c r="H78" i="40" s="1"/>
  <c r="I78" i="40" s="1"/>
  <c r="J78" i="40" s="1"/>
  <c r="K78" i="40"/>
  <c r="L78" i="40" s="1"/>
  <c r="M78" i="40" s="1"/>
  <c r="BH5" i="3"/>
  <c r="R16" i="4"/>
  <c r="P16" i="4"/>
  <c r="D3" i="35"/>
  <c r="G4" i="4"/>
  <c r="S37" i="34"/>
  <c r="J16" i="35"/>
  <c r="W16" i="35" s="1"/>
  <c r="U42" i="21"/>
  <c r="AC26" i="36"/>
  <c r="W25" i="35"/>
  <c r="AZ322" i="3"/>
  <c r="H13" i="39"/>
  <c r="AB13" i="39" s="1"/>
  <c r="F13" i="39"/>
  <c r="J13" i="39"/>
  <c r="AC13" i="39" s="1"/>
  <c r="H11" i="37"/>
  <c r="AB11" i="37"/>
  <c r="W37" i="37"/>
  <c r="AA36" i="37"/>
  <c r="S42" i="33"/>
  <c r="U32" i="33"/>
  <c r="AZ508" i="3"/>
  <c r="AZ546" i="3"/>
  <c r="AA45" i="33"/>
  <c r="AC11" i="36"/>
  <c r="AC10" i="36"/>
  <c r="AB45" i="34"/>
  <c r="AB35" i="35"/>
  <c r="S25" i="35"/>
  <c r="AC30" i="33"/>
  <c r="W30" i="33"/>
  <c r="AC29" i="37"/>
  <c r="W32" i="36"/>
  <c r="AC32" i="36"/>
  <c r="U28" i="33"/>
  <c r="AB28" i="33"/>
  <c r="J33" i="34"/>
  <c r="AC33" i="34" s="1"/>
  <c r="AB36" i="34"/>
  <c r="J40" i="34"/>
  <c r="W40" i="34" s="1"/>
  <c r="F16" i="35"/>
  <c r="AA16" i="35"/>
  <c r="S24" i="36"/>
  <c r="W42" i="33"/>
  <c r="J35" i="34"/>
  <c r="W35" i="34"/>
  <c r="F107" i="34"/>
  <c r="G107" i="34" s="1"/>
  <c r="H107" i="34" s="1"/>
  <c r="I107" i="34" s="1"/>
  <c r="J107" i="34"/>
  <c r="K107" i="34" s="1"/>
  <c r="L107" i="34" s="1"/>
  <c r="M107" i="34" s="1"/>
  <c r="S30" i="36"/>
  <c r="H16" i="36"/>
  <c r="AB16" i="36" s="1"/>
  <c r="G103" i="37"/>
  <c r="H103" i="37"/>
  <c r="I103" i="37" s="1"/>
  <c r="J103" i="37" s="1"/>
  <c r="K103" i="37" s="1"/>
  <c r="L103" i="37" s="1"/>
  <c r="M103" i="37" s="1"/>
  <c r="H35" i="37"/>
  <c r="AB35" i="37"/>
  <c r="S26" i="21"/>
  <c r="H32" i="21"/>
  <c r="U32" i="21"/>
  <c r="AB26" i="21"/>
  <c r="U26" i="21"/>
  <c r="AA33" i="21"/>
  <c r="S33" i="21"/>
  <c r="U39" i="21"/>
  <c r="W9" i="21"/>
  <c r="J32" i="21"/>
  <c r="AC32" i="21"/>
  <c r="AC5" i="3"/>
  <c r="F17" i="21"/>
  <c r="S17" i="21" s="1"/>
  <c r="H17" i="21"/>
  <c r="AB17" i="21"/>
  <c r="J17" i="21"/>
  <c r="AC17" i="21" s="1"/>
  <c r="H37" i="21"/>
  <c r="U37" i="21"/>
  <c r="F40" i="21"/>
  <c r="S40" i="21" s="1"/>
  <c r="H40" i="21"/>
  <c r="AB40" i="21"/>
  <c r="E119" i="21"/>
  <c r="F119" i="21" s="1"/>
  <c r="G119" i="21" s="1"/>
  <c r="H119" i="21"/>
  <c r="I119" i="21" s="1"/>
  <c r="J119" i="21" s="1"/>
  <c r="K119" i="21" s="1"/>
  <c r="L119" i="21" s="1"/>
  <c r="M119" i="21" s="1"/>
  <c r="AA8" i="33"/>
  <c r="S8" i="33"/>
  <c r="AC8" i="33"/>
  <c r="H66" i="33"/>
  <c r="F10" i="33"/>
  <c r="AA10" i="33"/>
  <c r="F11" i="33"/>
  <c r="S11" i="33" s="1"/>
  <c r="J15" i="33"/>
  <c r="W15" i="33"/>
  <c r="H19" i="33"/>
  <c r="AB19" i="33" s="1"/>
  <c r="F32" i="33"/>
  <c r="AA32" i="33"/>
  <c r="J32" i="33"/>
  <c r="F35" i="33"/>
  <c r="AA35" i="33"/>
  <c r="AB39" i="34"/>
  <c r="F11" i="34"/>
  <c r="S11" i="34" s="1"/>
  <c r="E80" i="34"/>
  <c r="F80" i="34"/>
  <c r="H17" i="34"/>
  <c r="AB17" i="34" s="1"/>
  <c r="AC27" i="34"/>
  <c r="W27" i="34"/>
  <c r="S12" i="35"/>
  <c r="AB28" i="35"/>
  <c r="U28" i="35"/>
  <c r="J13" i="33"/>
  <c r="W13" i="33" s="1"/>
  <c r="H13" i="33"/>
  <c r="U13" i="33"/>
  <c r="H29" i="33"/>
  <c r="F29" i="33"/>
  <c r="AA29" i="33"/>
  <c r="J12" i="34"/>
  <c r="AC12" i="34" s="1"/>
  <c r="H12" i="34"/>
  <c r="AB12" i="34"/>
  <c r="F12" i="34"/>
  <c r="S12" i="34" s="1"/>
  <c r="J14" i="34"/>
  <c r="W14" i="34"/>
  <c r="F14" i="34"/>
  <c r="S14" i="34" s="1"/>
  <c r="H14" i="34"/>
  <c r="AB14" i="34"/>
  <c r="H30" i="34"/>
  <c r="AB30" i="34" s="1"/>
  <c r="F30" i="34"/>
  <c r="S30" i="34"/>
  <c r="J30" i="34"/>
  <c r="W30" i="34" s="1"/>
  <c r="H32" i="34"/>
  <c r="AB32" i="34"/>
  <c r="F32" i="34"/>
  <c r="AA32" i="34" s="1"/>
  <c r="J32" i="34"/>
  <c r="W32" i="34"/>
  <c r="H46" i="34"/>
  <c r="F46" i="34"/>
  <c r="AA46" i="34"/>
  <c r="J46" i="34"/>
  <c r="AC46" i="34" s="1"/>
  <c r="H11" i="35"/>
  <c r="J11" i="35"/>
  <c r="AC11" i="35"/>
  <c r="F96" i="37"/>
  <c r="H32" i="37"/>
  <c r="AB32" i="37"/>
  <c r="F19" i="39"/>
  <c r="S19" i="39" s="1"/>
  <c r="H19" i="39"/>
  <c r="J19" i="39"/>
  <c r="W19" i="39"/>
  <c r="F43" i="39"/>
  <c r="H43" i="39"/>
  <c r="U43" i="39"/>
  <c r="J43" i="39"/>
  <c r="F99" i="37"/>
  <c r="AC27" i="37"/>
  <c r="U25" i="35"/>
  <c r="S45" i="34"/>
  <c r="U31" i="34"/>
  <c r="AC40" i="37"/>
  <c r="W40" i="37"/>
  <c r="W27" i="33"/>
  <c r="AC45" i="21"/>
  <c r="S28" i="33"/>
  <c r="S14" i="21"/>
  <c r="AA44" i="34"/>
  <c r="AB29" i="35"/>
  <c r="AC19" i="33"/>
  <c r="W19" i="33"/>
  <c r="U43" i="34"/>
  <c r="AB43" i="34"/>
  <c r="AC34" i="37"/>
  <c r="S35" i="37"/>
  <c r="AA35" i="37"/>
  <c r="AB10" i="35"/>
  <c r="AA32" i="21"/>
  <c r="S32" i="21"/>
  <c r="U38" i="21"/>
  <c r="AB34" i="21"/>
  <c r="BL571" i="3"/>
  <c r="BA571" i="3"/>
  <c r="AZ571" i="3" s="1"/>
  <c r="BL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c r="K94" i="35" s="1"/>
  <c r="L94" i="35" s="1"/>
  <c r="M94" i="35" s="1"/>
  <c r="J32" i="35"/>
  <c r="AC32" i="35" s="1"/>
  <c r="H11" i="36"/>
  <c r="AB11" i="36"/>
  <c r="F11" i="36"/>
  <c r="S11" i="36" s="1"/>
  <c r="W16" i="36"/>
  <c r="AC16" i="36"/>
  <c r="E78" i="36"/>
  <c r="F78" i="36" s="1"/>
  <c r="G78" i="36" s="1"/>
  <c r="H78" i="36" s="1"/>
  <c r="I78" i="36"/>
  <c r="J78" i="36" s="1"/>
  <c r="K78" i="36" s="1"/>
  <c r="L78" i="36" s="1"/>
  <c r="M78" i="36" s="1"/>
  <c r="F26" i="36"/>
  <c r="S26" i="36" s="1"/>
  <c r="U34" i="36"/>
  <c r="AB34" i="36"/>
  <c r="H33" i="36"/>
  <c r="U33" i="36" s="1"/>
  <c r="F33" i="36"/>
  <c r="AA33" i="36"/>
  <c r="H27" i="36"/>
  <c r="AB27" i="36" s="1"/>
  <c r="AA31" i="36"/>
  <c r="AC25" i="37"/>
  <c r="AC26" i="37"/>
  <c r="W26" i="37"/>
  <c r="AB29" i="37"/>
  <c r="AA30" i="37"/>
  <c r="S30" i="37"/>
  <c r="AC30" i="37"/>
  <c r="AC31" i="37"/>
  <c r="W31" i="37"/>
  <c r="AB14" i="37"/>
  <c r="F17" i="39"/>
  <c r="AA17" i="39"/>
  <c r="H17" i="39"/>
  <c r="U17" i="39" s="1"/>
  <c r="J17" i="39"/>
  <c r="W17" i="39"/>
  <c r="F21" i="39"/>
  <c r="S21" i="39" s="1"/>
  <c r="H21" i="39"/>
  <c r="J21" i="39"/>
  <c r="W21" i="39"/>
  <c r="F33" i="39"/>
  <c r="H33" i="39"/>
  <c r="U33" i="39"/>
  <c r="J33" i="39"/>
  <c r="AC33" i="39" s="1"/>
  <c r="F44" i="39"/>
  <c r="S44" i="39" s="1"/>
  <c r="H44" i="39"/>
  <c r="U44" i="39"/>
  <c r="J44" i="39"/>
  <c r="W44" i="39" s="1"/>
  <c r="E128" i="39"/>
  <c r="F128" i="39"/>
  <c r="G128" i="39" s="1"/>
  <c r="H128" i="39" s="1"/>
  <c r="I128" i="39" s="1"/>
  <c r="J128" i="39" s="1"/>
  <c r="K128" i="39" s="1"/>
  <c r="L128" i="39" s="1"/>
  <c r="M128" i="39" s="1"/>
  <c r="F46" i="39"/>
  <c r="S46" i="39" s="1"/>
  <c r="H46" i="39"/>
  <c r="U46" i="39"/>
  <c r="J46" i="39"/>
  <c r="W46" i="39" s="1"/>
  <c r="F29" i="39"/>
  <c r="AA29" i="39"/>
  <c r="E103" i="39"/>
  <c r="F103" i="39" s="1"/>
  <c r="G103" i="39" s="1"/>
  <c r="H29" i="39"/>
  <c r="U29" i="39"/>
  <c r="F34" i="39"/>
  <c r="AA34" i="39" s="1"/>
  <c r="H34" i="39"/>
  <c r="AB34" i="39"/>
  <c r="J34" i="39"/>
  <c r="AC34" i="39" s="1"/>
  <c r="F39" i="39"/>
  <c r="H39" i="39"/>
  <c r="AB39" i="39" s="1"/>
  <c r="J39" i="39"/>
  <c r="J29" i="35"/>
  <c r="AC29" i="35"/>
  <c r="F29" i="35"/>
  <c r="S29" i="35" s="1"/>
  <c r="W30" i="36"/>
  <c r="AC30" i="36"/>
  <c r="F37" i="39"/>
  <c r="S37" i="39" s="1"/>
  <c r="H37" i="39"/>
  <c r="U37" i="39"/>
  <c r="J37" i="39"/>
  <c r="W37" i="39" s="1"/>
  <c r="BL568" i="3"/>
  <c r="BA568" i="3"/>
  <c r="AZ568" i="3" s="1"/>
  <c r="BL567" i="3"/>
  <c r="BA567" i="3"/>
  <c r="AZ567" i="3"/>
  <c r="BL566" i="3"/>
  <c r="AZ566" i="3" s="1"/>
  <c r="BL565" i="3"/>
  <c r="AZ565" i="3"/>
  <c r="BA564" i="3"/>
  <c r="AZ564" i="3" s="1"/>
  <c r="BA563" i="3"/>
  <c r="AZ563" i="3"/>
  <c r="BL554" i="3"/>
  <c r="BA553" i="3"/>
  <c r="AZ553" i="3"/>
  <c r="BA552" i="3"/>
  <c r="AZ552" i="3" s="1"/>
  <c r="BL549" i="3"/>
  <c r="BA549" i="3"/>
  <c r="BL548" i="3"/>
  <c r="BA548" i="3"/>
  <c r="BL547" i="3"/>
  <c r="BA547" i="3"/>
  <c r="BL539" i="3"/>
  <c r="AZ539" i="3" s="1"/>
  <c r="BA539" i="3"/>
  <c r="BA538" i="3"/>
  <c r="AZ538" i="3" s="1"/>
  <c r="BL537" i="3"/>
  <c r="BA537" i="3"/>
  <c r="BL536" i="3"/>
  <c r="AZ536" i="3" s="1"/>
  <c r="BA535" i="3"/>
  <c r="AZ535" i="3"/>
  <c r="BA534" i="3"/>
  <c r="AZ534" i="3" s="1"/>
  <c r="BA533" i="3"/>
  <c r="AZ533" i="3"/>
  <c r="BL531" i="3"/>
  <c r="AZ531" i="3" s="1"/>
  <c r="BL530" i="3"/>
  <c r="BA530" i="3"/>
  <c r="BL529" i="3"/>
  <c r="BA529" i="3"/>
  <c r="BL528" i="3"/>
  <c r="AZ528" i="3"/>
  <c r="BA527" i="3"/>
  <c r="AZ527" i="3" s="1"/>
  <c r="BA526" i="3"/>
  <c r="BA525" i="3"/>
  <c r="AZ525" i="3" s="1"/>
  <c r="BL523" i="3"/>
  <c r="BA523" i="3"/>
  <c r="AZ523" i="3"/>
  <c r="BL522" i="3"/>
  <c r="AZ522" i="3" s="1"/>
  <c r="BA522" i="3"/>
  <c r="BL521" i="3"/>
  <c r="AZ521" i="3" s="1"/>
  <c r="BA519" i="3"/>
  <c r="BL518" i="3"/>
  <c r="BA518" i="3"/>
  <c r="BL517" i="3"/>
  <c r="BA517" i="3"/>
  <c r="AZ517" i="3" s="1"/>
  <c r="BL515" i="3"/>
  <c r="BA515" i="3"/>
  <c r="BA514" i="3"/>
  <c r="AZ514" i="3" s="1"/>
  <c r="BL513" i="3"/>
  <c r="BA513" i="3"/>
  <c r="AZ513" i="3"/>
  <c r="BL512" i="3"/>
  <c r="BA511" i="3"/>
  <c r="AZ511" i="3"/>
  <c r="BA510" i="3"/>
  <c r="AZ510" i="3" s="1"/>
  <c r="BL509" i="3"/>
  <c r="AZ509" i="3"/>
  <c r="BL507" i="3"/>
  <c r="AZ507" i="3" s="1"/>
  <c r="BA507" i="3"/>
  <c r="BL506" i="3"/>
  <c r="BA506" i="3"/>
  <c r="BL505" i="3"/>
  <c r="AZ505" i="3"/>
  <c r="BL504" i="3"/>
  <c r="AZ504" i="3" s="1"/>
  <c r="BA504" i="3"/>
  <c r="BA503" i="3"/>
  <c r="AZ503" i="3"/>
  <c r="BA500" i="3"/>
  <c r="AZ500" i="3" s="1"/>
  <c r="BL499" i="3"/>
  <c r="BA499" i="3"/>
  <c r="AZ499" i="3" s="1"/>
  <c r="BL498" i="3"/>
  <c r="AZ498" i="3"/>
  <c r="BL497" i="3"/>
  <c r="BA497" i="3"/>
  <c r="BA496" i="3"/>
  <c r="AZ496" i="3"/>
  <c r="BA495" i="3"/>
  <c r="AZ495" i="3" s="1"/>
  <c r="BL494" i="3"/>
  <c r="BA494" i="3"/>
  <c r="AZ494" i="3" s="1"/>
  <c r="G494" i="3"/>
  <c r="BA491" i="3"/>
  <c r="AZ491" i="3"/>
  <c r="BL490" i="3"/>
  <c r="AZ490" i="3" s="1"/>
  <c r="BA490" i="3"/>
  <c r="BL489" i="3"/>
  <c r="BA489" i="3"/>
  <c r="AZ489" i="3" s="1"/>
  <c r="BL487" i="3"/>
  <c r="AZ487" i="3"/>
  <c r="BL486" i="3"/>
  <c r="BA486" i="3"/>
  <c r="BA485" i="3"/>
  <c r="AZ485" i="3"/>
  <c r="BA483" i="3"/>
  <c r="AZ483" i="3" s="1"/>
  <c r="BA482" i="3"/>
  <c r="AZ482" i="3"/>
  <c r="BL481" i="3"/>
  <c r="BJ5" i="3"/>
  <c r="BA481" i="3"/>
  <c r="AZ481" i="3"/>
  <c r="BB5" i="3"/>
  <c r="F36" i="44"/>
  <c r="F114" i="34"/>
  <c r="G114" i="34"/>
  <c r="H114" i="34" s="1"/>
  <c r="I114" i="34" s="1"/>
  <c r="J114" i="34" s="1"/>
  <c r="K114" i="34"/>
  <c r="L114" i="34" s="1"/>
  <c r="M114" i="34" s="1"/>
  <c r="H38" i="34"/>
  <c r="U38" i="34"/>
  <c r="H30" i="40"/>
  <c r="AB30" i="40" s="1"/>
  <c r="G100" i="40"/>
  <c r="J30" i="40"/>
  <c r="AC30" i="40" s="1"/>
  <c r="F38" i="40"/>
  <c r="AA38" i="40"/>
  <c r="AA36" i="34"/>
  <c r="AC12" i="21"/>
  <c r="W12" i="21"/>
  <c r="AB33" i="21"/>
  <c r="S35" i="21"/>
  <c r="AB10" i="21"/>
  <c r="U8" i="21"/>
  <c r="AB8" i="21"/>
  <c r="S34" i="21"/>
  <c r="AC36" i="21"/>
  <c r="AB8" i="33"/>
  <c r="U8" i="33"/>
  <c r="E106" i="33"/>
  <c r="H34" i="33"/>
  <c r="U34" i="33" s="1"/>
  <c r="F34" i="33"/>
  <c r="S34" i="33"/>
  <c r="E121" i="33"/>
  <c r="F41" i="33"/>
  <c r="S41" i="33"/>
  <c r="AC34" i="34"/>
  <c r="W34" i="34"/>
  <c r="AA39" i="34"/>
  <c r="S39" i="34"/>
  <c r="S43" i="34"/>
  <c r="E78" i="34"/>
  <c r="F78" i="34" s="1"/>
  <c r="F15" i="34"/>
  <c r="AC28" i="35"/>
  <c r="W28" i="35"/>
  <c r="J20" i="35"/>
  <c r="AC20" i="35" s="1"/>
  <c r="E72" i="35"/>
  <c r="F72" i="35"/>
  <c r="G72" i="35"/>
  <c r="H22" i="35"/>
  <c r="AB22" i="35"/>
  <c r="H23" i="35"/>
  <c r="F23" i="35"/>
  <c r="AA23" i="35" s="1"/>
  <c r="AB36" i="35"/>
  <c r="U36" i="35"/>
  <c r="U31" i="36"/>
  <c r="S8" i="37"/>
  <c r="AA8" i="37"/>
  <c r="F14" i="39"/>
  <c r="AA14" i="39"/>
  <c r="H14" i="39"/>
  <c r="AB14" i="39" s="1"/>
  <c r="J14" i="39"/>
  <c r="AC14" i="39"/>
  <c r="F16" i="39"/>
  <c r="AA16" i="39" s="1"/>
  <c r="H16" i="39"/>
  <c r="U16" i="39"/>
  <c r="J16" i="39"/>
  <c r="AC16" i="39" s="1"/>
  <c r="F23" i="39"/>
  <c r="AA23" i="39"/>
  <c r="E97" i="39"/>
  <c r="F97" i="39" s="1"/>
  <c r="F27" i="39"/>
  <c r="AA27" i="39" s="1"/>
  <c r="H27" i="39"/>
  <c r="AB27" i="39"/>
  <c r="J27" i="39"/>
  <c r="AC27" i="39" s="1"/>
  <c r="F15" i="40"/>
  <c r="AA15" i="40"/>
  <c r="J15" i="40"/>
  <c r="W15" i="40" s="1"/>
  <c r="H15" i="40"/>
  <c r="AB15" i="40"/>
  <c r="E92" i="40"/>
  <c r="F92" i="40"/>
  <c r="G92" i="40" s="1"/>
  <c r="H23" i="40"/>
  <c r="U23" i="40"/>
  <c r="H41" i="40"/>
  <c r="AB41" i="40"/>
  <c r="F41" i="40"/>
  <c r="AA41" i="40"/>
  <c r="J41" i="40"/>
  <c r="W41" i="40" s="1"/>
  <c r="H36" i="33"/>
  <c r="AB36" i="33" s="1"/>
  <c r="H37" i="34"/>
  <c r="F15" i="39"/>
  <c r="AA15" i="39" s="1"/>
  <c r="H15" i="39"/>
  <c r="U15" i="39"/>
  <c r="J15" i="39"/>
  <c r="W15" i="39" s="1"/>
  <c r="H25" i="39"/>
  <c r="U25" i="39"/>
  <c r="J25" i="39"/>
  <c r="AC25" i="39" s="1"/>
  <c r="F25" i="39"/>
  <c r="AA25" i="39"/>
  <c r="F45" i="39"/>
  <c r="AA45" i="39" s="1"/>
  <c r="H45" i="39"/>
  <c r="U45" i="39"/>
  <c r="J45" i="39"/>
  <c r="AC45" i="39" s="1"/>
  <c r="F47" i="39"/>
  <c r="AA47" i="39"/>
  <c r="H47" i="39"/>
  <c r="AB47" i="39" s="1"/>
  <c r="J47" i="39"/>
  <c r="W47" i="39"/>
  <c r="F41" i="39"/>
  <c r="AA41" i="39" s="1"/>
  <c r="H41" i="39"/>
  <c r="AB41" i="39"/>
  <c r="J41" i="39"/>
  <c r="AC41" i="39" s="1"/>
  <c r="E94" i="40"/>
  <c r="J25" i="40"/>
  <c r="AC25" i="40"/>
  <c r="J32" i="40"/>
  <c r="AC32" i="40" s="1"/>
  <c r="H32" i="40"/>
  <c r="U32" i="40"/>
  <c r="H33" i="40"/>
  <c r="AB33" i="40" s="1"/>
  <c r="F33" i="40"/>
  <c r="S33" i="40" s="1"/>
  <c r="AA33" i="40"/>
  <c r="J33" i="40"/>
  <c r="AC33" i="40" s="1"/>
  <c r="H35" i="40"/>
  <c r="AB35" i="40"/>
  <c r="F35" i="40"/>
  <c r="AA35" i="40" s="1"/>
  <c r="J35" i="40"/>
  <c r="AC35" i="40"/>
  <c r="J38" i="39"/>
  <c r="W38" i="39" s="1"/>
  <c r="H38" i="39"/>
  <c r="U38" i="39"/>
  <c r="J16" i="40"/>
  <c r="W16" i="40" s="1"/>
  <c r="J14" i="40"/>
  <c r="W14" i="40"/>
  <c r="H42" i="40"/>
  <c r="U42" i="40" s="1"/>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44" i="3"/>
  <c r="M1" i="46"/>
  <c r="M6" i="46"/>
  <c r="M10" i="46"/>
  <c r="N2" i="46"/>
  <c r="N5" i="46"/>
  <c r="F58" i="46"/>
  <c r="H61" i="46" s="1"/>
  <c r="N7" i="46"/>
  <c r="AZ458" i="3"/>
  <c r="AZ466" i="3"/>
  <c r="AZ469" i="3"/>
  <c r="AZ474" i="3"/>
  <c r="AZ477" i="3"/>
  <c r="AZ388" i="3"/>
  <c r="AZ207" i="3"/>
  <c r="AZ212" i="3"/>
  <c r="AZ215" i="3"/>
  <c r="AZ220" i="3"/>
  <c r="AZ223" i="3"/>
  <c r="AZ228" i="3"/>
  <c r="AZ231" i="3"/>
  <c r="AZ236" i="3"/>
  <c r="AZ239" i="3"/>
  <c r="AZ244" i="3"/>
  <c r="AZ247" i="3"/>
  <c r="AZ252" i="3"/>
  <c r="AZ255" i="3"/>
  <c r="AZ260"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J13" i="40"/>
  <c r="W13" i="40"/>
  <c r="AB14" i="40"/>
  <c r="W40" i="40"/>
  <c r="F27" i="43"/>
  <c r="F66" i="9"/>
  <c r="P72" i="9"/>
  <c r="F72" i="9"/>
  <c r="AC14" i="40"/>
  <c r="W35" i="40"/>
  <c r="AB32" i="40"/>
  <c r="AC47" i="39"/>
  <c r="S47" i="39"/>
  <c r="AB25" i="39"/>
  <c r="U37" i="34"/>
  <c r="AB37" i="34"/>
  <c r="AC41" i="40"/>
  <c r="U41" i="40"/>
  <c r="J23" i="40"/>
  <c r="AC23" i="40" s="1"/>
  <c r="F23" i="40"/>
  <c r="S23" i="40"/>
  <c r="AC15" i="40"/>
  <c r="S23" i="39"/>
  <c r="AB16" i="39"/>
  <c r="W14" i="39"/>
  <c r="U23" i="35"/>
  <c r="AB23" i="35"/>
  <c r="H20" i="35"/>
  <c r="F20" i="35"/>
  <c r="S20" i="35"/>
  <c r="H15" i="34"/>
  <c r="AB15" i="34"/>
  <c r="G78" i="34"/>
  <c r="J15" i="34"/>
  <c r="H41" i="33"/>
  <c r="U41" i="33" s="1"/>
  <c r="F121" i="33"/>
  <c r="G121" i="33"/>
  <c r="H121" i="33" s="1"/>
  <c r="I121" i="33" s="1"/>
  <c r="J121" i="33" s="1"/>
  <c r="K121" i="33" s="1"/>
  <c r="L121" i="33" s="1"/>
  <c r="M121" i="33" s="1"/>
  <c r="F30" i="40"/>
  <c r="AA30" i="40"/>
  <c r="H100" i="40"/>
  <c r="I100" i="40" s="1"/>
  <c r="J100" i="40"/>
  <c r="K100" i="40" s="1"/>
  <c r="L100" i="40" s="1"/>
  <c r="M100" i="40" s="1"/>
  <c r="AB38" i="34"/>
  <c r="AZ486" i="3"/>
  <c r="AZ497" i="3"/>
  <c r="AZ515" i="3"/>
  <c r="AZ529" i="3"/>
  <c r="AZ530" i="3"/>
  <c r="AZ537" i="3"/>
  <c r="AZ547" i="3"/>
  <c r="AZ548" i="3"/>
  <c r="AZ549" i="3"/>
  <c r="AB37" i="39"/>
  <c r="AA29" i="35"/>
  <c r="U39" i="39"/>
  <c r="J29" i="39"/>
  <c r="AC29" i="39" s="1"/>
  <c r="AB21" i="39"/>
  <c r="U21" i="39"/>
  <c r="AB17" i="39"/>
  <c r="AB33" i="36"/>
  <c r="AA11" i="36"/>
  <c r="AA14" i="35"/>
  <c r="S14" i="35"/>
  <c r="G99" i="37"/>
  <c r="F33" i="37"/>
  <c r="AB19" i="39"/>
  <c r="U19" i="39"/>
  <c r="AC30" i="34"/>
  <c r="AA14" i="34"/>
  <c r="W12" i="34"/>
  <c r="AC13" i="33"/>
  <c r="U17" i="34"/>
  <c r="AA11" i="34"/>
  <c r="H15" i="33"/>
  <c r="U15" i="33" s="1"/>
  <c r="AA11" i="33"/>
  <c r="AA40" i="21"/>
  <c r="U17" i="21"/>
  <c r="S13" i="39"/>
  <c r="AA13" i="39"/>
  <c r="U16" i="40"/>
  <c r="W34" i="40"/>
  <c r="AB34" i="40"/>
  <c r="AB42" i="40"/>
  <c r="W32" i="40"/>
  <c r="H25" i="40"/>
  <c r="AB25" i="40" s="1"/>
  <c r="F94" i="40"/>
  <c r="G94" i="40" s="1"/>
  <c r="U47" i="39"/>
  <c r="J37" i="34"/>
  <c r="AC37" i="34"/>
  <c r="J36" i="33"/>
  <c r="W36" i="33" s="1"/>
  <c r="S41" i="40"/>
  <c r="AB23" i="40"/>
  <c r="U27" i="39"/>
  <c r="H23" i="39"/>
  <c r="AB23" i="39"/>
  <c r="J23" i="39"/>
  <c r="AC23" i="39"/>
  <c r="G97" i="39"/>
  <c r="S16" i="39"/>
  <c r="S15" i="34"/>
  <c r="AA15" i="34"/>
  <c r="AA41" i="33"/>
  <c r="AA34" i="33"/>
  <c r="F106" i="33"/>
  <c r="G106" i="33" s="1"/>
  <c r="H106" i="33"/>
  <c r="I106" i="33" s="1"/>
  <c r="J106" i="33" s="1"/>
  <c r="K106" i="33" s="1"/>
  <c r="L106" i="33" s="1"/>
  <c r="M106" i="33" s="1"/>
  <c r="J34" i="33"/>
  <c r="AC34" i="33" s="1"/>
  <c r="U30" i="40"/>
  <c r="AA37" i="39"/>
  <c r="W29" i="35"/>
  <c r="AC39" i="39"/>
  <c r="W39" i="39"/>
  <c r="AA39" i="39"/>
  <c r="S39" i="39"/>
  <c r="U34" i="39"/>
  <c r="AB29" i="39"/>
  <c r="AB46" i="39"/>
  <c r="AB44" i="39"/>
  <c r="W33" i="39"/>
  <c r="AA33" i="39"/>
  <c r="S33" i="39"/>
  <c r="S17" i="39"/>
  <c r="U11" i="36"/>
  <c r="F80" i="35"/>
  <c r="G80" i="35" s="1"/>
  <c r="H80" i="35" s="1"/>
  <c r="I80" i="35" s="1"/>
  <c r="J80" i="35" s="1"/>
  <c r="K80" i="35" s="1"/>
  <c r="L80" i="35" s="1"/>
  <c r="M80" i="35" s="1"/>
  <c r="W14" i="35"/>
  <c r="F90" i="34"/>
  <c r="G90" i="34"/>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AC35" i="33" s="1"/>
  <c r="S32" i="33"/>
  <c r="AC15" i="33"/>
  <c r="H11" i="33"/>
  <c r="U11" i="33" s="1"/>
  <c r="H10" i="33"/>
  <c r="U10" i="33" s="1"/>
  <c r="I66" i="33"/>
  <c r="J10" i="33"/>
  <c r="AC10" i="33"/>
  <c r="U40" i="21"/>
  <c r="U11" i="37"/>
  <c r="U13" i="39"/>
  <c r="AC16" i="35"/>
  <c r="AC13" i="40"/>
  <c r="J11" i="34"/>
  <c r="W11" i="34" s="1"/>
  <c r="S17" i="34"/>
  <c r="AC36" i="33"/>
  <c r="F25" i="40"/>
  <c r="S25" i="40" s="1"/>
  <c r="J11" i="33"/>
  <c r="W11" i="33" s="1"/>
  <c r="H33" i="37"/>
  <c r="AB33" i="37" s="1"/>
  <c r="W15" i="34"/>
  <c r="AC15" i="34"/>
  <c r="U20" i="35"/>
  <c r="AB20" i="35"/>
  <c r="W23" i="40"/>
  <c r="D73" i="9"/>
  <c r="N73" i="9"/>
  <c r="B11" i="1"/>
  <c r="E11" i="1" s="1"/>
  <c r="K11" i="1"/>
  <c r="M11" i="1" s="1"/>
  <c r="B9" i="1"/>
  <c r="E9" i="1" s="1"/>
  <c r="K9" i="1"/>
  <c r="M9" i="1" s="1"/>
  <c r="B7" i="1"/>
  <c r="E7" i="1" s="1"/>
  <c r="K7" i="1"/>
  <c r="M7" i="1" s="1"/>
  <c r="C20" i="43"/>
  <c r="M22" i="44"/>
  <c r="F32" i="15"/>
  <c r="F59" i="15"/>
  <c r="F29" i="12"/>
  <c r="F70" i="9"/>
  <c r="D86" i="9"/>
  <c r="M20" i="44"/>
  <c r="F31" i="43"/>
  <c r="F30" i="44"/>
  <c r="AC25" i="36"/>
  <c r="S23" i="36"/>
  <c r="S8" i="36"/>
  <c r="AA26" i="36"/>
  <c r="AA28" i="36"/>
  <c r="U25" i="36"/>
  <c r="H20" i="36"/>
  <c r="U20" i="36" s="1"/>
  <c r="F68" i="36"/>
  <c r="G68" i="36"/>
  <c r="J20" i="36"/>
  <c r="W20" i="36" s="1"/>
  <c r="F20" i="36"/>
  <c r="S20" i="36"/>
  <c r="F62" i="36"/>
  <c r="G62" i="36" s="1"/>
  <c r="J14" i="36"/>
  <c r="H14" i="36"/>
  <c r="F14" i="36"/>
  <c r="AA14" i="36" s="1"/>
  <c r="U27" i="36"/>
  <c r="U32" i="36"/>
  <c r="U9" i="36"/>
  <c r="S33" i="36"/>
  <c r="AA27" i="36"/>
  <c r="S16" i="36"/>
  <c r="S29" i="36"/>
  <c r="AC33" i="35"/>
  <c r="U22" i="35"/>
  <c r="AA13" i="35"/>
  <c r="S8" i="35"/>
  <c r="U33" i="35"/>
  <c r="AA20" i="35"/>
  <c r="W20" i="35"/>
  <c r="S23" i="35"/>
  <c r="S16" i="35"/>
  <c r="AB14" i="35"/>
  <c r="AC10"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c r="J99" i="37" s="1"/>
  <c r="K99" i="37" s="1"/>
  <c r="L99" i="37" s="1"/>
  <c r="M99" i="37" s="1"/>
  <c r="S29" i="37"/>
  <c r="J19" i="37"/>
  <c r="AC19" i="37" s="1"/>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U11" i="34"/>
  <c r="W10" i="34"/>
  <c r="U10" i="34"/>
  <c r="W37" i="34"/>
  <c r="AC40" i="34"/>
  <c r="W44" i="34"/>
  <c r="W19" i="34"/>
  <c r="W29" i="34"/>
  <c r="AC21" i="34"/>
  <c r="W21" i="34"/>
  <c r="U15" i="34"/>
  <c r="AB21" i="34"/>
  <c r="U21" i="34"/>
  <c r="U27" i="34"/>
  <c r="U19" i="34"/>
  <c r="AB41" i="34"/>
  <c r="S13" i="34"/>
  <c r="AA41" i="34"/>
  <c r="S9" i="34"/>
  <c r="S10" i="34"/>
  <c r="U39" i="33"/>
  <c r="U37" i="33"/>
  <c r="S35" i="33"/>
  <c r="W34" i="33"/>
  <c r="AB11" i="33"/>
  <c r="AB41" i="33"/>
  <c r="U36" i="33"/>
  <c r="S29" i="33"/>
  <c r="W31" i="33"/>
  <c r="W43" i="33"/>
  <c r="U46" i="33"/>
  <c r="W39" i="33"/>
  <c r="U35" i="33"/>
  <c r="AB34" i="33"/>
  <c r="W26" i="33"/>
  <c r="H25" i="33"/>
  <c r="AB25" i="33" s="1"/>
  <c r="J25" i="33"/>
  <c r="W25" i="33"/>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AB21" i="33"/>
  <c r="U21" i="33"/>
  <c r="AA21" i="33"/>
  <c r="S21" i="33"/>
  <c r="AA44" i="33"/>
  <c r="AA36" i="33"/>
  <c r="W39" i="21"/>
  <c r="AC34" i="21"/>
  <c r="W32" i="21"/>
  <c r="U35" i="21"/>
  <c r="W43" i="21"/>
  <c r="AA37" i="21"/>
  <c r="S42" i="21"/>
  <c r="AB37" i="21"/>
  <c r="AB32"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AA23" i="40"/>
  <c r="F88" i="40"/>
  <c r="G88" i="40"/>
  <c r="F19" i="40"/>
  <c r="H19" i="40"/>
  <c r="AB19" i="40" s="1"/>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M18" i="15"/>
  <c r="A18" i="64"/>
  <c r="B74" i="63" s="1"/>
  <c r="C53" i="10"/>
  <c r="A25" i="64" s="1"/>
  <c r="A18" i="51"/>
  <c r="B14" i="63" s="1"/>
  <c r="C24" i="12"/>
  <c r="F3" i="35"/>
  <c r="K1" i="43"/>
  <c r="K1" i="12"/>
  <c r="G1" i="44"/>
  <c r="I4" i="6"/>
  <c r="G3" i="46"/>
  <c r="BK5" i="3"/>
  <c r="BO5" i="3"/>
  <c r="BP5" i="3"/>
  <c r="BN5" i="3"/>
  <c r="BC5" i="3"/>
  <c r="E8" i="6"/>
  <c r="BD5" i="3"/>
  <c r="BR5" i="3"/>
  <c r="G28" i="6" s="1"/>
  <c r="BS5" i="3"/>
  <c r="BQ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s="1"/>
  <c r="A4" i="64"/>
  <c r="A4" i="51"/>
  <c r="C51" i="10"/>
  <c r="I100" i="46"/>
  <c r="C24" i="46"/>
  <c r="N100" i="46"/>
  <c r="H100" i="46"/>
  <c r="F108" i="46"/>
  <c r="B45" i="46"/>
  <c r="E100" i="46"/>
  <c r="G100" i="46"/>
  <c r="C100" i="46"/>
  <c r="J100" i="46"/>
  <c r="M100" i="46"/>
  <c r="AA12" i="36"/>
  <c r="U12" i="35"/>
  <c r="AB12" i="35"/>
  <c r="W11" i="35"/>
  <c r="AA11" i="35"/>
  <c r="S14" i="37"/>
  <c r="U13" i="37"/>
  <c r="S13" i="21"/>
  <c r="C24" i="9"/>
  <c r="C25" i="9"/>
  <c r="I20" i="46"/>
  <c r="B6" i="63"/>
  <c r="L5" i="54"/>
  <c r="K5" i="54"/>
  <c r="B38" i="63" s="1"/>
  <c r="T41" i="4"/>
  <c r="A17" i="64" s="1"/>
  <c r="B46" i="50"/>
  <c r="B4" i="63" s="1"/>
  <c r="O19" i="46"/>
  <c r="H10" i="48"/>
  <c r="K10" i="1"/>
  <c r="M10" i="1"/>
  <c r="O10" i="1" s="1"/>
  <c r="P10" i="1"/>
  <c r="S11" i="1"/>
  <c r="R11" i="1"/>
  <c r="S13" i="1"/>
  <c r="R13" i="1"/>
  <c r="B6" i="1"/>
  <c r="E6" i="1"/>
  <c r="B10" i="1"/>
  <c r="E10" i="1"/>
  <c r="S10" i="1"/>
  <c r="B8" i="1"/>
  <c r="E8" i="1" s="1"/>
  <c r="B12" i="1"/>
  <c r="E12" i="1" s="1"/>
  <c r="S12" i="1"/>
  <c r="K6" i="1"/>
  <c r="M6" i="1"/>
  <c r="O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A15" i="21"/>
  <c r="AC27" i="21"/>
  <c r="W29" i="21"/>
  <c r="G96" i="40"/>
  <c r="J27" i="40"/>
  <c r="AC27" i="40" s="1"/>
  <c r="W37" i="40"/>
  <c r="S17" i="40"/>
  <c r="W30" i="40"/>
  <c r="S34" i="40"/>
  <c r="U17" i="40"/>
  <c r="U38" i="40"/>
  <c r="S40" i="40"/>
  <c r="S42" i="40"/>
  <c r="G105"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U19" i="40"/>
  <c r="AC31" i="39"/>
  <c r="B20" i="31"/>
  <c r="R22" i="31"/>
  <c r="B21" i="31" s="1"/>
  <c r="A17" i="51"/>
  <c r="B13" i="63" s="1"/>
  <c r="E58" i="39"/>
  <c r="E53" i="40"/>
  <c r="F27" i="6"/>
  <c r="E5" i="6"/>
  <c r="AT6" i="3"/>
  <c r="G29" i="6"/>
  <c r="E29" i="6" s="1"/>
  <c r="K15" i="1"/>
  <c r="E4" i="4"/>
  <c r="C4" i="4"/>
  <c r="B20" i="55" s="1"/>
  <c r="B70" i="63" s="1"/>
  <c r="G66" i="36"/>
  <c r="J18" i="36"/>
  <c r="AC18" i="36" s="1"/>
  <c r="AE8" i="1"/>
  <c r="AE7" i="1"/>
  <c r="AE6" i="1"/>
  <c r="W18" i="36"/>
  <c r="AG6" i="1"/>
  <c r="L20" i="6"/>
  <c r="L19" i="6"/>
  <c r="L27" i="6"/>
  <c r="B21" i="55"/>
  <c r="B72" i="63"/>
  <c r="S7" i="1"/>
  <c r="S8" i="1"/>
  <c r="S9" i="1"/>
  <c r="R9" i="1"/>
  <c r="R7" i="1"/>
  <c r="R8" i="1"/>
  <c r="C45" i="9"/>
  <c r="C44" i="9"/>
  <c r="G14" i="66"/>
  <c r="B6" i="66" s="1"/>
  <c r="N69" i="9"/>
  <c r="O39" i="9"/>
  <c r="K29" i="9"/>
  <c r="M86" i="9"/>
  <c r="N86" i="9" s="1"/>
  <c r="M88" i="9"/>
  <c r="N88" i="9" s="1"/>
  <c r="M85" i="9"/>
  <c r="N85" i="9" s="1"/>
  <c r="K30" i="9"/>
  <c r="R6" i="54"/>
  <c r="B50" i="63"/>
  <c r="N76" i="9"/>
  <c r="C46" i="9"/>
  <c r="I14" i="66" s="1"/>
  <c r="B8" i="66" s="1"/>
  <c r="O41" i="9"/>
  <c r="R8" i="54" s="1"/>
  <c r="B54" i="63" s="1"/>
  <c r="AP7" i="1"/>
  <c r="D70" i="39"/>
  <c r="D72" i="39" s="1"/>
  <c r="C72" i="39"/>
  <c r="H58" i="46"/>
  <c r="J17" i="46"/>
  <c r="C17" i="46"/>
  <c r="F34" i="46"/>
  <c r="F38" i="46"/>
  <c r="F37" i="46"/>
  <c r="H113" i="46"/>
  <c r="H49" i="46"/>
  <c r="H53" i="46"/>
  <c r="E6" i="59"/>
  <c r="E5" i="59"/>
  <c r="U7" i="59"/>
  <c r="F10" i="59"/>
  <c r="F9" i="59" s="1"/>
  <c r="F8" i="59" s="1"/>
  <c r="F7" i="59" s="1"/>
  <c r="Y9" i="59"/>
  <c r="Z9" i="59" s="1"/>
  <c r="AA9" i="59"/>
  <c r="AB9" i="59"/>
  <c r="Y8" i="59"/>
  <c r="Z8" i="59" s="1"/>
  <c r="Y7" i="59"/>
  <c r="Z7" i="59" s="1"/>
  <c r="Y6" i="59"/>
  <c r="Z6" i="59"/>
  <c r="AB8" i="59"/>
  <c r="AB7" i="59"/>
  <c r="AB6" i="59"/>
  <c r="AA11" i="59"/>
  <c r="X9" i="59"/>
  <c r="X7" i="59"/>
  <c r="X6" i="59"/>
  <c r="AA7" i="59"/>
  <c r="AA6" i="59"/>
  <c r="C30" i="44"/>
  <c r="C25" i="12"/>
  <c r="C29" i="12"/>
  <c r="C15" i="43"/>
  <c r="C27" i="43"/>
  <c r="C31" i="43"/>
  <c r="C28" i="15"/>
  <c r="C15" i="12"/>
  <c r="F31" i="6"/>
  <c r="H51" i="46"/>
  <c r="X7" i="46"/>
  <c r="E17" i="46"/>
  <c r="N17" i="46"/>
  <c r="O17" i="46"/>
  <c r="M17" i="46"/>
  <c r="L17" i="46"/>
  <c r="H22" i="46"/>
  <c r="Y11" i="46"/>
  <c r="Y13" i="46"/>
  <c r="H101" i="46"/>
  <c r="H102" i="46"/>
  <c r="G22" i="46"/>
  <c r="J22" i="46"/>
  <c r="F101" i="46"/>
  <c r="F106" i="46"/>
  <c r="D101" i="46"/>
  <c r="D106" i="46"/>
  <c r="E28" i="6"/>
  <c r="O7" i="1"/>
  <c r="O11" i="1"/>
  <c r="P11" i="1" s="1"/>
  <c r="O12" i="1"/>
  <c r="P12" i="1" s="1"/>
  <c r="H70" i="46"/>
  <c r="F107" i="46"/>
  <c r="H73" i="46"/>
  <c r="H50" i="46"/>
  <c r="H48" i="46"/>
  <c r="F35" i="46"/>
  <c r="I17" i="46"/>
  <c r="H63" i="46"/>
  <c r="I101" i="46"/>
  <c r="I102" i="46"/>
  <c r="M101" i="46"/>
  <c r="M104" i="46" s="1"/>
  <c r="M107" i="46"/>
  <c r="N101" i="46"/>
  <c r="N105" i="46"/>
  <c r="AC11" i="46"/>
  <c r="AC13" i="46"/>
  <c r="AD11" i="46"/>
  <c r="AJ11" i="46"/>
  <c r="H64" i="46"/>
  <c r="H66" i="46"/>
  <c r="D100" i="46"/>
  <c r="F104" i="46"/>
  <c r="F109" i="46"/>
  <c r="M103" i="46"/>
  <c r="H62" i="46"/>
  <c r="AF12" i="46"/>
  <c r="AF13" i="46" s="1"/>
  <c r="K100" i="46"/>
  <c r="M109" i="46"/>
  <c r="AB12" i="46"/>
  <c r="AJ12" i="46"/>
  <c r="AJ13" i="46" s="1"/>
  <c r="F102" i="46"/>
  <c r="F105" i="46"/>
  <c r="F103" i="46"/>
  <c r="C101" i="46"/>
  <c r="G101" i="46"/>
  <c r="G103" i="46" s="1"/>
  <c r="J101" i="46"/>
  <c r="B113" i="46"/>
  <c r="D118" i="46" s="1"/>
  <c r="E118" i="46" s="1"/>
  <c r="F118" i="46" s="1"/>
  <c r="N104" i="45"/>
  <c r="L101" i="46"/>
  <c r="L102" i="46" s="1"/>
  <c r="F22" i="46"/>
  <c r="E101" i="46"/>
  <c r="E104" i="46" s="1"/>
  <c r="Z7" i="46"/>
  <c r="K101" i="46"/>
  <c r="K107" i="46" s="1"/>
  <c r="E22" i="46"/>
  <c r="AG11" i="46"/>
  <c r="AG13" i="46" s="1"/>
  <c r="Z11" i="46"/>
  <c r="Z13" i="46" s="1"/>
  <c r="AH11" i="46"/>
  <c r="AA11" i="46"/>
  <c r="AA13" i="46"/>
  <c r="AI11" i="46"/>
  <c r="AI13" i="46"/>
  <c r="AF11" i="46"/>
  <c r="AE11" i="46"/>
  <c r="AE13" i="46"/>
  <c r="H60" i="46"/>
  <c r="H59" i="46"/>
  <c r="H74" i="46"/>
  <c r="H65" i="46"/>
  <c r="AB11" i="46"/>
  <c r="H75" i="46"/>
  <c r="E10" i="46"/>
  <c r="E9" i="46"/>
  <c r="E11" i="46"/>
  <c r="E8" i="46"/>
  <c r="H103" i="46"/>
  <c r="I106" i="46"/>
  <c r="H72" i="46"/>
  <c r="H69" i="46"/>
  <c r="H77" i="46"/>
  <c r="H76" i="46"/>
  <c r="H55" i="46"/>
  <c r="H54" i="46"/>
  <c r="H52" i="46"/>
  <c r="H47" i="46"/>
  <c r="AD12" i="46"/>
  <c r="AH12" i="46"/>
  <c r="P21" i="46"/>
  <c r="P22" i="46"/>
  <c r="P23" i="46"/>
  <c r="P25" i="46"/>
  <c r="B73" i="39" s="1"/>
  <c r="P24" i="46"/>
  <c r="B68" i="40" s="1"/>
  <c r="D107" i="46"/>
  <c r="M106" i="46"/>
  <c r="H107" i="46"/>
  <c r="M105" i="46"/>
  <c r="H105" i="46"/>
  <c r="H109" i="46"/>
  <c r="D103" i="46"/>
  <c r="D102" i="46"/>
  <c r="H104" i="46"/>
  <c r="H106" i="46"/>
  <c r="D22" i="46"/>
  <c r="D105" i="46"/>
  <c r="D109" i="46"/>
  <c r="D104" i="46"/>
  <c r="I109" i="46"/>
  <c r="K14" i="1"/>
  <c r="E30" i="6"/>
  <c r="I104" i="46"/>
  <c r="N104" i="46"/>
  <c r="N107" i="46"/>
  <c r="AD13" i="46"/>
  <c r="I103" i="46"/>
  <c r="N109" i="46"/>
  <c r="N106" i="46"/>
  <c r="N103" i="46"/>
  <c r="N102" i="46"/>
  <c r="I105" i="46"/>
  <c r="I107" i="46"/>
  <c r="AB13" i="46"/>
  <c r="K103" i="46"/>
  <c r="K102" i="46"/>
  <c r="K106" i="46"/>
  <c r="K105" i="46"/>
  <c r="E103" i="46"/>
  <c r="L105" i="46"/>
  <c r="L104" i="46"/>
  <c r="L106" i="46"/>
  <c r="C23" i="46"/>
  <c r="C21" i="46" s="1"/>
  <c r="L107" i="46"/>
  <c r="I117" i="46"/>
  <c r="J117" i="46" s="1"/>
  <c r="K117" i="46" s="1"/>
  <c r="L117" i="46" s="1"/>
  <c r="M117" i="46" s="1"/>
  <c r="G118" i="46"/>
  <c r="H118" i="46" s="1"/>
  <c r="G106" i="46"/>
  <c r="G102" i="46"/>
  <c r="G104" i="46"/>
  <c r="G107" i="46"/>
  <c r="G109" i="46"/>
  <c r="K109" i="46"/>
  <c r="J107" i="46"/>
  <c r="J106" i="46"/>
  <c r="J102" i="46"/>
  <c r="J104" i="46"/>
  <c r="J103" i="46"/>
  <c r="J105" i="46"/>
  <c r="C104" i="46"/>
  <c r="C107" i="46"/>
  <c r="C102" i="46"/>
  <c r="C106" i="46"/>
  <c r="C105" i="46"/>
  <c r="J109" i="46"/>
  <c r="C7" i="46"/>
  <c r="S2" i="46"/>
  <c r="S3" i="46"/>
  <c r="S7" i="46"/>
  <c r="S4" i="46"/>
  <c r="M14" i="1"/>
  <c r="E10" i="67"/>
  <c r="B12" i="67"/>
  <c r="J4" i="65"/>
  <c r="M29" i="44"/>
  <c r="B9" i="67"/>
  <c r="C19" i="44"/>
  <c r="M28" i="15"/>
  <c r="B13" i="67"/>
  <c r="B11" i="67"/>
  <c r="F40" i="15"/>
  <c r="M21" i="15"/>
  <c r="F45" i="44"/>
  <c r="F11" i="44"/>
  <c r="F36" i="15"/>
  <c r="M8" i="44"/>
  <c r="M28" i="44"/>
  <c r="M26" i="15"/>
  <c r="I7" i="65"/>
  <c r="I4" i="65"/>
  <c r="F9" i="15"/>
  <c r="E8" i="67"/>
  <c r="M25" i="44"/>
  <c r="F7" i="15"/>
  <c r="J3" i="65"/>
  <c r="F38" i="44"/>
  <c r="D20" i="9"/>
  <c r="M11" i="44"/>
  <c r="M26" i="44"/>
  <c r="F43" i="15"/>
  <c r="F8" i="15"/>
  <c r="F39" i="44"/>
  <c r="F10" i="67"/>
  <c r="F8" i="67"/>
  <c r="F13" i="15"/>
  <c r="J5" i="65"/>
  <c r="F11" i="67"/>
  <c r="M10" i="44"/>
  <c r="F9" i="44"/>
  <c r="J17" i="44"/>
  <c r="F46" i="44"/>
  <c r="J7" i="65"/>
  <c r="M6" i="15"/>
  <c r="E11" i="67"/>
  <c r="M30" i="44"/>
  <c r="L47" i="15"/>
  <c r="F6" i="15"/>
  <c r="M31" i="44"/>
  <c r="M22" i="15"/>
  <c r="F16" i="15"/>
  <c r="F10" i="44"/>
  <c r="M27" i="15"/>
  <c r="F26" i="15"/>
  <c r="M24" i="15"/>
  <c r="B14" i="67"/>
  <c r="F43" i="44"/>
  <c r="B8" i="67"/>
  <c r="F18" i="44"/>
  <c r="L49" i="44"/>
  <c r="I5" i="65"/>
  <c r="E13" i="67"/>
  <c r="F12" i="67"/>
  <c r="M29" i="15"/>
  <c r="F15" i="44"/>
  <c r="F8" i="44"/>
  <c r="E9" i="67"/>
  <c r="I6" i="65"/>
  <c r="N3" i="65"/>
  <c r="F14" i="67"/>
  <c r="M8" i="15"/>
  <c r="N7" i="65"/>
  <c r="B10" i="67"/>
  <c r="L48" i="44"/>
  <c r="N5" i="65"/>
  <c r="F28" i="44"/>
  <c r="E14" i="67"/>
  <c r="M23" i="44"/>
  <c r="F9" i="67"/>
  <c r="J6" i="65"/>
  <c r="M24" i="44"/>
  <c r="E12" i="67"/>
  <c r="N4" i="65"/>
  <c r="L48" i="15"/>
  <c r="F38" i="15"/>
  <c r="F41" i="15"/>
  <c r="J36" i="15"/>
  <c r="F42" i="15"/>
  <c r="F37" i="15"/>
  <c r="F40" i="44"/>
  <c r="M23" i="15"/>
  <c r="N6" i="65"/>
  <c r="J15" i="15"/>
  <c r="M9" i="15"/>
  <c r="F37" i="44"/>
  <c r="F35" i="15"/>
  <c r="I3" i="65"/>
  <c r="F13" i="67"/>
  <c r="C20" i="9"/>
  <c r="H81" i="46" l="1"/>
  <c r="H86" i="46"/>
  <c r="H85" i="46"/>
  <c r="H80" i="46"/>
  <c r="H84" i="46"/>
  <c r="H82" i="46"/>
  <c r="H87" i="46"/>
  <c r="H83" i="46"/>
  <c r="G17" i="46"/>
  <c r="C16" i="46" s="1"/>
  <c r="D5" i="46" s="1"/>
  <c r="G8" i="1"/>
  <c r="G11" i="1"/>
  <c r="E4" i="52"/>
  <c r="E15" i="52"/>
  <c r="G10" i="1"/>
  <c r="B4" i="52"/>
  <c r="B8" i="52"/>
  <c r="E22" i="52"/>
  <c r="E16" i="52"/>
  <c r="AP6" i="1"/>
  <c r="G6" i="1"/>
  <c r="E21" i="52"/>
  <c r="B16" i="52"/>
  <c r="E8" i="52"/>
  <c r="E11" i="52"/>
  <c r="B11" i="52"/>
  <c r="E5" i="52"/>
  <c r="E7" i="52"/>
  <c r="G13" i="1"/>
  <c r="E14" i="52"/>
  <c r="G9" i="1"/>
  <c r="E6" i="52"/>
  <c r="E10" i="52"/>
  <c r="B9" i="52"/>
  <c r="B14" i="52"/>
  <c r="E17" i="52"/>
  <c r="B10" i="52"/>
  <c r="B13" i="52"/>
  <c r="B5" i="52"/>
  <c r="E13" i="52"/>
  <c r="E9" i="52"/>
  <c r="B22" i="52"/>
  <c r="B7" i="52"/>
  <c r="B6" i="52"/>
  <c r="A25" i="51"/>
  <c r="B18" i="63" s="1"/>
  <c r="G12" i="1"/>
  <c r="C67" i="40"/>
  <c r="D65" i="40"/>
  <c r="E70" i="39"/>
  <c r="C92" i="9"/>
  <c r="C27" i="15"/>
  <c r="C6" i="15"/>
  <c r="F62" i="15"/>
  <c r="C61" i="15" s="1"/>
  <c r="C34" i="15"/>
  <c r="E20" i="46"/>
  <c r="C29" i="44"/>
  <c r="C8" i="44"/>
  <c r="F70" i="15"/>
  <c r="F67" i="15"/>
  <c r="I1" i="65"/>
  <c r="I54" i="15"/>
  <c r="L56" i="15"/>
  <c r="J57" i="15"/>
  <c r="J55" i="15" s="1"/>
  <c r="J58" i="15" s="1"/>
  <c r="Q51" i="15" s="1"/>
  <c r="J53" i="15"/>
  <c r="M7" i="15"/>
  <c r="F49" i="15"/>
  <c r="J20" i="15"/>
  <c r="M9" i="44"/>
  <c r="C36" i="44"/>
  <c r="L58" i="15"/>
  <c r="L59" i="15"/>
  <c r="F64" i="15"/>
  <c r="L59" i="44"/>
  <c r="L60" i="44"/>
  <c r="C4" i="65"/>
  <c r="B39" i="1" s="1"/>
  <c r="Q73" i="44"/>
  <c r="Q72" i="15"/>
  <c r="F65" i="15"/>
  <c r="J54" i="44"/>
  <c r="J58" i="44"/>
  <c r="J56" i="44" s="1"/>
  <c r="J59" i="44" s="1"/>
  <c r="Q52" i="44" s="1"/>
  <c r="L57" i="44"/>
  <c r="I55" i="44"/>
  <c r="J60" i="44"/>
  <c r="J61" i="44"/>
  <c r="Q50" i="44" s="1"/>
  <c r="F50" i="15"/>
  <c r="G20" i="9"/>
  <c r="F68" i="15"/>
  <c r="J22" i="44"/>
  <c r="J6" i="15"/>
  <c r="F63" i="15"/>
  <c r="J1" i="65"/>
  <c r="V7" i="59"/>
  <c r="F6" i="59"/>
  <c r="F5" i="59" s="1"/>
  <c r="H48" i="35"/>
  <c r="I48" i="35" s="1"/>
  <c r="J48" i="35" s="1"/>
  <c r="K48" i="35" s="1"/>
  <c r="L48" i="35" s="1"/>
  <c r="M48" i="35" s="1"/>
  <c r="N48" i="35" s="1"/>
  <c r="O48" i="35" s="1"/>
  <c r="O9" i="1"/>
  <c r="P9" i="1" s="1"/>
  <c r="O14" i="1"/>
  <c r="P14" i="1" s="1"/>
  <c r="S5" i="46"/>
  <c r="S6" i="46"/>
  <c r="B118" i="46"/>
  <c r="C118" i="46" s="1"/>
  <c r="E106" i="46"/>
  <c r="AH13" i="46"/>
  <c r="M84" i="9"/>
  <c r="N84" i="9" s="1"/>
  <c r="M87" i="9"/>
  <c r="N87" i="9" s="1"/>
  <c r="M83" i="9"/>
  <c r="N83" i="9" s="1"/>
  <c r="N89" i="9" s="1"/>
  <c r="O89" i="9" s="1"/>
  <c r="H14" i="66"/>
  <c r="B7" i="66" s="1"/>
  <c r="O40" i="9"/>
  <c r="E107" i="46"/>
  <c r="F58" i="21"/>
  <c r="G58" i="21" s="1"/>
  <c r="H58" i="21" s="1"/>
  <c r="I58" i="21" s="1"/>
  <c r="J58" i="21" s="1"/>
  <c r="K58" i="21" s="1"/>
  <c r="L58" i="21" s="1"/>
  <c r="M58" i="21" s="1"/>
  <c r="N58" i="21" s="1"/>
  <c r="O58" i="21" s="1"/>
  <c r="E52" i="37"/>
  <c r="D46" i="36"/>
  <c r="B39" i="63"/>
  <c r="A3" i="55"/>
  <c r="B56" i="63" s="1"/>
  <c r="A9" i="64"/>
  <c r="A9" i="51"/>
  <c r="B9" i="63" s="1"/>
  <c r="E105" i="46"/>
  <c r="E109" i="46"/>
  <c r="B115" i="46"/>
  <c r="D117" i="46"/>
  <c r="E117" i="46" s="1"/>
  <c r="F117" i="46" s="1"/>
  <c r="G117" i="46" s="1"/>
  <c r="H117" i="46" s="1"/>
  <c r="D115" i="46"/>
  <c r="E115" i="46" s="1"/>
  <c r="F115" i="46" s="1"/>
  <c r="G115" i="46" s="1"/>
  <c r="H115" i="46" s="1"/>
  <c r="B117" i="46"/>
  <c r="C117" i="46" s="1"/>
  <c r="E59" i="34"/>
  <c r="F59" i="34" s="1"/>
  <c r="G59" i="34" s="1"/>
  <c r="H59" i="34" s="1"/>
  <c r="I59" i="34" s="1"/>
  <c r="J59" i="34" s="1"/>
  <c r="K59" i="34" s="1"/>
  <c r="L59" i="34" s="1"/>
  <c r="M59" i="34" s="1"/>
  <c r="N59" i="34" s="1"/>
  <c r="O59" i="34" s="1"/>
  <c r="B116" i="46"/>
  <c r="C116" i="46" s="1"/>
  <c r="D116" i="46"/>
  <c r="E116" i="46" s="1"/>
  <c r="F116" i="46" s="1"/>
  <c r="G116" i="46" s="1"/>
  <c r="H116" i="46" s="1"/>
  <c r="I118" i="46"/>
  <c r="J118" i="46" s="1"/>
  <c r="K118" i="46" s="1"/>
  <c r="L118" i="46" s="1"/>
  <c r="M118" i="46" s="1"/>
  <c r="I115" i="46"/>
  <c r="J115" i="46" s="1"/>
  <c r="K115" i="46" s="1"/>
  <c r="L115" i="46" s="1"/>
  <c r="M115" i="46" s="1"/>
  <c r="I116" i="46"/>
  <c r="J116" i="46" s="1"/>
  <c r="K116" i="46" s="1"/>
  <c r="L116" i="46" s="1"/>
  <c r="M116" i="46" s="1"/>
  <c r="E102" i="46"/>
  <c r="C109" i="46"/>
  <c r="C103" i="46"/>
  <c r="P7" i="1"/>
  <c r="F58" i="33"/>
  <c r="G58" i="33" s="1"/>
  <c r="H58" i="33" s="1"/>
  <c r="I58" i="33" s="1"/>
  <c r="J58" i="33" s="1"/>
  <c r="K58" i="33" s="1"/>
  <c r="L58" i="33" s="1"/>
  <c r="M58" i="33" s="1"/>
  <c r="N58" i="33" s="1"/>
  <c r="O58" i="33" s="1"/>
  <c r="D21" i="12"/>
  <c r="C21" i="12" s="1"/>
  <c r="D12" i="11"/>
  <c r="C12" i="11" s="1"/>
  <c r="G105" i="46"/>
  <c r="L103" i="46"/>
  <c r="L109" i="46"/>
  <c r="K104" i="46"/>
  <c r="M102" i="46"/>
  <c r="G30" i="6"/>
  <c r="G31" i="6" s="1"/>
  <c r="K33" i="9"/>
  <c r="K34" i="9" s="1"/>
  <c r="W27" i="40"/>
  <c r="P6" i="1"/>
  <c r="U25" i="33"/>
  <c r="AC11" i="34"/>
  <c r="AC20" i="36"/>
  <c r="AA31" i="33"/>
  <c r="S31" i="33"/>
  <c r="W17" i="34"/>
  <c r="AA25" i="40"/>
  <c r="W35" i="33"/>
  <c r="AZ506" i="3"/>
  <c r="AB46" i="34"/>
  <c r="U46" i="34"/>
  <c r="U27" i="33"/>
  <c r="AB27" i="33"/>
  <c r="W44" i="33"/>
  <c r="AC44" i="33"/>
  <c r="AZ540" i="3"/>
  <c r="AB29" i="33"/>
  <c r="U29" i="33"/>
  <c r="AC32" i="33"/>
  <c r="W32" i="33"/>
  <c r="W28" i="33"/>
  <c r="AC28" i="33"/>
  <c r="AC29" i="33"/>
  <c r="W29" i="33"/>
  <c r="AC16" i="40"/>
  <c r="W27" i="39"/>
  <c r="AC15" i="39"/>
  <c r="AZ518" i="3"/>
  <c r="S28" i="21"/>
  <c r="AA28" i="21"/>
  <c r="AB9" i="33"/>
  <c r="U9" i="33"/>
  <c r="AZ516" i="3"/>
  <c r="S10" i="35"/>
  <c r="AC45" i="33"/>
  <c r="AC41" i="34"/>
  <c r="S45" i="21"/>
  <c r="W31" i="34"/>
  <c r="AB14" i="21"/>
  <c r="W30" i="21"/>
  <c r="AB13" i="21"/>
  <c r="W46" i="33"/>
  <c r="J28" i="21"/>
  <c r="W38" i="34"/>
  <c r="AB8" i="36"/>
  <c r="AB36" i="21"/>
  <c r="AA40" i="33"/>
  <c r="J34" i="35"/>
  <c r="F34" i="35"/>
  <c r="G567" i="3"/>
  <c r="G497" i="3"/>
  <c r="BG5" i="3"/>
  <c r="F71" i="9"/>
  <c r="AC14" i="37"/>
  <c r="AB17" i="37"/>
  <c r="AA30" i="33"/>
  <c r="AA36" i="35"/>
  <c r="AB15" i="37"/>
  <c r="U12" i="37"/>
  <c r="AA13" i="33"/>
  <c r="AC23" i="37"/>
  <c r="AB44" i="21"/>
  <c r="AC13" i="36"/>
  <c r="W42" i="21"/>
  <c r="J13" i="37"/>
  <c r="H31" i="33"/>
  <c r="F27" i="33"/>
  <c r="H26" i="33"/>
  <c r="F44" i="21"/>
  <c r="AA39" i="37"/>
  <c r="U22" i="36"/>
  <c r="AB41" i="21"/>
  <c r="AA8" i="21"/>
  <c r="J9" i="33"/>
  <c r="F9" i="33"/>
  <c r="H9" i="35"/>
  <c r="J9" i="35"/>
  <c r="AC24" i="35"/>
  <c r="J12" i="36"/>
  <c r="H12" i="36"/>
  <c r="F25" i="37"/>
  <c r="G551" i="3"/>
  <c r="G527" i="3"/>
  <c r="U28" i="21"/>
  <c r="U46" i="21"/>
  <c r="AB40" i="37"/>
  <c r="S38" i="21"/>
  <c r="AB26" i="36"/>
  <c r="U26" i="36"/>
  <c r="AC39" i="37"/>
  <c r="H25" i="37"/>
  <c r="H5" i="3"/>
  <c r="F12" i="21"/>
  <c r="H12" i="21"/>
  <c r="AC39" i="34"/>
  <c r="W39" i="34"/>
  <c r="G481" i="3"/>
  <c r="AZ392" i="3"/>
  <c r="AZ416" i="3"/>
  <c r="J12" i="33"/>
  <c r="F12" i="33"/>
  <c r="G559" i="3"/>
  <c r="G548" i="3"/>
  <c r="G547" i="3"/>
  <c r="G519" i="3"/>
  <c r="G505" i="3"/>
  <c r="G486" i="3"/>
  <c r="AZ393" i="3"/>
  <c r="AZ396" i="3"/>
  <c r="O8" i="1"/>
  <c r="P8" i="1"/>
  <c r="AZ402" i="3"/>
  <c r="AZ404" i="3"/>
  <c r="AZ424" i="3"/>
  <c r="AZ445" i="3"/>
  <c r="AZ419" i="3"/>
  <c r="BL306" i="3"/>
  <c r="AZ306" i="3" s="1"/>
  <c r="AZ208" i="3"/>
  <c r="AZ210" i="3"/>
  <c r="AZ219" i="3"/>
  <c r="AZ248" i="3"/>
  <c r="AZ258" i="3"/>
  <c r="AZ259" i="3"/>
  <c r="AZ266" i="3"/>
  <c r="A11" i="55"/>
  <c r="B62" i="63" s="1"/>
  <c r="BA437" i="3"/>
  <c r="AZ437" i="3" s="1"/>
  <c r="BL441" i="3"/>
  <c r="AZ441" i="3" s="1"/>
  <c r="BA447" i="3"/>
  <c r="AZ447" i="3" s="1"/>
  <c r="AZ451" i="3"/>
  <c r="BA473" i="3"/>
  <c r="AZ473" i="3" s="1"/>
  <c r="BA475" i="3"/>
  <c r="AZ475" i="3" s="1"/>
  <c r="BA478" i="3"/>
  <c r="AZ478" i="3" s="1"/>
  <c r="AZ480" i="3"/>
  <c r="AZ218" i="3"/>
  <c r="AZ256" i="3"/>
  <c r="G428" i="3"/>
  <c r="BA432" i="3"/>
  <c r="AZ432" i="3" s="1"/>
  <c r="BL436" i="3"/>
  <c r="AZ436" i="3" s="1"/>
  <c r="G440" i="3"/>
  <c r="BL446" i="3"/>
  <c r="AZ446" i="3" s="1"/>
  <c r="BL449" i="3"/>
  <c r="AZ449" i="3" s="1"/>
  <c r="G450" i="3"/>
  <c r="BA452" i="3"/>
  <c r="AZ452" i="3" s="1"/>
  <c r="BA456" i="3"/>
  <c r="AZ456" i="3" s="1"/>
  <c r="BA457" i="3"/>
  <c r="AZ457" i="3" s="1"/>
  <c r="G460" i="3"/>
  <c r="BA461" i="3"/>
  <c r="AZ461" i="3" s="1"/>
  <c r="BA462" i="3"/>
  <c r="AZ462" i="3" s="1"/>
  <c r="BA465" i="3"/>
  <c r="AZ465" i="3" s="1"/>
  <c r="BA467" i="3"/>
  <c r="AZ467" i="3" s="1"/>
  <c r="BA470" i="3"/>
  <c r="AZ470" i="3" s="1"/>
  <c r="AZ472" i="3"/>
  <c r="BA301" i="3"/>
  <c r="AZ301" i="3" s="1"/>
  <c r="BL308" i="3"/>
  <c r="AZ308" i="3" s="1"/>
  <c r="BA311" i="3"/>
  <c r="AZ311" i="3" s="1"/>
  <c r="AZ269" i="3"/>
  <c r="BA264" i="3"/>
  <c r="AZ264" i="3" s="1"/>
  <c r="BA267" i="3"/>
  <c r="AZ267" i="3" s="1"/>
  <c r="BL271" i="3"/>
  <c r="AZ285" i="3"/>
  <c r="AZ129" i="3"/>
  <c r="AZ141" i="3"/>
  <c r="AZ156" i="3"/>
  <c r="AZ182" i="3"/>
  <c r="AZ194" i="3"/>
  <c r="AZ204" i="3"/>
  <c r="AZ30" i="3"/>
  <c r="AZ41" i="3"/>
  <c r="AZ50" i="3"/>
  <c r="AZ53" i="3"/>
  <c r="AZ54" i="3"/>
  <c r="AZ73" i="3"/>
  <c r="AZ76" i="3"/>
  <c r="AZ88" i="3"/>
  <c r="BL263" i="3"/>
  <c r="AZ263" i="3" s="1"/>
  <c r="BL266" i="3"/>
  <c r="BL269" i="3"/>
  <c r="AZ271" i="3"/>
  <c r="BL274" i="3"/>
  <c r="AZ274" i="3" s="1"/>
  <c r="AZ280" i="3"/>
  <c r="BA283" i="3"/>
  <c r="AZ283" i="3" s="1"/>
  <c r="AZ293" i="3"/>
  <c r="AZ117" i="3"/>
  <c r="AZ120" i="3"/>
  <c r="AZ133" i="3"/>
  <c r="AZ144" i="3"/>
  <c r="AZ160" i="3"/>
  <c r="AZ64" i="3"/>
  <c r="AZ67" i="3"/>
  <c r="AZ69" i="3"/>
  <c r="AZ77" i="3"/>
  <c r="AZ83" i="3"/>
  <c r="AZ85" i="3"/>
  <c r="AZ87" i="3"/>
  <c r="BA272" i="3"/>
  <c r="AZ272" i="3" s="1"/>
  <c r="BA277" i="3"/>
  <c r="AZ277" i="3" s="1"/>
  <c r="AZ279" i="3"/>
  <c r="BL285" i="3"/>
  <c r="G286" i="3"/>
  <c r="BL287" i="3"/>
  <c r="AZ287" i="3" s="1"/>
  <c r="AZ163" i="3"/>
  <c r="AZ171" i="3"/>
  <c r="AZ198" i="3"/>
  <c r="AZ57" i="3"/>
  <c r="AZ58" i="3"/>
  <c r="AZ65" i="3"/>
  <c r="AZ68" i="3"/>
  <c r="BL84" i="3"/>
  <c r="AZ84" i="3" s="1"/>
  <c r="BL87" i="3"/>
  <c r="BL96" i="3"/>
  <c r="G97" i="3"/>
  <c r="BA110" i="3"/>
  <c r="AZ110" i="3" s="1"/>
  <c r="BA111" i="3"/>
  <c r="AZ111" i="3" s="1"/>
  <c r="G83" i="3"/>
  <c r="BL90" i="3"/>
  <c r="AZ90" i="3" s="1"/>
  <c r="G98" i="3"/>
  <c r="BL98" i="3"/>
  <c r="AZ98" i="3" s="1"/>
  <c r="BL105" i="3"/>
  <c r="BL107" i="3"/>
  <c r="AZ107" i="3" s="1"/>
  <c r="BA82" i="3"/>
  <c r="AZ82" i="3" s="1"/>
  <c r="G86" i="3"/>
  <c r="G89" i="3"/>
  <c r="BA96" i="3"/>
  <c r="AZ96" i="3" s="1"/>
  <c r="BA97" i="3"/>
  <c r="AZ97" i="3" s="1"/>
  <c r="G100" i="3"/>
  <c r="G103" i="3"/>
  <c r="G111" i="3"/>
  <c r="BL112" i="3"/>
  <c r="AZ112" i="3" s="1"/>
  <c r="I21" i="57"/>
  <c r="D1" i="57"/>
  <c r="E10" i="57" s="1"/>
  <c r="AZ105" i="3"/>
  <c r="K13" i="1"/>
  <c r="S31" i="39"/>
  <c r="AA21" i="37"/>
  <c r="D51" i="59"/>
  <c r="U55" i="59"/>
  <c r="E18" i="59"/>
  <c r="E19" i="59" s="1"/>
  <c r="U19" i="59" s="1"/>
  <c r="X12" i="59"/>
  <c r="Y16" i="59"/>
  <c r="Z16" i="59" s="1"/>
  <c r="F62" i="59"/>
  <c r="F61" i="59" s="1"/>
  <c r="Y14" i="59"/>
  <c r="Z14" i="59" s="1"/>
  <c r="C15" i="59"/>
  <c r="Y13" i="59"/>
  <c r="Z13" i="59" s="1"/>
  <c r="Y15" i="59"/>
  <c r="Z15" i="59" s="1"/>
  <c r="Y21" i="59"/>
  <c r="Z21" i="59" s="1"/>
  <c r="AA10" i="59"/>
  <c r="Y3" i="59"/>
  <c r="Z3" i="59" s="1"/>
  <c r="BL16" i="3"/>
  <c r="AZ16" i="3" s="1"/>
  <c r="C22" i="59"/>
  <c r="D21" i="59"/>
  <c r="P54" i="59"/>
  <c r="E53" i="59"/>
  <c r="Y20" i="59"/>
  <c r="Z20" i="59" s="1"/>
  <c r="X13" i="59"/>
  <c r="X8" i="59"/>
  <c r="X10" i="59"/>
  <c r="X3" i="59"/>
  <c r="X14" i="59"/>
  <c r="G13" i="3"/>
  <c r="BL18" i="3"/>
  <c r="AZ17" i="3"/>
  <c r="I17" i="68"/>
  <c r="G12" i="72"/>
  <c r="S21" i="21"/>
  <c r="B17" i="59"/>
  <c r="B18" i="59" s="1"/>
  <c r="B19" i="59" s="1"/>
  <c r="S19" i="59" s="1"/>
  <c r="X15" i="59"/>
  <c r="F21" i="59"/>
  <c r="F22" i="59" s="1"/>
  <c r="F23" i="59" s="1"/>
  <c r="V23" i="59" s="1"/>
  <c r="AB20" i="59"/>
  <c r="AB15" i="59"/>
  <c r="AB14" i="59"/>
  <c r="C38" i="59"/>
  <c r="D37" i="59"/>
  <c r="A26" i="64"/>
  <c r="A26" i="51"/>
  <c r="B19" i="63" s="1"/>
  <c r="Y12" i="59"/>
  <c r="Z12" i="59" s="1"/>
  <c r="AA8" i="59"/>
  <c r="Y5" i="59"/>
  <c r="Z5" i="59" s="1"/>
  <c r="BA19" i="3"/>
  <c r="AZ19" i="3" s="1"/>
  <c r="G23" i="71"/>
  <c r="I32" i="71"/>
  <c r="C31" i="39"/>
  <c r="B85" i="46"/>
  <c r="T31" i="59"/>
  <c r="N16" i="4"/>
  <c r="K17" i="4" s="1"/>
  <c r="A22" i="51" s="1"/>
  <c r="B16" i="63" s="1"/>
  <c r="AB3" i="59"/>
  <c r="AA3" i="59"/>
  <c r="AB16" i="59"/>
  <c r="AB17" i="59"/>
  <c r="X17" i="59"/>
  <c r="X22" i="59"/>
  <c r="C25" i="59"/>
  <c r="Y23" i="59"/>
  <c r="Z23" i="59" s="1"/>
  <c r="Y24" i="59"/>
  <c r="Z24" i="59" s="1"/>
  <c r="N55" i="59"/>
  <c r="B54" i="59"/>
  <c r="S55" i="59"/>
  <c r="T63" i="59"/>
  <c r="D63" i="59"/>
  <c r="C62" i="59"/>
  <c r="AA17" i="59"/>
  <c r="B14" i="59"/>
  <c r="B13" i="59" s="1"/>
  <c r="F14" i="59"/>
  <c r="F13" i="59" s="1"/>
  <c r="V15" i="59"/>
  <c r="AB12" i="59"/>
  <c r="AB13" i="59"/>
  <c r="AB5" i="59"/>
  <c r="G18" i="3"/>
  <c r="AB18" i="59"/>
  <c r="AB19" i="59"/>
  <c r="X23" i="59"/>
  <c r="Y25" i="59"/>
  <c r="Z25" i="59" s="1"/>
  <c r="U15" i="59"/>
  <c r="E14" i="59"/>
  <c r="E13" i="59" s="1"/>
  <c r="X21" i="59"/>
  <c r="X20" i="59"/>
  <c r="Y10" i="59"/>
  <c r="Z10" i="59" s="1"/>
  <c r="G20" i="3"/>
  <c r="BL17" i="3"/>
  <c r="BA14" i="3"/>
  <c r="I10" i="68"/>
  <c r="G25" i="68"/>
  <c r="I9" i="70"/>
  <c r="G15" i="72"/>
  <c r="C66" i="59"/>
  <c r="C54" i="59"/>
  <c r="D45" i="59"/>
  <c r="AA13" i="59"/>
  <c r="X18" i="59"/>
  <c r="X19" i="59"/>
  <c r="AA20" i="59"/>
  <c r="Y22" i="59"/>
  <c r="Z22" i="59" s="1"/>
  <c r="C10" i="59"/>
  <c r="A28" i="51"/>
  <c r="X11" i="59"/>
  <c r="B11" i="59"/>
  <c r="AB10" i="59"/>
  <c r="AA5" i="59"/>
  <c r="G14" i="3"/>
  <c r="BA15" i="3"/>
  <c r="AZ15" i="3" s="1"/>
  <c r="BL14" i="3"/>
  <c r="I18" i="69"/>
  <c r="G15" i="71"/>
  <c r="AA12" i="59"/>
  <c r="AA16" i="59"/>
  <c r="Y17" i="59"/>
  <c r="Z17" i="59" s="1"/>
  <c r="Y18" i="59"/>
  <c r="Z18" i="59" s="1"/>
  <c r="K77" i="9"/>
  <c r="K79" i="9" s="1"/>
  <c r="K81" i="9" s="1"/>
  <c r="AB11" i="59"/>
  <c r="Y11" i="59"/>
  <c r="Z11" i="59" s="1"/>
  <c r="X5" i="59"/>
  <c r="G16" i="3"/>
  <c r="BA18" i="3"/>
  <c r="AZ18" i="3" s="1"/>
  <c r="BL13" i="3"/>
  <c r="G12" i="70"/>
  <c r="G15" i="70"/>
  <c r="I9" i="72"/>
  <c r="I13" i="68"/>
  <c r="F33" i="44"/>
  <c r="M19" i="44"/>
  <c r="C16" i="15"/>
  <c r="C18" i="44"/>
  <c r="C17" i="15"/>
  <c r="E3" i="65"/>
  <c r="F31" i="15"/>
  <c r="M17" i="15"/>
  <c r="E2" i="65"/>
  <c r="F58" i="15"/>
  <c r="F7" i="21" l="1"/>
  <c r="C5" i="46"/>
  <c r="J7" i="21"/>
  <c r="J7" i="35"/>
  <c r="H7" i="21"/>
  <c r="F7" i="35"/>
  <c r="AA7" i="35" s="1"/>
  <c r="R38" i="35" s="1"/>
  <c r="C48" i="15"/>
  <c r="H7" i="33"/>
  <c r="F7" i="34"/>
  <c r="H7" i="35"/>
  <c r="U7" i="35" s="1"/>
  <c r="F70" i="39"/>
  <c r="E72" i="39"/>
  <c r="D67" i="40"/>
  <c r="E65" i="40"/>
  <c r="I34" i="71"/>
  <c r="I35" i="71" s="1"/>
  <c r="I38" i="71" s="1"/>
  <c r="F17" i="11"/>
  <c r="C17" i="11" s="1"/>
  <c r="B40" i="1"/>
  <c r="I19" i="69"/>
  <c r="S11" i="59"/>
  <c r="B10" i="59"/>
  <c r="B9" i="59" s="1"/>
  <c r="B8" i="59" s="1"/>
  <c r="B7" i="59" s="1"/>
  <c r="I32" i="70"/>
  <c r="AZ14" i="3"/>
  <c r="BA5" i="3"/>
  <c r="E27" i="6" s="1"/>
  <c r="D62" i="59"/>
  <c r="C61" i="59"/>
  <c r="D61" i="59" s="1"/>
  <c r="B53" i="59"/>
  <c r="N54" i="59"/>
  <c r="C26" i="59"/>
  <c r="D25" i="59"/>
  <c r="P52" i="59"/>
  <c r="P53" i="59"/>
  <c r="U12" i="21"/>
  <c r="AB12" i="21"/>
  <c r="AC9" i="33"/>
  <c r="W9" i="33"/>
  <c r="AB31" i="33"/>
  <c r="U31" i="33"/>
  <c r="U7" i="33"/>
  <c r="AB7" i="33"/>
  <c r="T48" i="33" s="1"/>
  <c r="G48" i="33" s="1"/>
  <c r="C115" i="46"/>
  <c r="D113" i="46" s="1"/>
  <c r="J7" i="33"/>
  <c r="Q62" i="44"/>
  <c r="Q75" i="44"/>
  <c r="Q61" i="15"/>
  <c r="Q74" i="15"/>
  <c r="C9" i="59"/>
  <c r="D10" i="59"/>
  <c r="BL5" i="3"/>
  <c r="AZ13" i="3"/>
  <c r="AZ5" i="3" s="1"/>
  <c r="N4" i="63"/>
  <c r="B21" i="63"/>
  <c r="C53" i="59"/>
  <c r="O54" i="59"/>
  <c r="D54" i="59"/>
  <c r="I9" i="68"/>
  <c r="E20" i="3"/>
  <c r="G5" i="3"/>
  <c r="B3" i="3" s="1"/>
  <c r="E97" i="3" s="1"/>
  <c r="M13" i="1"/>
  <c r="H16" i="1"/>
  <c r="Q16" i="1"/>
  <c r="K16" i="1"/>
  <c r="E519" i="3"/>
  <c r="S12" i="33"/>
  <c r="AA12" i="33"/>
  <c r="AA12" i="21"/>
  <c r="S12" i="21"/>
  <c r="S25" i="37"/>
  <c r="AA25" i="37"/>
  <c r="W9" i="35"/>
  <c r="AC9" i="35"/>
  <c r="AA44" i="21"/>
  <c r="S44" i="21"/>
  <c r="AC13" i="37"/>
  <c r="W13" i="37"/>
  <c r="AA34" i="35"/>
  <c r="S34" i="35"/>
  <c r="G16" i="1"/>
  <c r="E46" i="36"/>
  <c r="F46" i="36" s="1"/>
  <c r="G46" i="36" s="1"/>
  <c r="H46" i="36" s="1"/>
  <c r="I46" i="36" s="1"/>
  <c r="J46" i="36" s="1"/>
  <c r="K46" i="36" s="1"/>
  <c r="L46" i="36" s="1"/>
  <c r="M46" i="36" s="1"/>
  <c r="N46" i="36" s="1"/>
  <c r="O46" i="36" s="1"/>
  <c r="F7" i="33"/>
  <c r="R7" i="54"/>
  <c r="B52" i="63" s="1"/>
  <c r="K31" i="9"/>
  <c r="K32" i="9" s="1"/>
  <c r="J7" i="34"/>
  <c r="C34" i="44"/>
  <c r="E286" i="3"/>
  <c r="E547" i="3"/>
  <c r="W12" i="33"/>
  <c r="AC12" i="33"/>
  <c r="U12" i="36"/>
  <c r="AB12" i="36"/>
  <c r="AB9" i="35"/>
  <c r="U9" i="35"/>
  <c r="U26" i="33"/>
  <c r="AB26" i="33"/>
  <c r="E15" i="6"/>
  <c r="E11" i="6"/>
  <c r="E13" i="6"/>
  <c r="E12" i="6"/>
  <c r="E10" i="6"/>
  <c r="E14" i="6"/>
  <c r="AC34" i="35"/>
  <c r="W34" i="35"/>
  <c r="AC7" i="21"/>
  <c r="V48" i="21" s="1"/>
  <c r="I48" i="21" s="1"/>
  <c r="W7" i="21"/>
  <c r="U7" i="21"/>
  <c r="AB7" i="21"/>
  <c r="T48" i="21" s="1"/>
  <c r="G48" i="21" s="1"/>
  <c r="W7" i="35"/>
  <c r="AC7" i="35"/>
  <c r="V38" i="35" s="1"/>
  <c r="I38" i="35" s="1"/>
  <c r="H7" i="34"/>
  <c r="J18" i="15"/>
  <c r="L47" i="44"/>
  <c r="F1" i="44"/>
  <c r="Q54" i="44"/>
  <c r="M11" i="15"/>
  <c r="J10" i="15" s="1"/>
  <c r="J5" i="15" s="1"/>
  <c r="M13" i="44"/>
  <c r="J12" i="44" s="1"/>
  <c r="F11" i="15"/>
  <c r="F13" i="44"/>
  <c r="C12" i="44" s="1"/>
  <c r="C7" i="44" s="1"/>
  <c r="Q53" i="15"/>
  <c r="F1" i="15"/>
  <c r="C32" i="15"/>
  <c r="D66" i="59"/>
  <c r="C65" i="59"/>
  <c r="D65" i="59" s="1"/>
  <c r="D38" i="59"/>
  <c r="C39" i="59"/>
  <c r="D22" i="59"/>
  <c r="C23" i="59"/>
  <c r="D15" i="59"/>
  <c r="T15" i="59"/>
  <c r="C14" i="59"/>
  <c r="E103" i="3"/>
  <c r="E89" i="3"/>
  <c r="E83" i="3"/>
  <c r="E440" i="3"/>
  <c r="E486" i="3"/>
  <c r="E548" i="3"/>
  <c r="U25" i="37"/>
  <c r="AB25" i="37"/>
  <c r="E527" i="3"/>
  <c r="AC12" i="36"/>
  <c r="W12" i="36"/>
  <c r="AA9" i="33"/>
  <c r="S9" i="33"/>
  <c r="AA27" i="33"/>
  <c r="S27" i="33"/>
  <c r="E497" i="3"/>
  <c r="AC28" i="21"/>
  <c r="W28" i="21"/>
  <c r="AA7" i="34"/>
  <c r="R49" i="34" s="1"/>
  <c r="S7" i="34"/>
  <c r="F52" i="37"/>
  <c r="G52" i="37" s="1"/>
  <c r="H52" i="37" s="1"/>
  <c r="I52" i="37" s="1"/>
  <c r="J52" i="37" s="1"/>
  <c r="K52" i="37" s="1"/>
  <c r="L52" i="37" s="1"/>
  <c r="M52" i="37" s="1"/>
  <c r="N52" i="37" s="1"/>
  <c r="O52" i="37" s="1"/>
  <c r="F7" i="37" s="1"/>
  <c r="AA7" i="21"/>
  <c r="R48" i="21" s="1"/>
  <c r="S7" i="21"/>
  <c r="AP16" i="1"/>
  <c r="F22" i="11" s="1"/>
  <c r="AB7" i="35"/>
  <c r="T38" i="35" s="1"/>
  <c r="G38" i="35" s="1"/>
  <c r="Q63" i="44"/>
  <c r="Q76" i="44"/>
  <c r="Q62" i="15"/>
  <c r="Q75" i="15"/>
  <c r="J8" i="44"/>
  <c r="O28" i="46"/>
  <c r="M28" i="46"/>
  <c r="N28" i="46"/>
  <c r="P28" i="46"/>
  <c r="G20" i="46" s="1"/>
  <c r="C20" i="46" l="1"/>
  <c r="E41" i="46"/>
  <c r="C41" i="46" s="1"/>
  <c r="B4" i="71"/>
  <c r="B2" i="71" s="1"/>
  <c r="B5" i="71" s="1"/>
  <c r="I34" i="72"/>
  <c r="I35" i="72" s="1"/>
  <c r="I38" i="72" s="1"/>
  <c r="I34" i="70"/>
  <c r="I35" i="70" s="1"/>
  <c r="I38" i="70" s="1"/>
  <c r="S7" i="35"/>
  <c r="H7" i="37"/>
  <c r="AB7" i="37" s="1"/>
  <c r="T42" i="37" s="1"/>
  <c r="G42" i="37" s="1"/>
  <c r="F65" i="40"/>
  <c r="E67" i="40"/>
  <c r="F72" i="39"/>
  <c r="G70" i="39"/>
  <c r="J26" i="15"/>
  <c r="J29" i="15" s="1"/>
  <c r="J24" i="15"/>
  <c r="C40" i="44"/>
  <c r="G43" i="35"/>
  <c r="H43" i="35" s="1"/>
  <c r="G42" i="35"/>
  <c r="H42" i="35" s="1"/>
  <c r="T39" i="59"/>
  <c r="D39" i="59"/>
  <c r="G53" i="21"/>
  <c r="H53" i="21" s="1"/>
  <c r="G52" i="21"/>
  <c r="H52" i="21" s="1"/>
  <c r="E64" i="39"/>
  <c r="E59" i="40"/>
  <c r="R49" i="21"/>
  <c r="E48" i="21"/>
  <c r="D23" i="59"/>
  <c r="T23" i="59"/>
  <c r="C10" i="15"/>
  <c r="C5" i="15" s="1"/>
  <c r="C52" i="15"/>
  <c r="C47" i="15" s="1"/>
  <c r="U7" i="34"/>
  <c r="AB7" i="34"/>
  <c r="T49" i="34" s="1"/>
  <c r="G49" i="34" s="1"/>
  <c r="E65" i="39"/>
  <c r="E60" i="40"/>
  <c r="E428" i="3"/>
  <c r="AC7" i="34"/>
  <c r="V49" i="34" s="1"/>
  <c r="I49" i="34" s="1"/>
  <c r="W7" i="34"/>
  <c r="H7" i="36"/>
  <c r="E481" i="3"/>
  <c r="E98" i="3"/>
  <c r="O13" i="1"/>
  <c r="O16" i="1" s="1"/>
  <c r="M16" i="1"/>
  <c r="I36" i="68"/>
  <c r="I35" i="68"/>
  <c r="I37" i="68"/>
  <c r="E460" i="3"/>
  <c r="N52" i="59"/>
  <c r="N53" i="59"/>
  <c r="E14" i="3"/>
  <c r="E16" i="3"/>
  <c r="U7" i="37"/>
  <c r="R50" i="34"/>
  <c r="E49" i="34"/>
  <c r="D14" i="59"/>
  <c r="C13" i="59"/>
  <c r="D13" i="59" s="1"/>
  <c r="I42" i="35"/>
  <c r="J42" i="35" s="1"/>
  <c r="E61" i="40"/>
  <c r="E66" i="39"/>
  <c r="E58" i="40"/>
  <c r="E63" i="39"/>
  <c r="F7" i="36"/>
  <c r="E13" i="3"/>
  <c r="D9" i="59"/>
  <c r="C8" i="59"/>
  <c r="E567" i="3"/>
  <c r="E559" i="3"/>
  <c r="E86" i="3"/>
  <c r="E31" i="6"/>
  <c r="K19" i="6"/>
  <c r="K24" i="6"/>
  <c r="M24" i="6" s="1"/>
  <c r="I24" i="6" s="1"/>
  <c r="S24" i="6" s="1"/>
  <c r="K20" i="6"/>
  <c r="M20" i="6" s="1"/>
  <c r="I20" i="6" s="1"/>
  <c r="S20" i="6" s="1"/>
  <c r="K26" i="6"/>
  <c r="M26" i="6" s="1"/>
  <c r="I26" i="6" s="1"/>
  <c r="S26" i="6" s="1"/>
  <c r="K21" i="6"/>
  <c r="M21" i="6" s="1"/>
  <c r="I21" i="6" s="1"/>
  <c r="S21" i="6" s="1"/>
  <c r="K23" i="6"/>
  <c r="M23" i="6" s="1"/>
  <c r="I23" i="6" s="1"/>
  <c r="S23" i="6" s="1"/>
  <c r="K25" i="6"/>
  <c r="M25" i="6" s="1"/>
  <c r="I25" i="6" s="1"/>
  <c r="S25" i="6" s="1"/>
  <c r="K22" i="6"/>
  <c r="M22" i="6" s="1"/>
  <c r="I22" i="6" s="1"/>
  <c r="S22" i="6" s="1"/>
  <c r="I20" i="69"/>
  <c r="I23" i="69" s="1"/>
  <c r="J7" i="37"/>
  <c r="I52" i="21"/>
  <c r="J52" i="21" s="1"/>
  <c r="I53" i="21"/>
  <c r="J53" i="21" s="1"/>
  <c r="E16" i="6"/>
  <c r="E62" i="40"/>
  <c r="E67" i="39"/>
  <c r="F33" i="12"/>
  <c r="C34" i="12" s="1"/>
  <c r="D33" i="12" s="1"/>
  <c r="F18" i="11"/>
  <c r="C18" i="11" s="1"/>
  <c r="F24" i="43"/>
  <c r="C26" i="43" s="1"/>
  <c r="D24" i="43" s="1"/>
  <c r="E283" i="3"/>
  <c r="E535" i="3"/>
  <c r="E443" i="3"/>
  <c r="E265" i="3"/>
  <c r="E194" i="3"/>
  <c r="AM6" i="3"/>
  <c r="E78" i="3"/>
  <c r="E337" i="3"/>
  <c r="E390" i="3"/>
  <c r="E158" i="3"/>
  <c r="E296"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69" i="3"/>
  <c r="E118" i="3"/>
  <c r="E226" i="3"/>
  <c r="E378" i="3"/>
  <c r="E163" i="3"/>
  <c r="E364" i="3"/>
  <c r="E351" i="3"/>
  <c r="E561" i="3"/>
  <c r="E23" i="3"/>
  <c r="E156" i="3"/>
  <c r="E381" i="3"/>
  <c r="E49" i="3"/>
  <c r="E427" i="3"/>
  <c r="E193" i="3"/>
  <c r="E278" i="3"/>
  <c r="E104" i="3"/>
  <c r="E94" i="3"/>
  <c r="E472" i="3"/>
  <c r="E187" i="3"/>
  <c r="E253" i="3"/>
  <c r="E225" i="3"/>
  <c r="E537" i="3"/>
  <c r="E199" i="3"/>
  <c r="E54" i="3"/>
  <c r="E423" i="3"/>
  <c r="E452" i="3"/>
  <c r="E435" i="3"/>
  <c r="E213" i="3"/>
  <c r="E490" i="3"/>
  <c r="E536" i="3"/>
  <c r="E218" i="3"/>
  <c r="E397" i="3"/>
  <c r="E442" i="3"/>
  <c r="E462" i="3"/>
  <c r="E110" i="3"/>
  <c r="E47" i="3"/>
  <c r="E63" i="3"/>
  <c r="E545" i="3"/>
  <c r="E174" i="3"/>
  <c r="E184" i="3"/>
  <c r="E250" i="3"/>
  <c r="E280" i="3"/>
  <c r="E270" i="3"/>
  <c r="E157" i="3"/>
  <c r="E161" i="3"/>
  <c r="E131" i="3"/>
  <c r="E304" i="3"/>
  <c r="E165" i="3"/>
  <c r="E404" i="3"/>
  <c r="E30" i="3"/>
  <c r="E441" i="3"/>
  <c r="E367" i="3"/>
  <c r="E415" i="3"/>
  <c r="E80" i="3"/>
  <c r="E28" i="3"/>
  <c r="E141" i="3"/>
  <c r="E129" i="3"/>
  <c r="AS6" i="3"/>
  <c r="E422" i="3"/>
  <c r="E383" i="3"/>
  <c r="E289" i="3"/>
  <c r="E533" i="3"/>
  <c r="E568" i="3"/>
  <c r="E425" i="3"/>
  <c r="E303" i="3"/>
  <c r="E245" i="3"/>
  <c r="E166" i="3"/>
  <c r="E467" i="3"/>
  <c r="E451" i="3"/>
  <c r="E204" i="3"/>
  <c r="E214" i="3"/>
  <c r="E305" i="3"/>
  <c r="E449" i="3"/>
  <c r="E543" i="3"/>
  <c r="E126" i="3"/>
  <c r="E259" i="3"/>
  <c r="E369" i="3"/>
  <c r="Y6" i="3"/>
  <c r="E416" i="3"/>
  <c r="E105" i="3"/>
  <c r="E51" i="3"/>
  <c r="E160" i="3"/>
  <c r="E281" i="3"/>
  <c r="E133" i="3"/>
  <c r="E302" i="3"/>
  <c r="AF6" i="3"/>
  <c r="E458" i="3"/>
  <c r="E287" i="3"/>
  <c r="E256" i="3"/>
  <c r="E306" i="3"/>
  <c r="E324" i="3"/>
  <c r="E319" i="3"/>
  <c r="E325" i="3"/>
  <c r="E569" i="3"/>
  <c r="E216" i="3"/>
  <c r="E546" i="3"/>
  <c r="E95" i="3"/>
  <c r="E373" i="3"/>
  <c r="E251" i="3"/>
  <c r="E298" i="3"/>
  <c r="T6" i="3"/>
  <c r="E122" i="3"/>
  <c r="E315" i="3"/>
  <c r="E219" i="3"/>
  <c r="E485" i="3"/>
  <c r="E159" i="3"/>
  <c r="E571" i="3"/>
  <c r="E518" i="3"/>
  <c r="E167" i="3"/>
  <c r="E566" i="3"/>
  <c r="E515" i="3"/>
  <c r="E553" i="3"/>
  <c r="E494" i="3"/>
  <c r="E273" i="3"/>
  <c r="E542" i="3"/>
  <c r="E563" i="3"/>
  <c r="E254" i="3"/>
  <c r="E112" i="3"/>
  <c r="E341" i="3"/>
  <c r="E268" i="3"/>
  <c r="E316" i="3"/>
  <c r="E175" i="3"/>
  <c r="E318" i="3"/>
  <c r="E565" i="3"/>
  <c r="E380" i="3"/>
  <c r="E503" i="3"/>
  <c r="AO6" i="3"/>
  <c r="E475" i="3"/>
  <c r="E421" i="3"/>
  <c r="E206" i="3"/>
  <c r="E132" i="3"/>
  <c r="E333" i="3"/>
  <c r="E91" i="3"/>
  <c r="E115" i="3"/>
  <c r="E359" i="3"/>
  <c r="E195" i="3"/>
  <c r="E391" i="3"/>
  <c r="E321" i="3"/>
  <c r="E127" i="3"/>
  <c r="E311" i="3"/>
  <c r="E263" i="3"/>
  <c r="E424" i="3"/>
  <c r="E430" i="3"/>
  <c r="E146" i="3"/>
  <c r="E77" i="3"/>
  <c r="E434" i="3"/>
  <c r="E552" i="3"/>
  <c r="E57" i="3"/>
  <c r="E297" i="3"/>
  <c r="E471" i="3"/>
  <c r="E408" i="3"/>
  <c r="E238" i="3"/>
  <c r="E44" i="3"/>
  <c r="E492" i="3"/>
  <c r="E295" i="3"/>
  <c r="E201" i="3"/>
  <c r="E170" i="3"/>
  <c r="E274" i="3"/>
  <c r="E32" i="3"/>
  <c r="E447" i="3"/>
  <c r="E33" i="3"/>
  <c r="Q6" i="3"/>
  <c r="E119" i="3"/>
  <c r="E168" i="3"/>
  <c r="E48" i="3"/>
  <c r="E473" i="3"/>
  <c r="E407" i="3"/>
  <c r="E455" i="3"/>
  <c r="E232" i="3"/>
  <c r="E136" i="3"/>
  <c r="E79" i="3"/>
  <c r="E507" i="3"/>
  <c r="E332" i="3"/>
  <c r="E272" i="3"/>
  <c r="L6" i="3"/>
  <c r="E445" i="3"/>
  <c r="E25" i="3"/>
  <c r="E116" i="3"/>
  <c r="E291" i="3"/>
  <c r="E479" i="3"/>
  <c r="E465" i="3"/>
  <c r="E365" i="3"/>
  <c r="E276" i="3"/>
  <c r="E243" i="3"/>
  <c r="E336" i="3"/>
  <c r="E526" i="3"/>
  <c r="E448" i="3"/>
  <c r="E65" i="3"/>
  <c r="E540" i="3"/>
  <c r="E121" i="3"/>
  <c r="E345" i="3"/>
  <c r="AI6" i="3"/>
  <c r="E123" i="3"/>
  <c r="E234" i="3"/>
  <c r="E76" i="3"/>
  <c r="E362" i="3"/>
  <c r="E176" i="3"/>
  <c r="E271" i="3"/>
  <c r="E314" i="3"/>
  <c r="E525" i="3"/>
  <c r="E493" i="3"/>
  <c r="E489" i="3"/>
  <c r="E353" i="3"/>
  <c r="E81" i="3"/>
  <c r="E183" i="3"/>
  <c r="E236" i="3"/>
  <c r="E524" i="3"/>
  <c r="E45" i="3"/>
  <c r="E171" i="3"/>
  <c r="E212" i="3"/>
  <c r="E42" i="3"/>
  <c r="E531" i="3"/>
  <c r="E182" i="3"/>
  <c r="E269" i="3"/>
  <c r="E344" i="3"/>
  <c r="E312" i="3"/>
  <c r="E562" i="3"/>
  <c r="E342" i="3"/>
  <c r="AL6" i="3"/>
  <c r="E522" i="3"/>
  <c r="E368" i="3"/>
  <c r="E572" i="3"/>
  <c r="E510" i="3"/>
  <c r="E516" i="3"/>
  <c r="E504" i="3"/>
  <c r="E227" i="3"/>
  <c r="E406" i="3"/>
  <c r="E488" i="3"/>
  <c r="E244" i="3"/>
  <c r="E71" i="3"/>
  <c r="E137" i="3"/>
  <c r="E240" i="3"/>
  <c r="E301" i="3"/>
  <c r="E382" i="3"/>
  <c r="E484" i="3"/>
  <c r="E326" i="3"/>
  <c r="E356" i="3"/>
  <c r="E476" i="3"/>
  <c r="E192" i="3"/>
  <c r="E114" i="3"/>
  <c r="E348" i="3"/>
  <c r="E93" i="3"/>
  <c r="E394" i="3"/>
  <c r="E55" i="3"/>
  <c r="E282" i="3"/>
  <c r="E570" i="3"/>
  <c r="E375" i="3"/>
  <c r="E409" i="3"/>
  <c r="E124" i="3"/>
  <c r="E266" i="3"/>
  <c r="E215" i="3"/>
  <c r="I6" i="3"/>
  <c r="E200" i="3"/>
  <c r="E62" i="3"/>
  <c r="E389" i="3"/>
  <c r="E230" i="3"/>
  <c r="E143" i="3"/>
  <c r="E411" i="3"/>
  <c r="AN6" i="3"/>
  <c r="E59" i="3"/>
  <c r="E464" i="3"/>
  <c r="E209" i="3"/>
  <c r="E36" i="3"/>
  <c r="E237" i="3"/>
  <c r="E374" i="3"/>
  <c r="E223" i="3"/>
  <c r="E205" i="3"/>
  <c r="E399" i="3"/>
  <c r="E478" i="3"/>
  <c r="E317" i="3"/>
  <c r="E357" i="3"/>
  <c r="E179" i="3"/>
  <c r="E500" i="3"/>
  <c r="E444" i="3"/>
  <c r="AE6" i="3"/>
  <c r="E398" i="3"/>
  <c r="E247" i="3"/>
  <c r="E113" i="3"/>
  <c r="E37" i="3"/>
  <c r="E539" i="3"/>
  <c r="E257" i="3"/>
  <c r="E52" i="3"/>
  <c r="O6" i="3"/>
  <c r="E67" i="3"/>
  <c r="U6" i="3"/>
  <c r="E207" i="3"/>
  <c r="E73" i="3"/>
  <c r="E196" i="3"/>
  <c r="E264" i="3"/>
  <c r="E211" i="3"/>
  <c r="E308" i="3"/>
  <c r="V6" i="3"/>
  <c r="E466" i="3"/>
  <c r="E96" i="3"/>
  <c r="AG6" i="3"/>
  <c r="E198" i="3"/>
  <c r="E242" i="3"/>
  <c r="E419" i="3"/>
  <c r="E290" i="3"/>
  <c r="E87" i="3"/>
  <c r="E386" i="3"/>
  <c r="E40" i="3"/>
  <c r="E29" i="3"/>
  <c r="E188" i="3"/>
  <c r="E228" i="3"/>
  <c r="E491" i="3"/>
  <c r="E180" i="3"/>
  <c r="E334" i="3"/>
  <c r="E456" i="3"/>
  <c r="E246" i="3"/>
  <c r="E396" i="3"/>
  <c r="AJ6" i="3"/>
  <c r="E385" i="3"/>
  <c r="E392" i="3"/>
  <c r="E15" i="3"/>
  <c r="E498" i="3"/>
  <c r="E360" i="3"/>
  <c r="E56" i="3"/>
  <c r="E361" i="3"/>
  <c r="E144" i="3"/>
  <c r="E208" i="3"/>
  <c r="E323" i="3"/>
  <c r="E506" i="3"/>
  <c r="E483" i="3"/>
  <c r="E366" i="3"/>
  <c r="E532" i="3"/>
  <c r="E330" i="3"/>
  <c r="E340" i="3"/>
  <c r="E350" i="3"/>
  <c r="E521" i="3"/>
  <c r="E496" i="3"/>
  <c r="E130" i="3"/>
  <c r="E352" i="3"/>
  <c r="E461" i="3"/>
  <c r="E138" i="3"/>
  <c r="E328" i="3"/>
  <c r="E155" i="3"/>
  <c r="E252" i="3"/>
  <c r="E346" i="3"/>
  <c r="E544" i="3"/>
  <c r="E541" i="3"/>
  <c r="E523" i="3"/>
  <c r="E557" i="3"/>
  <c r="E413" i="3"/>
  <c r="M6" i="3"/>
  <c r="E241" i="3"/>
  <c r="E69" i="3"/>
  <c r="E446" i="3"/>
  <c r="E152" i="3"/>
  <c r="E437" i="3"/>
  <c r="E46" i="3"/>
  <c r="E221" i="3"/>
  <c r="E457" i="3"/>
  <c r="E31" i="3"/>
  <c r="X6" i="3"/>
  <c r="AA6" i="3"/>
  <c r="AD6" i="3"/>
  <c r="AC6" i="3" s="1"/>
  <c r="E222" i="3"/>
  <c r="E388" i="3"/>
  <c r="E82" i="3"/>
  <c r="E164" i="3"/>
  <c r="E99" i="3"/>
  <c r="E262" i="3"/>
  <c r="E101" i="3"/>
  <c r="E41" i="3"/>
  <c r="E202" i="3"/>
  <c r="E426" i="3"/>
  <c r="J6" i="3"/>
  <c r="N6" i="3"/>
  <c r="E85" i="3"/>
  <c r="E139" i="3"/>
  <c r="E258" i="3"/>
  <c r="E154" i="3"/>
  <c r="AR6" i="3"/>
  <c r="E134" i="3"/>
  <c r="E66" i="3"/>
  <c r="E150" i="3"/>
  <c r="K6" i="3"/>
  <c r="E277" i="3"/>
  <c r="E284" i="3"/>
  <c r="E495" i="3"/>
  <c r="E514" i="3"/>
  <c r="E371" i="3"/>
  <c r="E329" i="3"/>
  <c r="E322" i="3"/>
  <c r="E564" i="3"/>
  <c r="E22" i="3"/>
  <c r="E231" i="3"/>
  <c r="E186" i="3"/>
  <c r="E520" i="3"/>
  <c r="E418" i="3"/>
  <c r="E149" i="3"/>
  <c r="I3" i="6"/>
  <c r="E60" i="3"/>
  <c r="E482" i="3"/>
  <c r="E550" i="3"/>
  <c r="E401" i="3"/>
  <c r="E102" i="3"/>
  <c r="E372" i="3"/>
  <c r="E248" i="3"/>
  <c r="E477" i="3"/>
  <c r="E224" i="3"/>
  <c r="E331" i="3"/>
  <c r="E554" i="3"/>
  <c r="E108" i="3"/>
  <c r="E320" i="3"/>
  <c r="E354" i="3"/>
  <c r="E267" i="3"/>
  <c r="E501" i="3"/>
  <c r="E310" i="3"/>
  <c r="AB6" i="3"/>
  <c r="E511" i="3"/>
  <c r="E358" i="3"/>
  <c r="E68" i="3"/>
  <c r="E439" i="3"/>
  <c r="E528" i="3"/>
  <c r="AK6" i="3"/>
  <c r="E395" i="3"/>
  <c r="E92" i="3"/>
  <c r="E249" i="3"/>
  <c r="E463" i="3"/>
  <c r="E75" i="3"/>
  <c r="E34" i="3"/>
  <c r="E363" i="3"/>
  <c r="E275" i="3"/>
  <c r="E429" i="3"/>
  <c r="E370" i="3"/>
  <c r="E74" i="3"/>
  <c r="E72" i="3"/>
  <c r="E128" i="3"/>
  <c r="E508" i="3"/>
  <c r="E474" i="3"/>
  <c r="E35" i="3"/>
  <c r="E338" i="3"/>
  <c r="E512" i="3"/>
  <c r="E26" i="3"/>
  <c r="E17" i="3"/>
  <c r="E509" i="3"/>
  <c r="E135" i="3"/>
  <c r="E459" i="3"/>
  <c r="E470" i="3"/>
  <c r="E299" i="3"/>
  <c r="Z6" i="3"/>
  <c r="E414" i="3"/>
  <c r="E549" i="3"/>
  <c r="E292" i="3"/>
  <c r="E178" i="3"/>
  <c r="E438" i="3"/>
  <c r="E189" i="3"/>
  <c r="E556" i="3"/>
  <c r="E43" i="3"/>
  <c r="E309" i="3"/>
  <c r="E513" i="3"/>
  <c r="E239" i="3"/>
  <c r="E24" i="3"/>
  <c r="E502" i="3"/>
  <c r="E50" i="3"/>
  <c r="E19" i="3"/>
  <c r="E181" i="3"/>
  <c r="E335" i="3"/>
  <c r="E384" i="3"/>
  <c r="E487" i="3"/>
  <c r="S6" i="3"/>
  <c r="E377" i="3"/>
  <c r="E147" i="3"/>
  <c r="E117" i="3"/>
  <c r="E349" i="3"/>
  <c r="E327" i="3"/>
  <c r="E454" i="3"/>
  <c r="AY6" i="3"/>
  <c r="E3" i="6"/>
  <c r="E551" i="3"/>
  <c r="E505" i="3"/>
  <c r="E100" i="3"/>
  <c r="D26" i="59"/>
  <c r="C27" i="59"/>
  <c r="B6" i="59"/>
  <c r="B5" i="59" s="1"/>
  <c r="S7" i="59"/>
  <c r="E111" i="3"/>
  <c r="F26" i="44"/>
  <c r="C26" i="44" s="1"/>
  <c r="F21" i="43"/>
  <c r="C23" i="43" s="1"/>
  <c r="D21" i="43" s="1"/>
  <c r="F24" i="15"/>
  <c r="C24" i="15" s="1"/>
  <c r="F26" i="12"/>
  <c r="C27" i="12" s="1"/>
  <c r="D26" i="12" s="1"/>
  <c r="C32" i="12" s="1"/>
  <c r="D30" i="12" s="1"/>
  <c r="S7" i="37"/>
  <c r="AA7" i="37"/>
  <c r="R42" i="37" s="1"/>
  <c r="J7" i="44"/>
  <c r="J20" i="44"/>
  <c r="R39" i="35"/>
  <c r="E38" i="35"/>
  <c r="AA7" i="33"/>
  <c r="R48" i="33" s="1"/>
  <c r="S7" i="33"/>
  <c r="F12" i="39"/>
  <c r="H12" i="39"/>
  <c r="H12" i="40"/>
  <c r="J12" i="40"/>
  <c r="F12" i="40"/>
  <c r="J12" i="39"/>
  <c r="O53" i="59"/>
  <c r="D53" i="59"/>
  <c r="O52" i="59"/>
  <c r="AC7" i="33"/>
  <c r="V48" i="33" s="1"/>
  <c r="I48" i="33" s="1"/>
  <c r="G53" i="33" s="1"/>
  <c r="H53" i="33" s="1"/>
  <c r="W7" i="33"/>
  <c r="G52" i="33"/>
  <c r="H52" i="33" s="1"/>
  <c r="E450" i="3"/>
  <c r="E18" i="3"/>
  <c r="J7" i="36"/>
  <c r="C19" i="11"/>
  <c r="L52" i="44"/>
  <c r="B4" i="70" l="1"/>
  <c r="B2" i="70" s="1"/>
  <c r="B4" i="72"/>
  <c r="B2" i="72" s="1"/>
  <c r="B4" i="69"/>
  <c r="B2" i="69" s="1"/>
  <c r="G72" i="39"/>
  <c r="H70" i="39"/>
  <c r="F67" i="40"/>
  <c r="G65" i="40"/>
  <c r="Q69" i="44"/>
  <c r="L58" i="44"/>
  <c r="L61" i="44" s="1"/>
  <c r="B5" i="70"/>
  <c r="S12" i="39"/>
  <c r="AA12" i="39"/>
  <c r="E42" i="35"/>
  <c r="F42" i="35" s="1"/>
  <c r="E43" i="35"/>
  <c r="F43" i="35" s="1"/>
  <c r="R43" i="37"/>
  <c r="E42" i="37"/>
  <c r="S6" i="1"/>
  <c r="M19" i="6"/>
  <c r="K27" i="6"/>
  <c r="S7" i="36"/>
  <c r="AA7" i="36"/>
  <c r="R36" i="36" s="1"/>
  <c r="E53" i="34"/>
  <c r="F53" i="34" s="1"/>
  <c r="E54" i="34"/>
  <c r="F54" i="34" s="1"/>
  <c r="C13" i="43"/>
  <c r="L16" i="1"/>
  <c r="N16" i="1"/>
  <c r="C29" i="43" s="1"/>
  <c r="C38" i="15"/>
  <c r="C49" i="21"/>
  <c r="B3" i="21" s="1"/>
  <c r="B2" i="21" s="1"/>
  <c r="C48" i="21"/>
  <c r="C20" i="11"/>
  <c r="C21" i="11" s="1"/>
  <c r="C22" i="11" s="1"/>
  <c r="C23" i="11" s="1"/>
  <c r="B2" i="11" s="1"/>
  <c r="S12" i="40"/>
  <c r="AA12" i="40"/>
  <c r="AC7" i="36"/>
  <c r="V36" i="36" s="1"/>
  <c r="I36" i="36" s="1"/>
  <c r="W7" i="36"/>
  <c r="AC12" i="40"/>
  <c r="W12" i="40"/>
  <c r="H6" i="3"/>
  <c r="E6" i="3" s="1"/>
  <c r="C7" i="59"/>
  <c r="D8" i="59"/>
  <c r="I43" i="35"/>
  <c r="J43" i="35" s="1"/>
  <c r="C50" i="34"/>
  <c r="B3" i="34" s="1"/>
  <c r="B2" i="34" s="1"/>
  <c r="C49" i="34"/>
  <c r="I38" i="68"/>
  <c r="I41" i="68"/>
  <c r="B3" i="68" s="1"/>
  <c r="U7" i="36"/>
  <c r="AB7" i="36"/>
  <c r="T36" i="36" s="1"/>
  <c r="G36" i="36" s="1"/>
  <c r="W7" i="37"/>
  <c r="AC7" i="37"/>
  <c r="V42" i="37" s="1"/>
  <c r="I42" i="37" s="1"/>
  <c r="G47" i="37" s="1"/>
  <c r="H47" i="37" s="1"/>
  <c r="G46" i="37"/>
  <c r="H46" i="37" s="1"/>
  <c r="P13" i="1"/>
  <c r="P16" i="1" s="1"/>
  <c r="C13" i="12" s="1"/>
  <c r="E16" i="66"/>
  <c r="J16" i="66"/>
  <c r="C39" i="35"/>
  <c r="B3" i="35" s="1"/>
  <c r="B2" i="35" s="1"/>
  <c r="C38" i="35"/>
  <c r="T27" i="59"/>
  <c r="D27" i="59"/>
  <c r="U12" i="40"/>
  <c r="AB12" i="40"/>
  <c r="E48" i="33"/>
  <c r="I53" i="33" s="1"/>
  <c r="J53" i="33" s="1"/>
  <c r="R49" i="33"/>
  <c r="E24" i="68"/>
  <c r="G24" i="68" s="1"/>
  <c r="E18" i="68"/>
  <c r="G18" i="68" s="1"/>
  <c r="E23" i="68"/>
  <c r="G23" i="68" s="1"/>
  <c r="D16" i="43"/>
  <c r="C16" i="43" s="1"/>
  <c r="D16" i="12"/>
  <c r="L38" i="9"/>
  <c r="B1" i="66" s="1"/>
  <c r="D44" i="9"/>
  <c r="D10" i="11"/>
  <c r="E6" i="6"/>
  <c r="C21" i="4"/>
  <c r="O5" i="54" s="1"/>
  <c r="B45" i="63" s="1"/>
  <c r="D45" i="9"/>
  <c r="D46" i="9"/>
  <c r="I52" i="33"/>
  <c r="J52" i="33" s="1"/>
  <c r="AC12" i="39"/>
  <c r="W12" i="39"/>
  <c r="U12" i="39"/>
  <c r="AB12" i="39"/>
  <c r="J26" i="44"/>
  <c r="J28" i="44"/>
  <c r="J31" i="44" s="1"/>
  <c r="D3" i="6"/>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486" i="3"/>
  <c r="AY67" i="3"/>
  <c r="AY159" i="3"/>
  <c r="AY105" i="3"/>
  <c r="AY47" i="3"/>
  <c r="AY31" i="3"/>
  <c r="AY234" i="3"/>
  <c r="AY317" i="3"/>
  <c r="AY402" i="3"/>
  <c r="AY181" i="3"/>
  <c r="AY343" i="3"/>
  <c r="AY65" i="3"/>
  <c r="AY265" i="3"/>
  <c r="AY350" i="3"/>
  <c r="AY50" i="3"/>
  <c r="AY346" i="3"/>
  <c r="AY161" i="3"/>
  <c r="AY101" i="3"/>
  <c r="AY305" i="3"/>
  <c r="AY429" i="3"/>
  <c r="AY43" i="3"/>
  <c r="AY501" i="3"/>
  <c r="AY481" i="3"/>
  <c r="AY204" i="3"/>
  <c r="AY216" i="3"/>
  <c r="AY28" i="3"/>
  <c r="AY311" i="3"/>
  <c r="AY257" i="3"/>
  <c r="AY254" i="3"/>
  <c r="AY359" i="3"/>
  <c r="AY437" i="3"/>
  <c r="AY493" i="3"/>
  <c r="AY273" i="3"/>
  <c r="AY64" i="3"/>
  <c r="AY158" i="3"/>
  <c r="AY443" i="3"/>
  <c r="AY219" i="3"/>
  <c r="AY148" i="3"/>
  <c r="BA6" i="3"/>
  <c r="AY446" i="3"/>
  <c r="AY211" i="3"/>
  <c r="AY221" i="3"/>
  <c r="AY32" i="3"/>
  <c r="AY500" i="3"/>
  <c r="AY458" i="3"/>
  <c r="AY489" i="3"/>
  <c r="AY242" i="3"/>
  <c r="AY287" i="3"/>
  <c r="AY385" i="3"/>
  <c r="AY15" i="3"/>
  <c r="AY220" i="3"/>
  <c r="AY497" i="3"/>
  <c r="AY404" i="3"/>
  <c r="AY567" i="3"/>
  <c r="AY534" i="3"/>
  <c r="AY478" i="3"/>
  <c r="AY434" i="3"/>
  <c r="AY93" i="3"/>
  <c r="AY334" i="3"/>
  <c r="AY270" i="3"/>
  <c r="AY571" i="3"/>
  <c r="AY554" i="3"/>
  <c r="AY532" i="3"/>
  <c r="AY212" i="3"/>
  <c r="AY251" i="3"/>
  <c r="AY353" i="3"/>
  <c r="AY284" i="3"/>
  <c r="AY419" i="3"/>
  <c r="AY426" i="3"/>
  <c r="AY301" i="3"/>
  <c r="AY255" i="3"/>
  <c r="AY180" i="3"/>
  <c r="AY482" i="3"/>
  <c r="AY121" i="3"/>
  <c r="AY82" i="3"/>
  <c r="AY41" i="3"/>
  <c r="AY128" i="3"/>
  <c r="AY504" i="3"/>
  <c r="AY182" i="3"/>
  <c r="AY175" i="3"/>
  <c r="AY264" i="3"/>
  <c r="AY467" i="3"/>
  <c r="AY479" i="3"/>
  <c r="AY139" i="3"/>
  <c r="AY364" i="3"/>
  <c r="AY70" i="3"/>
  <c r="AY238" i="3"/>
  <c r="BK6" i="3"/>
  <c r="AY115" i="3"/>
  <c r="AY435" i="3"/>
  <c r="AY230" i="3"/>
  <c r="AY132" i="3"/>
  <c r="AY420" i="3"/>
  <c r="AY188" i="3"/>
  <c r="AY157" i="3"/>
  <c r="AY528" i="3"/>
  <c r="AY516" i="3"/>
  <c r="AY36" i="3"/>
  <c r="AY333" i="3"/>
  <c r="AY117" i="3"/>
  <c r="AY123" i="3"/>
  <c r="AY337" i="3"/>
  <c r="AY341" i="3"/>
  <c r="AY76" i="3"/>
  <c r="AY465" i="3"/>
  <c r="AY86" i="3"/>
  <c r="AY428" i="3"/>
  <c r="AY42" i="3"/>
  <c r="AY218" i="3"/>
  <c r="AY392" i="3"/>
  <c r="AY356" i="3"/>
  <c r="AY288" i="3"/>
  <c r="AY147" i="3"/>
  <c r="AY162" i="3"/>
  <c r="AY562" i="3"/>
  <c r="AY303" i="3"/>
  <c r="AY498" i="3"/>
  <c r="AY552" i="3"/>
  <c r="AY527" i="3"/>
  <c r="AY519" i="3"/>
  <c r="AY325" i="3"/>
  <c r="BF6" i="3"/>
  <c r="AY390" i="3"/>
  <c r="AY484" i="3"/>
  <c r="AY17" i="3"/>
  <c r="AY68" i="3"/>
  <c r="AY133" i="3"/>
  <c r="AY276" i="3"/>
  <c r="AY113" i="3"/>
  <c r="AY387" i="3"/>
  <c r="AY56" i="3"/>
  <c r="AY313" i="3"/>
  <c r="AY421" i="3"/>
  <c r="AY205" i="3"/>
  <c r="BM6" i="3"/>
  <c r="AY423" i="3"/>
  <c r="AY18" i="3"/>
  <c r="AY488" i="3"/>
  <c r="AY451" i="3"/>
  <c r="AY460" i="3"/>
  <c r="AY444" i="3"/>
  <c r="AY261" i="3"/>
  <c r="AY196" i="3"/>
  <c r="AY570" i="3"/>
  <c r="AY439" i="3"/>
  <c r="AY474" i="3"/>
  <c r="BE6" i="3"/>
  <c r="AY452" i="3"/>
  <c r="AY37" i="3"/>
  <c r="AY95" i="3"/>
  <c r="AY83" i="3"/>
  <c r="AY277" i="3"/>
  <c r="AY384" i="3"/>
  <c r="AY202" i="3"/>
  <c r="AY398" i="3"/>
  <c r="AY348" i="3"/>
  <c r="AY30" i="3"/>
  <c r="AY382" i="3"/>
  <c r="AY143" i="3"/>
  <c r="AY236" i="3"/>
  <c r="AY52" i="3"/>
  <c r="AY408" i="3"/>
  <c r="AY183" i="3"/>
  <c r="AY197" i="3"/>
  <c r="BH6" i="3"/>
  <c r="AY526" i="3"/>
  <c r="AY309" i="3"/>
  <c r="AY44" i="3"/>
  <c r="AY561" i="3"/>
  <c r="AY406" i="3"/>
  <c r="AY407" i="3"/>
  <c r="AY461" i="3"/>
  <c r="AY66" i="3"/>
  <c r="AY222" i="3"/>
  <c r="AY505" i="3"/>
  <c r="AY357" i="3"/>
  <c r="AY436" i="3"/>
  <c r="AY410" i="3"/>
  <c r="AY125" i="3"/>
  <c r="AY252" i="3"/>
  <c r="AY228" i="3"/>
  <c r="AY568" i="3"/>
  <c r="AY54" i="3"/>
  <c r="AY134" i="3"/>
  <c r="AY165" i="3"/>
  <c r="AY521" i="3"/>
  <c r="AY441" i="3"/>
  <c r="AY80" i="3"/>
  <c r="AY58" i="3"/>
  <c r="AY179" i="3"/>
  <c r="AY100" i="3"/>
  <c r="AY126" i="3"/>
  <c r="AY118" i="3"/>
  <c r="AY209" i="3"/>
  <c r="AY416" i="3"/>
  <c r="AY55" i="3"/>
  <c r="AY250" i="3"/>
  <c r="AY560" i="3"/>
  <c r="AY141" i="3"/>
  <c r="AY310" i="3"/>
  <c r="AY459" i="3"/>
  <c r="AY226" i="3"/>
  <c r="AY400" i="3"/>
  <c r="AY340" i="3"/>
  <c r="AY272" i="3"/>
  <c r="AY405" i="3"/>
  <c r="AY442" i="3"/>
  <c r="AY572" i="3"/>
  <c r="AY99" i="3"/>
  <c r="AY103" i="3"/>
  <c r="AY150" i="3"/>
  <c r="AY432" i="3"/>
  <c r="AY280" i="3"/>
  <c r="AY172" i="3"/>
  <c r="BS6" i="3"/>
  <c r="AY394" i="3"/>
  <c r="AY282" i="3"/>
  <c r="AY544" i="3"/>
  <c r="AY24" i="3"/>
  <c r="AY494" i="3"/>
  <c r="AY515" i="3"/>
  <c r="AY290" i="3"/>
  <c r="AY46" i="3"/>
  <c r="AY569" i="3"/>
  <c r="AY371" i="3"/>
  <c r="AY283" i="3"/>
  <c r="AY380" i="3"/>
  <c r="AY396" i="3"/>
  <c r="AY245" i="3"/>
  <c r="AY239" i="3"/>
  <c r="AY107" i="3"/>
  <c r="AY152" i="3"/>
  <c r="AY546" i="3"/>
  <c r="AY417" i="3"/>
  <c r="AY163" i="3"/>
  <c r="AY492" i="3"/>
  <c r="AY355" i="3"/>
  <c r="BR6" i="3"/>
  <c r="AY285" i="3"/>
  <c r="AY327" i="3"/>
  <c r="AY538" i="3"/>
  <c r="AY557" i="3"/>
  <c r="AY418" i="3"/>
  <c r="AY289" i="3"/>
  <c r="AY130" i="3"/>
  <c r="AY331" i="3"/>
  <c r="AY487" i="3"/>
  <c r="AY509" i="3"/>
  <c r="AY539" i="3"/>
  <c r="AY564" i="3"/>
  <c r="BB6" i="3"/>
  <c r="AY296" i="3"/>
  <c r="AY338" i="3"/>
  <c r="AY79" i="3"/>
  <c r="AY243" i="3"/>
  <c r="AY373" i="3"/>
  <c r="AY167" i="3"/>
  <c r="AY496" i="3"/>
  <c r="AY354" i="3"/>
  <c r="AY292" i="3"/>
  <c r="AY491" i="3"/>
  <c r="AY203" i="3"/>
  <c r="AY45" i="3"/>
  <c r="AY425" i="3"/>
  <c r="AY286" i="3"/>
  <c r="AY169" i="3"/>
  <c r="AY72" i="3"/>
  <c r="AY241" i="3"/>
  <c r="AY542" i="3"/>
  <c r="AY555" i="3"/>
  <c r="AY308" i="3"/>
  <c r="AY246" i="3"/>
  <c r="AY374" i="3"/>
  <c r="AY25" i="3"/>
  <c r="AY321" i="3"/>
  <c r="AY431" i="3"/>
  <c r="AY34" i="3"/>
  <c r="AY176" i="3"/>
  <c r="AY318" i="3"/>
  <c r="AY22" i="3"/>
  <c r="AY127" i="3"/>
  <c r="AY140" i="3"/>
  <c r="AY186" i="3"/>
  <c r="AY540" i="3"/>
  <c r="AY563" i="3"/>
  <c r="AY84" i="3"/>
  <c r="AY192" i="3"/>
  <c r="AY512" i="3"/>
  <c r="AY362" i="3"/>
  <c r="AY260" i="3"/>
  <c r="AY566" i="3"/>
  <c r="AY312" i="3"/>
  <c r="BG6" i="3"/>
  <c r="AY466" i="3"/>
  <c r="AY477" i="3"/>
  <c r="AY508" i="3"/>
  <c r="I54" i="34"/>
  <c r="J54" i="34" s="1"/>
  <c r="I53" i="34"/>
  <c r="J53" i="34" s="1"/>
  <c r="G54" i="34"/>
  <c r="H54" i="34" s="1"/>
  <c r="G53" i="34"/>
  <c r="H53" i="34" s="1"/>
  <c r="C65" i="15"/>
  <c r="C59" i="15"/>
  <c r="E53" i="21"/>
  <c r="F53" i="21" s="1"/>
  <c r="E52" i="21"/>
  <c r="F52" i="21" s="1"/>
  <c r="D21" i="9"/>
  <c r="C21" i="9"/>
  <c r="D19" i="9"/>
  <c r="C19" i="9"/>
  <c r="B5" i="69" l="1"/>
  <c r="B5" i="72"/>
  <c r="G21" i="9"/>
  <c r="H65" i="40"/>
  <c r="G67" i="40"/>
  <c r="H72" i="39"/>
  <c r="I70" i="39"/>
  <c r="G19" i="9"/>
  <c r="L43" i="9"/>
  <c r="D22" i="9"/>
  <c r="L44" i="9"/>
  <c r="B4" i="11"/>
  <c r="B3" i="11"/>
  <c r="B5" i="11"/>
  <c r="G31" i="72"/>
  <c r="E27" i="70"/>
  <c r="G31" i="70"/>
  <c r="E11" i="71"/>
  <c r="E11" i="68"/>
  <c r="G11" i="68" s="1"/>
  <c r="E11" i="72"/>
  <c r="H17" i="72"/>
  <c r="E27" i="71"/>
  <c r="G31" i="71"/>
  <c r="H19" i="70"/>
  <c r="H16" i="68"/>
  <c r="H24" i="72"/>
  <c r="H24" i="71"/>
  <c r="E28" i="71"/>
  <c r="G28" i="71" s="1"/>
  <c r="H28" i="71" s="1"/>
  <c r="E11" i="70"/>
  <c r="H17" i="70"/>
  <c r="G34" i="68"/>
  <c r="E28" i="70"/>
  <c r="G28" i="70" s="1"/>
  <c r="H28" i="70" s="1"/>
  <c r="E12" i="68"/>
  <c r="G12" i="68" s="1"/>
  <c r="H12" i="68" s="1"/>
  <c r="H21" i="72"/>
  <c r="H22" i="71"/>
  <c r="H24" i="70"/>
  <c r="H20" i="68"/>
  <c r="H19" i="72"/>
  <c r="E28" i="72"/>
  <c r="G28" i="72" s="1"/>
  <c r="H28" i="72" s="1"/>
  <c r="H16" i="71"/>
  <c r="H21" i="70"/>
  <c r="H21" i="68"/>
  <c r="H28" i="68"/>
  <c r="H13" i="71"/>
  <c r="D19" i="6"/>
  <c r="D25" i="6"/>
  <c r="H24" i="6"/>
  <c r="D28" i="6"/>
  <c r="K38" i="9"/>
  <c r="B2" i="66" s="1"/>
  <c r="D26" i="6"/>
  <c r="D11" i="6"/>
  <c r="D9" i="6"/>
  <c r="D15" i="6"/>
  <c r="C22" i="4"/>
  <c r="H21" i="6"/>
  <c r="D20" i="6"/>
  <c r="F44" i="9"/>
  <c r="D24" i="6"/>
  <c r="R24" i="6" s="1"/>
  <c r="D12" i="6"/>
  <c r="D29" i="6"/>
  <c r="E46" i="9"/>
  <c r="E63" i="40"/>
  <c r="D22" i="6"/>
  <c r="D5" i="6"/>
  <c r="D21" i="6"/>
  <c r="R21" i="6" s="1"/>
  <c r="D6" i="6"/>
  <c r="D8" i="6"/>
  <c r="E68" i="39"/>
  <c r="H26" i="6"/>
  <c r="H20" i="6"/>
  <c r="H22" i="6"/>
  <c r="D14" i="6"/>
  <c r="F45" i="9"/>
  <c r="F46" i="9"/>
  <c r="D10" i="6"/>
  <c r="D23" i="6"/>
  <c r="H23" i="6"/>
  <c r="H25" i="6"/>
  <c r="E44" i="9"/>
  <c r="D13" i="6"/>
  <c r="H25" i="71"/>
  <c r="H25" i="70"/>
  <c r="H20" i="70"/>
  <c r="H22" i="70"/>
  <c r="H14" i="68"/>
  <c r="H22" i="68"/>
  <c r="H17" i="71"/>
  <c r="H18" i="70"/>
  <c r="H22" i="72"/>
  <c r="H19" i="71"/>
  <c r="H30" i="68"/>
  <c r="H14" i="70"/>
  <c r="H14" i="71"/>
  <c r="H20" i="71"/>
  <c r="E45" i="9"/>
  <c r="H13" i="72"/>
  <c r="H26" i="68"/>
  <c r="H16" i="72"/>
  <c r="H27" i="68"/>
  <c r="H32" i="68"/>
  <c r="H18" i="71"/>
  <c r="H21" i="71"/>
  <c r="H15" i="68"/>
  <c r="H20" i="72"/>
  <c r="H33" i="68"/>
  <c r="H31" i="68"/>
  <c r="H13" i="70"/>
  <c r="H12" i="70" s="1"/>
  <c r="H25" i="72"/>
  <c r="H18" i="72"/>
  <c r="H14" i="72"/>
  <c r="H16" i="70"/>
  <c r="H19" i="68"/>
  <c r="H23" i="68"/>
  <c r="C49" i="33"/>
  <c r="B3" i="33" s="1"/>
  <c r="B2" i="33" s="1"/>
  <c r="C48" i="33"/>
  <c r="C14" i="12"/>
  <c r="C17" i="12"/>
  <c r="I19" i="6"/>
  <c r="M27" i="6"/>
  <c r="Q58" i="44"/>
  <c r="Q49" i="44"/>
  <c r="Q55" i="44" s="1"/>
  <c r="Q67" i="44"/>
  <c r="D22" i="12"/>
  <c r="C22" i="12" s="1"/>
  <c r="C20" i="12" s="1"/>
  <c r="D13" i="11"/>
  <c r="C13" i="11" s="1"/>
  <c r="C8" i="66"/>
  <c r="C6" i="66"/>
  <c r="C7" i="66"/>
  <c r="H18" i="68"/>
  <c r="G17" i="68"/>
  <c r="E52" i="33"/>
  <c r="F52" i="33" s="1"/>
  <c r="E53" i="33"/>
  <c r="F53" i="33" s="1"/>
  <c r="G40" i="36"/>
  <c r="H40" i="36" s="1"/>
  <c r="G41" i="36"/>
  <c r="H41" i="36" s="1"/>
  <c r="T7" i="59"/>
  <c r="D7" i="59"/>
  <c r="C6" i="59"/>
  <c r="R37" i="36"/>
  <c r="E36" i="36"/>
  <c r="I41" i="36" s="1"/>
  <c r="J41" i="36" s="1"/>
  <c r="S16" i="1"/>
  <c r="T6" i="1"/>
  <c r="E17" i="66"/>
  <c r="Q59" i="44"/>
  <c r="Q68" i="44"/>
  <c r="D19" i="12"/>
  <c r="C19" i="12" s="1"/>
  <c r="C16" i="12"/>
  <c r="H24" i="68"/>
  <c r="C14" i="43"/>
  <c r="C17" i="43"/>
  <c r="E46" i="37"/>
  <c r="F46" i="37" s="1"/>
  <c r="E47" i="37"/>
  <c r="F47" i="37" s="1"/>
  <c r="I47" i="37"/>
  <c r="J47" i="37" s="1"/>
  <c r="I46" i="37"/>
  <c r="J46" i="37" s="1"/>
  <c r="I40" i="36"/>
  <c r="J40" i="36" s="1"/>
  <c r="C42" i="37"/>
  <c r="C43" i="37"/>
  <c r="B3" i="37" s="1"/>
  <c r="B2" i="37" s="1"/>
  <c r="E15" i="66"/>
  <c r="J15" i="66"/>
  <c r="I65" i="40" l="1"/>
  <c r="H67" i="40"/>
  <c r="J70" i="39"/>
  <c r="I72" i="39"/>
  <c r="C18" i="43"/>
  <c r="C19" i="43" s="1"/>
  <c r="C18" i="12"/>
  <c r="Q77" i="44"/>
  <c r="C36" i="36"/>
  <c r="C37" i="36"/>
  <c r="B3" i="36" s="1"/>
  <c r="B2" i="36" s="1"/>
  <c r="I27" i="6"/>
  <c r="S19" i="6"/>
  <c r="S27" i="6" s="1"/>
  <c r="H15" i="70"/>
  <c r="H25" i="68"/>
  <c r="R23" i="6"/>
  <c r="H19" i="6"/>
  <c r="H27" i="6" s="1"/>
  <c r="R26" i="6"/>
  <c r="R25" i="6"/>
  <c r="H15" i="71"/>
  <c r="E29" i="70"/>
  <c r="G29" i="70" s="1"/>
  <c r="H29" i="70" s="1"/>
  <c r="G11" i="70"/>
  <c r="G27" i="71"/>
  <c r="E30" i="71"/>
  <c r="G30" i="71" s="1"/>
  <c r="H30" i="71" s="1"/>
  <c r="G27" i="70"/>
  <c r="E30" i="70"/>
  <c r="G30" i="70" s="1"/>
  <c r="H30" i="70" s="1"/>
  <c r="E40" i="36"/>
  <c r="F40" i="36" s="1"/>
  <c r="E41" i="36"/>
  <c r="F41" i="36" s="1"/>
  <c r="H23" i="72"/>
  <c r="D6" i="59"/>
  <c r="C5" i="59"/>
  <c r="H17" i="68"/>
  <c r="Q64" i="44"/>
  <c r="H12" i="72"/>
  <c r="H13" i="68"/>
  <c r="D16" i="6"/>
  <c r="R20" i="6"/>
  <c r="D6" i="66"/>
  <c r="D8" i="66"/>
  <c r="D7" i="66"/>
  <c r="D27" i="6"/>
  <c r="D31" i="6" s="1"/>
  <c r="H23" i="70"/>
  <c r="E29" i="71"/>
  <c r="G29" i="71" s="1"/>
  <c r="H29" i="71" s="1"/>
  <c r="G11" i="71"/>
  <c r="H15" i="72"/>
  <c r="A20" i="64"/>
  <c r="A20" i="51"/>
  <c r="B15" i="63" s="1"/>
  <c r="A6" i="64"/>
  <c r="A6" i="51"/>
  <c r="B7" i="63" s="1"/>
  <c r="N5" i="54"/>
  <c r="B43" i="63" s="1"/>
  <c r="G10" i="68"/>
  <c r="G9" i="68" s="1"/>
  <c r="H11" i="68"/>
  <c r="H10" i="68" s="1"/>
  <c r="T13" i="1"/>
  <c r="T10" i="1"/>
  <c r="T9" i="1"/>
  <c r="T11" i="1"/>
  <c r="T12" i="1"/>
  <c r="T7" i="1"/>
  <c r="T8" i="1"/>
  <c r="T16" i="1" s="1"/>
  <c r="R22" i="6"/>
  <c r="D30" i="6"/>
  <c r="H12" i="71"/>
  <c r="H23" i="71"/>
  <c r="G11" i="72"/>
  <c r="E29" i="72"/>
  <c r="G29" i="72" s="1"/>
  <c r="H29" i="72" s="1"/>
  <c r="G27" i="72"/>
  <c r="E30" i="72"/>
  <c r="G30" i="72" s="1"/>
  <c r="H30" i="72" s="1"/>
  <c r="C32" i="9"/>
  <c r="N43" i="9"/>
  <c r="G22" i="9"/>
  <c r="C16" i="44"/>
  <c r="C14" i="15"/>
  <c r="J72" i="39" l="1"/>
  <c r="K70" i="39"/>
  <c r="J65" i="40"/>
  <c r="I67" i="40"/>
  <c r="C25" i="43"/>
  <c r="C24" i="43" s="1"/>
  <c r="C22" i="43"/>
  <c r="C21" i="43" s="1"/>
  <c r="C23" i="12"/>
  <c r="C35" i="12" s="1"/>
  <c r="C33" i="12" s="1"/>
  <c r="C17" i="44"/>
  <c r="C20" i="44"/>
  <c r="C15" i="15"/>
  <c r="C18" i="15"/>
  <c r="G26" i="72"/>
  <c r="H27" i="72"/>
  <c r="H26" i="72" s="1"/>
  <c r="H11" i="72"/>
  <c r="H10" i="72" s="1"/>
  <c r="H9" i="72" s="1"/>
  <c r="G10" i="72"/>
  <c r="G9" i="72" s="1"/>
  <c r="G35" i="68"/>
  <c r="G37" i="68" s="1"/>
  <c r="G36" i="68"/>
  <c r="I6" i="6"/>
  <c r="I5" i="6"/>
  <c r="G10" i="71"/>
  <c r="G9" i="71" s="1"/>
  <c r="H11" i="71"/>
  <c r="H10" i="71" s="1"/>
  <c r="H9" i="71" s="1"/>
  <c r="R19" i="6"/>
  <c r="G26" i="70"/>
  <c r="H27" i="70"/>
  <c r="H26" i="70" s="1"/>
  <c r="H27" i="71"/>
  <c r="H26" i="71" s="1"/>
  <c r="G26" i="71"/>
  <c r="C42" i="9"/>
  <c r="C34" i="9"/>
  <c r="C33" i="9"/>
  <c r="O43" i="9"/>
  <c r="C35" i="9"/>
  <c r="F42" i="9" s="1"/>
  <c r="O38" i="9"/>
  <c r="D5" i="59"/>
  <c r="M20" i="46"/>
  <c r="C19" i="46" s="1"/>
  <c r="H11" i="70"/>
  <c r="H10" i="70" s="1"/>
  <c r="H9" i="70" s="1"/>
  <c r="G10" i="70"/>
  <c r="G9" i="70" s="1"/>
  <c r="H9" i="68"/>
  <c r="C34" i="46" l="1"/>
  <c r="T5" i="46"/>
  <c r="V5" i="46" s="1"/>
  <c r="C38" i="46"/>
  <c r="C39" i="46"/>
  <c r="T6" i="46"/>
  <c r="V6" i="46" s="1"/>
  <c r="T12" i="46"/>
  <c r="V12" i="46" s="1"/>
  <c r="T9" i="46"/>
  <c r="V9" i="46" s="1"/>
  <c r="T16" i="46"/>
  <c r="V16" i="46" s="1"/>
  <c r="T15" i="46"/>
  <c r="V15" i="46" s="1"/>
  <c r="C36" i="46"/>
  <c r="T4" i="46"/>
  <c r="V4" i="46" s="1"/>
  <c r="T10" i="46"/>
  <c r="V10" i="46" s="1"/>
  <c r="C29" i="46"/>
  <c r="T13" i="46"/>
  <c r="V13" i="46" s="1"/>
  <c r="C35" i="46"/>
  <c r="T7" i="46"/>
  <c r="V7" i="46" s="1"/>
  <c r="T8" i="46"/>
  <c r="V8" i="46" s="1"/>
  <c r="T14" i="46"/>
  <c r="V14" i="46" s="1"/>
  <c r="T2" i="46"/>
  <c r="V2" i="46" s="1"/>
  <c r="T11" i="46"/>
  <c r="V11" i="46" s="1"/>
  <c r="C37" i="46"/>
  <c r="C33" i="46"/>
  <c r="T3" i="46"/>
  <c r="V3" i="46" s="1"/>
  <c r="C28" i="12"/>
  <c r="C26" i="12" s="1"/>
  <c r="C31" i="12" s="1"/>
  <c r="C30" i="12" s="1"/>
  <c r="C36" i="12" s="1"/>
  <c r="B2" i="12" s="1"/>
  <c r="B3" i="12" s="1"/>
  <c r="J67" i="40"/>
  <c r="K65" i="40"/>
  <c r="C28" i="43"/>
  <c r="C30" i="43" s="1"/>
  <c r="C32" i="43" s="1"/>
  <c r="B2" i="43" s="1"/>
  <c r="B4" i="43" s="1"/>
  <c r="L70" i="39"/>
  <c r="K72" i="39"/>
  <c r="C21" i="44"/>
  <c r="C22" i="44" s="1"/>
  <c r="C19" i="15"/>
  <c r="C20" i="15" s="1"/>
  <c r="C23" i="15" s="1"/>
  <c r="G38" i="68"/>
  <c r="G41" i="68" s="1"/>
  <c r="B2" i="68" s="1"/>
  <c r="G32" i="70"/>
  <c r="G34" i="70" s="1"/>
  <c r="G33" i="70"/>
  <c r="H32" i="70"/>
  <c r="H34" i="70" s="1"/>
  <c r="H33" i="70"/>
  <c r="N38" i="9"/>
  <c r="K28" i="9" s="1"/>
  <c r="D42" i="9"/>
  <c r="Q5" i="54" s="1"/>
  <c r="B47" i="63" s="1"/>
  <c r="R6" i="1"/>
  <c r="R16" i="1" s="1"/>
  <c r="R27" i="6"/>
  <c r="K26" i="9"/>
  <c r="K25" i="9"/>
  <c r="E42" i="9"/>
  <c r="P5" i="54" s="1"/>
  <c r="B46" i="63" s="1"/>
  <c r="M38" i="9"/>
  <c r="K27" i="9" s="1"/>
  <c r="H32" i="71"/>
  <c r="H33" i="71"/>
  <c r="G32" i="72"/>
  <c r="G33" i="72"/>
  <c r="H35" i="68"/>
  <c r="H37" i="68" s="1"/>
  <c r="H36" i="68"/>
  <c r="D63" i="9"/>
  <c r="N68" i="9"/>
  <c r="R5" i="54"/>
  <c r="B48" i="63" s="1"/>
  <c r="G32" i="71"/>
  <c r="G33" i="71"/>
  <c r="H32" i="72"/>
  <c r="H33" i="72"/>
  <c r="E37" i="46" l="1"/>
  <c r="G37" i="46"/>
  <c r="I37" i="46" s="1"/>
  <c r="G33" i="46"/>
  <c r="I33" i="46" s="1"/>
  <c r="E33" i="46"/>
  <c r="G36" i="46"/>
  <c r="I36" i="46" s="1"/>
  <c r="E36" i="46"/>
  <c r="E39" i="46"/>
  <c r="G39" i="46"/>
  <c r="I39" i="46" s="1"/>
  <c r="G35" i="46"/>
  <c r="I35" i="46" s="1"/>
  <c r="E35" i="46"/>
  <c r="C30" i="46"/>
  <c r="E30" i="46" s="1"/>
  <c r="C27" i="46" s="1"/>
  <c r="E29" i="46"/>
  <c r="E38" i="46"/>
  <c r="G38" i="46"/>
  <c r="I38" i="46" s="1"/>
  <c r="G34" i="46"/>
  <c r="I34" i="46" s="1"/>
  <c r="E34" i="46"/>
  <c r="H34" i="72"/>
  <c r="G34" i="72"/>
  <c r="G35" i="72" s="1"/>
  <c r="G38" i="72" s="1"/>
  <c r="B5" i="43"/>
  <c r="B3" i="43"/>
  <c r="M70" i="39"/>
  <c r="L72" i="39"/>
  <c r="K67" i="40"/>
  <c r="L65" i="40"/>
  <c r="B5" i="12"/>
  <c r="C28" i="44"/>
  <c r="H34" i="71"/>
  <c r="H35" i="71" s="1"/>
  <c r="H38" i="71" s="1"/>
  <c r="B4" i="12"/>
  <c r="G34" i="71"/>
  <c r="G35" i="71" s="1"/>
  <c r="G38" i="71" s="1"/>
  <c r="C25" i="44"/>
  <c r="G35" i="70"/>
  <c r="G38" i="70" s="1"/>
  <c r="H38" i="68"/>
  <c r="H41" i="68"/>
  <c r="B5" i="68"/>
  <c r="B4" i="68"/>
  <c r="C103" i="9"/>
  <c r="D77" i="9"/>
  <c r="N75" i="9" s="1"/>
  <c r="D71" i="9"/>
  <c r="D66" i="9" s="1"/>
  <c r="N72" i="9" s="1"/>
  <c r="C96" i="9"/>
  <c r="C91" i="9" s="1"/>
  <c r="C90" i="9"/>
  <c r="C111" i="9"/>
  <c r="C104" i="9" s="1"/>
  <c r="C82" i="9"/>
  <c r="C81" i="9" s="1"/>
  <c r="C85" i="9" s="1"/>
  <c r="C86" i="9" s="1"/>
  <c r="D72" i="9" s="1"/>
  <c r="D70" i="9"/>
  <c r="H35" i="70"/>
  <c r="H38" i="70" s="1"/>
  <c r="E14" i="66"/>
  <c r="B5" i="66"/>
  <c r="D5" i="66" s="1"/>
  <c r="J14" i="66"/>
  <c r="C26" i="15"/>
  <c r="C29" i="15" s="1"/>
  <c r="H35" i="72"/>
  <c r="H38" i="72" s="1"/>
  <c r="F7" i="67"/>
  <c r="E4" i="67" l="1"/>
  <c r="C26" i="46"/>
  <c r="C31" i="44"/>
  <c r="J16" i="44" s="1"/>
  <c r="J15" i="44" s="1"/>
  <c r="J25" i="44" s="1"/>
  <c r="C97" i="9"/>
  <c r="C99" i="9" s="1"/>
  <c r="M72" i="39"/>
  <c r="N70" i="39"/>
  <c r="N72" i="39" s="1"/>
  <c r="J9" i="39" s="1"/>
  <c r="L67" i="40"/>
  <c r="M65" i="40"/>
  <c r="C113" i="9"/>
  <c r="C114" i="9" s="1"/>
  <c r="E114" i="9" s="1"/>
  <c r="E115" i="9" s="1"/>
  <c r="C36" i="15"/>
  <c r="J14" i="15"/>
  <c r="C33" i="15"/>
  <c r="C31" i="15" s="1"/>
  <c r="C13" i="15"/>
  <c r="Q50" i="15"/>
  <c r="J19" i="15"/>
  <c r="J17" i="15" s="1"/>
  <c r="C56" i="15"/>
  <c r="J59" i="15"/>
  <c r="J60" i="15" s="1"/>
  <c r="C5" i="66"/>
  <c r="E7" i="67"/>
  <c r="E3" i="67" l="1"/>
  <c r="B2" i="46"/>
  <c r="C98" i="9"/>
  <c r="E98" i="9" s="1"/>
  <c r="E99" i="9" s="1"/>
  <c r="C35" i="44"/>
  <c r="C33" i="44" s="1"/>
  <c r="C38" i="44"/>
  <c r="J21" i="44"/>
  <c r="J19" i="44" s="1"/>
  <c r="Q51" i="44"/>
  <c r="C15" i="44"/>
  <c r="J24" i="44"/>
  <c r="W9" i="39"/>
  <c r="AC9" i="39"/>
  <c r="V49" i="39" s="1"/>
  <c r="I49" i="39" s="1"/>
  <c r="F9" i="39"/>
  <c r="H9" i="39"/>
  <c r="N65" i="40"/>
  <c r="N67" i="40" s="1"/>
  <c r="M67" i="40"/>
  <c r="F9" i="40" s="1"/>
  <c r="C115" i="9"/>
  <c r="D76" i="9" s="1"/>
  <c r="D74" i="9" s="1"/>
  <c r="N74" i="9" s="1"/>
  <c r="O77" i="9" s="1"/>
  <c r="O78" i="9" s="1"/>
  <c r="Q49" i="15"/>
  <c r="L46" i="15"/>
  <c r="C55" i="15"/>
  <c r="C64" i="15" s="1"/>
  <c r="J35" i="15"/>
  <c r="Q71" i="15"/>
  <c r="C37" i="15"/>
  <c r="C30" i="15" s="1"/>
  <c r="C39" i="15" s="1"/>
  <c r="C60" i="15"/>
  <c r="C58" i="15" s="1"/>
  <c r="C63" i="15"/>
  <c r="J13" i="15"/>
  <c r="J23" i="15" s="1"/>
  <c r="J22" i="15"/>
  <c r="B7" i="67"/>
  <c r="B2" i="67" l="1"/>
  <c r="B4" i="46"/>
  <c r="D4" i="46"/>
  <c r="B3" i="46"/>
  <c r="J18" i="44"/>
  <c r="J27" i="44" s="1"/>
  <c r="C43" i="44"/>
  <c r="Q72" i="44"/>
  <c r="C39" i="44"/>
  <c r="C32" i="44" s="1"/>
  <c r="C42" i="44" s="1"/>
  <c r="Q71" i="44" s="1"/>
  <c r="J9" i="40"/>
  <c r="W9" i="40" s="1"/>
  <c r="H9" i="40"/>
  <c r="AA9" i="40"/>
  <c r="R44" i="40" s="1"/>
  <c r="S9" i="40"/>
  <c r="I53" i="39"/>
  <c r="J53" i="39" s="1"/>
  <c r="S9" i="39"/>
  <c r="AA9" i="39"/>
  <c r="R49" i="39" s="1"/>
  <c r="U9" i="39"/>
  <c r="AB9" i="39"/>
  <c r="T49" i="39" s="1"/>
  <c r="G49" i="39" s="1"/>
  <c r="U9" i="40"/>
  <c r="AB9" i="40"/>
  <c r="T44" i="40" s="1"/>
  <c r="G44" i="40" s="1"/>
  <c r="O79" i="9"/>
  <c r="O81" i="9" s="1"/>
  <c r="J16" i="15"/>
  <c r="J25" i="15" s="1"/>
  <c r="C57" i="15"/>
  <c r="C66" i="15" s="1"/>
  <c r="C67" i="15" s="1"/>
  <c r="C70" i="15" s="1"/>
  <c r="Q77" i="9"/>
  <c r="Q70" i="15"/>
  <c r="Q69" i="15" s="1"/>
  <c r="C40" i="15"/>
  <c r="J39" i="15"/>
  <c r="J40" i="15" s="1"/>
  <c r="L51" i="15"/>
  <c r="B3" i="67" l="1"/>
  <c r="B4" i="67"/>
  <c r="AC9" i="40"/>
  <c r="V44" i="40" s="1"/>
  <c r="I44" i="40" s="1"/>
  <c r="I48" i="40" s="1"/>
  <c r="J48" i="40" s="1"/>
  <c r="Q70" i="44"/>
  <c r="C44" i="44"/>
  <c r="C45" i="44" s="1"/>
  <c r="B2" i="44" s="1"/>
  <c r="G54" i="39"/>
  <c r="H54" i="39" s="1"/>
  <c r="G53" i="39"/>
  <c r="H53" i="39" s="1"/>
  <c r="R50" i="39"/>
  <c r="E49" i="39"/>
  <c r="R45" i="40"/>
  <c r="E44" i="40"/>
  <c r="I49" i="40" s="1"/>
  <c r="J49" i="40" s="1"/>
  <c r="G48" i="40"/>
  <c r="H48" i="40" s="1"/>
  <c r="G49" i="40"/>
  <c r="H49" i="40" s="1"/>
  <c r="C46" i="15"/>
  <c r="O80" i="9"/>
  <c r="Q68" i="15"/>
  <c r="L57" i="15"/>
  <c r="L60" i="15" s="1"/>
  <c r="C43" i="15"/>
  <c r="Q66" i="15"/>
  <c r="Q48" i="15"/>
  <c r="Q54" i="15" s="1"/>
  <c r="B2" i="15"/>
  <c r="B3" i="15" s="1"/>
  <c r="Q57" i="15"/>
  <c r="J42" i="15"/>
  <c r="J43" i="15" s="1"/>
  <c r="B5" i="44" l="1"/>
  <c r="B4" i="44"/>
  <c r="B3" i="44"/>
  <c r="E54" i="39"/>
  <c r="F54" i="39" s="1"/>
  <c r="E53" i="39"/>
  <c r="F53" i="39" s="1"/>
  <c r="I54" i="39"/>
  <c r="J54" i="39" s="1"/>
  <c r="C50" i="39"/>
  <c r="C49" i="39"/>
  <c r="E49" i="40"/>
  <c r="F49" i="40" s="1"/>
  <c r="E48" i="40"/>
  <c r="F48" i="40" s="1"/>
  <c r="C45" i="40"/>
  <c r="C44" i="40"/>
  <c r="Q58" i="15"/>
  <c r="Q63" i="15" s="1"/>
  <c r="Q67" i="15"/>
  <c r="Q76" i="15" s="1"/>
  <c r="B57" i="40" l="1"/>
  <c r="F57" i="40" s="1"/>
  <c r="B55" i="40"/>
  <c r="F55" i="40" s="1"/>
  <c r="B54" i="40"/>
  <c r="F54" i="40" s="1"/>
  <c r="B61" i="40"/>
  <c r="F61" i="40" s="1"/>
  <c r="F63" i="40"/>
  <c r="B2" i="40" s="1"/>
  <c r="B53" i="40"/>
  <c r="F53" i="40" s="1"/>
  <c r="B58" i="40"/>
  <c r="F58" i="40" s="1"/>
  <c r="B60" i="40"/>
  <c r="F60" i="40" s="1"/>
  <c r="B56" i="40"/>
  <c r="F56" i="40" s="1"/>
  <c r="B62" i="40"/>
  <c r="F62" i="40" s="1"/>
  <c r="B59" i="40"/>
  <c r="F59" i="40" s="1"/>
  <c r="B67" i="39"/>
  <c r="F67" i="39" s="1"/>
  <c r="B62" i="39"/>
  <c r="F62" i="39" s="1"/>
  <c r="B66" i="39"/>
  <c r="F66" i="39" s="1"/>
  <c r="B60" i="39"/>
  <c r="F60" i="39" s="1"/>
  <c r="B58" i="39"/>
  <c r="F58" i="39" s="1"/>
  <c r="B65" i="39"/>
  <c r="F65" i="39" s="1"/>
  <c r="B64" i="39"/>
  <c r="F64" i="39" s="1"/>
  <c r="B59" i="39"/>
  <c r="F59" i="39" s="1"/>
  <c r="F68" i="39"/>
  <c r="B2" i="39" s="1"/>
  <c r="B63" i="39"/>
  <c r="F63" i="39" s="1"/>
  <c r="B61" i="39"/>
  <c r="F61" i="39" s="1"/>
  <c r="B3" i="39" l="1"/>
  <c r="B5" i="39"/>
  <c r="B4" i="39"/>
  <c r="B3" i="40"/>
  <c r="B4" i="40"/>
  <c r="B5"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<sst xmlns="http://schemas.openxmlformats.org/spreadsheetml/2006/main" count="8229" uniqueCount="3162">
  <si>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</si>
  <si>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</si>
  <si>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</si>
  <si>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</si>
  <si>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</si>
  <si>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</si>
  <si>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</si>
  <si>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</si>
  <si>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</si>
  <si>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</si>
  <si>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</si>
  <si>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</si>
  <si>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</si>
  <si>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</si>
  <si>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</si>
  <si>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</si>
  <si>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</si>
  <si>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</si>
  <si>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</si>
  <si>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</si>
  <si>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</si>
  <si>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</si>
  <si>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</si>
  <si>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</si>
  <si>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</si>
  <si>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</si>
  <si>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</si>
  <si>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</si>
  <si>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</si>
  <si>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</si>
  <si>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</si>
  <si>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</si>
  <si>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</si>
  <si>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</si>
  <si>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</si>
  <si>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</si>
  <si>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</si>
  <si>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</si>
  <si>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</si>
  <si>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</si>
  <si>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</si>
  <si>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</si>
  <si>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</si>
  <si>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</si>
  <si>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</si>
  <si>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</si>
  <si>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</si>
  <si>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</si>
  <si>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</si>
  <si>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</si>
  <si>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</si>
  <si>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</si>
  <si>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</si>
  <si>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</si>
  <si>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</si>
  <si>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</si>
  <si>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</si>
  <si>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</si>
  <si>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</si>
  <si>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</si>
  <si>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</si>
  <si>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</si>
  <si>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</si>
  <si>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</si>
  <si>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</si>
  <si>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</si>
  <si>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</si>
  <si>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</si>
  <si>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</si>
  <si>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</si>
  <si>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</si>
  <si>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</si>
  <si>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</si>
  <si>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</si>
  <si>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</si>
  <si>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</si>
  <si>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</si>
  <si>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</si>
  <si>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</si>
  <si>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</si>
  <si>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</si>
  <si>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</si>
  <si>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</si>
  <si>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</si>
  <si>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</si>
  <si>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</si>
  <si>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</si>
  <si>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</si>
  <si>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</si>
  <si>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</si>
  <si>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</si>
  <si>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</si>
  <si>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</si>
  <si>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</si>
  <si>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</si>
  <si>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</si>
  <si>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</si>
  <si>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</si>
  <si>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</si>
  <si>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</si>
  <si>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</si>
  <si>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</si>
  <si>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</si>
  <si>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</si>
  <si>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</si>
  <si>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</si>
  <si>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</si>
  <si>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</si>
  <si>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</si>
  <si>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</si>
  <si>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</si>
  <si>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</si>
  <si>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</si>
  <si>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</si>
  <si>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</si>
  <si>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</si>
  <si>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</si>
  <si>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</si>
  <si>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</si>
  <si>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</si>
  <si>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</si>
  <si>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</si>
  <si>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</si>
  <si>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</si>
  <si>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</si>
  <si>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</si>
  <si>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</si>
  <si>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</si>
  <si>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</si>
  <si>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</si>
  <si>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</si>
  <si>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</si>
  <si>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</si>
  <si>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</si>
  <si>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</si>
  <si>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</si>
  <si>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</si>
  <si>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</si>
  <si>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</si>
  <si>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</si>
  <si>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</si>
  <si>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</si>
  <si>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</si>
  <si>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</si>
  <si>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</si>
  <si>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</si>
  <si>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</si>
  <si>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</si>
  <si>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</si>
  <si>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</si>
  <si>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</si>
  <si>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</si>
  <si>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</si>
  <si>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</si>
  <si>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</si>
  <si>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</si>
  <si>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</si>
  <si>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</si>
  <si>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</si>
  <si>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</si>
  <si>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</si>
  <si>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</si>
  <si>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</si>
  <si>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</si>
  <si>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</si>
  <si>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</si>
  <si>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</si>
  <si>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</si>
  <si>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</si>
  <si>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</si>
  <si>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</si>
  <si>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</si>
  <si>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</si>
  <si>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</si>
  <si>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</si>
  <si>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</si>
  <si>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</si>
  <si>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</si>
  <si>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</si>
  <si>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</si>
  <si>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</si>
  <si>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</si>
  <si>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</si>
  <si>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</si>
  <si>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</si>
  <si>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</si>
  <si>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</si>
  <si>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</si>
  <si>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</si>
  <si>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</si>
  <si>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</si>
  <si>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</si>
  <si>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</si>
  <si>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</si>
  <si>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</si>
  <si>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</si>
  <si>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</si>
  <si>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</si>
  <si>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</si>
  <si>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</si>
  <si>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</si>
  <si>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</si>
  <si>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</si>
  <si>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</si>
  <si>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</si>
  <si>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</si>
  <si>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</si>
  <si>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</si>
  <si>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</si>
  <si>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</si>
  <si>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</si>
  <si>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</si>
  <si>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</si>
  <si>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</si>
  <si>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</si>
  <si>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</si>
  <si>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</si>
  <si>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</si>
  <si>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</si>
  <si>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</si>
  <si>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</si>
  <si>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</si>
  <si>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</si>
  <si>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</si>
  <si>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</si>
  <si>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</si>
  <si>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</si>
  <si>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</si>
  <si>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</si>
  <si>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</si>
  <si>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</si>
  <si>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</si>
  <si>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</si>
  <si>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</si>
  <si>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</si>
  <si>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</si>
  <si>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</si>
  <si>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</si>
  <si>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</si>
  <si>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</si>
  <si>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</si>
  <si>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</si>
  <si>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</si>
  <si>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</si>
  <si>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</si>
  <si>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</si>
  <si>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</si>
  <si>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</si>
  <si>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</si>
  <si>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</si>
  <si>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</si>
  <si>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</si>
  <si>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</si>
  <si>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</si>
  <si>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</si>
  <si>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</si>
  <si>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</si>
  <si>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</si>
  <si>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</si>
  <si>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</si>
  <si>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</si>
  <si>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</si>
  <si>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</si>
  <si>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</si>
  <si>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</si>
  <si>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</si>
  <si>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</si>
  <si>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</si>
  <si>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</si>
  <si>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</si>
  <si>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</si>
  <si>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</si>
  <si>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</si>
  <si>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</si>
  <si>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</si>
  <si>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</si>
  <si>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</si>
  <si>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</si>
  <si>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</si>
  <si>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</si>
  <si>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</si>
  <si>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</si>
  <si>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</si>
  <si>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</si>
  <si>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</si>
  <si>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</si>
  <si>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</si>
  <si>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</si>
  <si>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</si>
  <si>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</si>
  <si>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</si>
  <si>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</si>
  <si>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</si>
  <si>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</si>
  <si>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</si>
  <si>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</si>
  <si>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</si>
  <si>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</si>
  <si>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</si>
  <si>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</si>
  <si>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</si>
  <si>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</si>
  <si>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</si>
  <si>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</si>
  <si>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</si>
  <si>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</si>
  <si>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</si>
  <si>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</si>
  <si>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</si>
  <si>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</si>
  <si>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</si>
  <si>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</si>
  <si>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</si>
  <si>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</si>
  <si>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</si>
  <si>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</si>
  <si>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</si>
  <si>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</si>
  <si>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</si>
  <si>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</si>
  <si>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</si>
  <si>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</si>
  <si>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</si>
  <si>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</si>
  <si>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</si>
  <si>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</si>
  <si>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</si>
  <si>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</si>
  <si>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</si>
  <si>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</si>
  <si>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</si>
  <si>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</si>
  <si>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</si>
  <si>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</si>
  <si>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</si>
  <si>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</si>
  <si>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</si>
  <si>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</si>
  <si>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</si>
  <si>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</si>
  <si>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</si>
  <si>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</si>
  <si>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</si>
  <si>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</si>
  <si>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</si>
  <si>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</si>
  <si>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</si>
  <si>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</si>
  <si>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</si>
  <si>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</si>
  <si>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</si>
  <si>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</si>
  <si>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</si>
  <si>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</si>
  <si>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</si>
  <si>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</si>
  <si>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</si>
  <si>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</si>
  <si>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</si>
  <si>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</si>
  <si>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</si>
  <si>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</si>
  <si>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</si>
  <si>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</si>
  <si>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</si>
  <si>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</si>
  <si>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</si>
  <si>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</si>
  <si>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</si>
  <si>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</si>
  <si>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</si>
  <si>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</si>
  <si>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</si>
  <si>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</si>
  <si>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</si>
  <si>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</si>
  <si>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</si>
  <si>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</si>
  <si>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</si>
  <si>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</si>
  <si>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</si>
  <si>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</si>
  <si>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</si>
  <si>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</si>
  <si>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</si>
  <si>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</si>
  <si>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</si>
  <si>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</si>
  <si>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</si>
  <si>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</si>
  <si>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</si>
  <si>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</si>
  <si>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</si>
  <si>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</si>
  <si>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</si>
  <si>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</si>
  <si>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</si>
  <si>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</si>
  <si>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</si>
  <si>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</si>
  <si>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</si>
  <si>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</si>
  <si>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</si>
  <si>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</si>
  <si>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</si>
  <si>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</si>
  <si>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</si>
  <si>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</si>
  <si>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</si>
  <si>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</si>
  <si>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</si>
  <si>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</si>
  <si>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</si>
  <si>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</si>
  <si>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</si>
  <si>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</si>
  <si>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</si>
  <si>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</si>
  <si>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</si>
  <si>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</si>
  <si>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</si>
  <si>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</si>
  <si>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</si>
  <si>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</si>
  <si>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</si>
  <si>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</si>
  <si>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</si>
  <si>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</si>
  <si>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</si>
  <si>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</si>
  <si>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</si>
  <si>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</si>
  <si>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</si>
  <si>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</si>
  <si>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</si>
  <si>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</si>
  <si>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</si>
  <si>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</si>
  <si>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</si>
  <si>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</si>
  <si>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</si>
  <si>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</si>
  <si>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</si>
  <si>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</si>
  <si>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</si>
  <si>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</si>
  <si>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</si>
  <si>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</si>
  <si>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</si>
  <si>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</si>
  <si>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</si>
  <si>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</si>
  <si>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</si>
  <si>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</si>
  <si>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</si>
  <si>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</si>
  <si>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</si>
  <si>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</si>
  <si>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</si>
  <si>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</si>
  <si>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</si>
  <si>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</si>
  <si>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</si>
  <si>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</si>
  <si>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</si>
  <si>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</si>
  <si>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</si>
  <si>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</si>
  <si>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</si>
  <si>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</si>
  <si>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</si>
  <si>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</si>
  <si>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</si>
  <si>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</si>
  <si>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</si>
  <si>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</si>
  <si>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</si>
  <si>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</si>
  <si>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</si>
  <si>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</si>
  <si>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</si>
  <si>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</si>
  <si>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</si>
  <si>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</si>
  <si>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</si>
  <si>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</si>
  <si>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</si>
  <si>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</si>
  <si>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</si>
  <si>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</si>
  <si>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</si>
  <si>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</si>
  <si>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</si>
  <si>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</si>
  <si>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</si>
  <si>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</si>
  <si>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</si>
  <si>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</si>
  <si>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</si>
  <si>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</si>
  <si>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</si>
  <si>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</si>
  <si>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</si>
  <si>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</si>
  <si>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</si>
  <si>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</si>
  <si>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</si>
  <si>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</si>
  <si>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</si>
  <si>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</si>
  <si>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</si>
  <si>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</si>
  <si>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</si>
  <si>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</si>
  <si>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</si>
  <si>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</si>
  <si>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</si>
  <si>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</si>
  <si>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</si>
  <si>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</si>
  <si>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</si>
  <si>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</si>
  <si>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</si>
  <si>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</si>
  <si>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</si>
  <si>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</si>
  <si>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</si>
  <si>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</si>
  <si>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</si>
  <si>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</si>
  <si>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</si>
  <si>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</si>
  <si>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</si>
  <si>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</si>
  <si>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</si>
  <si>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</si>
  <si>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</si>
  <si>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</si>
  <si>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</si>
  <si>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</si>
  <si>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</si>
  <si>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</si>
  <si>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</si>
  <si>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</si>
  <si>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</si>
  <si>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</si>
  <si>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</si>
  <si>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</si>
  <si>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</si>
  <si>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</si>
  <si>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</si>
  <si>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</si>
  <si>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</si>
  <si>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</si>
  <si>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</si>
  <si>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</si>
  <si>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</si>
  <si>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</si>
  <si>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</si>
  <si>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</si>
  <si>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</si>
  <si>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</si>
  <si>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</si>
  <si>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</si>
  <si>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</si>
  <si>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</si>
  <si>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</si>
  <si>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</si>
  <si>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</si>
  <si>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</si>
  <si>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</si>
  <si>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</si>
  <si>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</si>
  <si>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</si>
  <si>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</si>
  <si>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</si>
  <si>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</si>
  <si>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</si>
  <si>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</si>
  <si>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</si>
  <si>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</si>
  <si>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</si>
  <si>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</si>
  <si>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</si>
  <si>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</si>
  <si>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</si>
  <si>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</si>
  <si>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</si>
  <si>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</si>
  <si>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</si>
  <si>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</si>
  <si>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</si>
  <si>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</si>
  <si>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</si>
  <si>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</si>
  <si>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</si>
  <si>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</si>
  <si>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</si>
  <si>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</si>
  <si>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</si>
  <si>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</si>
  <si>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</si>
  <si>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</si>
  <si>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</si>
  <si>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</si>
  <si>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</si>
  <si>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</si>
  <si>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</si>
  <si>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</si>
  <si>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</si>
  <si>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</si>
  <si>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</si>
  <si>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</si>
  <si>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</si>
  <si>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</si>
  <si>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</si>
  <si>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</si>
  <si>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</si>
  <si>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</si>
  <si>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</si>
  <si>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</si>
  <si>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</si>
  <si>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</si>
  <si>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</si>
  <si>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</si>
  <si>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</si>
  <si>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</si>
  <si>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</si>
  <si>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</si>
  <si>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</si>
  <si>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</si>
  <si>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</si>
  <si>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</si>
  <si>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</si>
  <si>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</si>
  <si>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</si>
  <si>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</si>
  <si>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</si>
  <si>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</si>
  <si>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</si>
  <si>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</si>
  <si>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</si>
  <si>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</si>
  <si>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</si>
  <si>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</si>
  <si>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</si>
  <si>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</si>
  <si>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</si>
  <si>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</si>
  <si>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</si>
  <si>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</si>
  <si>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</si>
  <si>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</si>
  <si>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</si>
  <si>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</si>
  <si>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</si>
  <si>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</si>
  <si>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</si>
  <si>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</si>
  <si>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</si>
  <si>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</si>
  <si>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</si>
  <si>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</si>
  <si>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</si>
  <si>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</si>
  <si>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</si>
  <si>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</si>
  <si>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</si>
  <si>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</si>
  <si>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</si>
  <si>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</si>
  <si>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</si>
  <si>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</si>
  <si>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</si>
  <si>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</si>
  <si>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</si>
  <si>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</si>
  <si>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</si>
  <si>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</si>
  <si>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</si>
  <si>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</si>
  <si>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</si>
  <si>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</si>
  <si>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</si>
  <si>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</si>
  <si>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</si>
  <si>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</si>
  <si>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</si>
  <si>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</si>
  <si>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</si>
  <si>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</si>
  <si>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</si>
  <si>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</si>
  <si>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</si>
  <si>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</si>
  <si>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</si>
  <si>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</si>
  <si>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</si>
  <si>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</si>
  <si>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</si>
  <si>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</si>
  <si>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</si>
  <si>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</si>
  <si>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</si>
  <si>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</si>
  <si>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</si>
  <si>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</si>
  <si>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</si>
  <si>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</si>
  <si>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</si>
  <si>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</si>
  <si>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</si>
  <si>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</si>
  <si>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</si>
  <si>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</si>
  <si>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</si>
  <si>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</si>
  <si>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</si>
  <si>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</si>
  <si>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</si>
  <si>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</si>
  <si>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</si>
  <si>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</si>
  <si>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</si>
  <si>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</si>
  <si>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</si>
  <si>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</si>
  <si>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</si>
  <si>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</si>
  <si>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</si>
  <si>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</si>
  <si>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</si>
  <si>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</si>
  <si>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</si>
  <si>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</si>
  <si>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</si>
  <si>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</si>
  <si>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</si>
  <si>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</si>
  <si>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</si>
  <si>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</si>
  <si>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</si>
  <si>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</si>
  <si>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</si>
  <si>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</si>
  <si>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</si>
  <si>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</si>
  <si>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</si>
  <si>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</si>
  <si>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</si>
  <si>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</si>
  <si>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</si>
  <si>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</si>
  <si>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</si>
  <si>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</si>
  <si>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</si>
  <si>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</si>
  <si>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</si>
  <si>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</si>
  <si>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</si>
  <si>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</si>
  <si>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</si>
  <si>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</si>
  <si>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</si>
  <si>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</si>
  <si>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</si>
  <si>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</si>
  <si>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</si>
  <si>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</si>
  <si>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</si>
  <si>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</si>
  <si>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</si>
  <si>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</si>
  <si>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</si>
  <si>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</si>
  <si>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</si>
  <si>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</si>
  <si>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</si>
  <si>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</si>
  <si>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</si>
  <si>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</si>
  <si>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</si>
  <si>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</si>
  <si>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</si>
  <si>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</si>
  <si>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</si>
  <si>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</si>
  <si>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</si>
  <si>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</si>
  <si>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</si>
  <si>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</si>
  <si>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</si>
  <si>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</si>
  <si>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</si>
  <si>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</si>
  <si>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</si>
  <si>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</si>
  <si>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</si>
  <si>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</si>
  <si>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</si>
  <si>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</si>
  <si>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</si>
  <si>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</si>
  <si>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</si>
  <si>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</si>
  <si>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</si>
  <si>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</si>
  <si>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</si>
  <si>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</si>
  <si>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</si>
  <si>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</si>
  <si>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</si>
  <si>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</si>
  <si>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</si>
  <si>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</si>
  <si>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</si>
  <si>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</si>
  <si>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</si>
  <si>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</si>
  <si>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</si>
  <si>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</si>
  <si>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</si>
  <si>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</si>
  <si>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</si>
  <si>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</si>
  <si>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</si>
  <si>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</si>
  <si>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</si>
  <si>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</si>
  <si>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</si>
  <si>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</si>
  <si>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</si>
  <si>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</si>
  <si>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</si>
  <si>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</si>
  <si>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</si>
  <si>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</si>
  <si>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</si>
  <si>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</si>
  <si>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</si>
  <si>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</si>
  <si>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</si>
  <si>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</si>
  <si>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</si>
  <si>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</si>
  <si>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</si>
  <si>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</si>
  <si>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</si>
  <si>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</si>
  <si>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</si>
  <si>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</si>
  <si>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</si>
  <si>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</si>
  <si>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</si>
  <si>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</si>
  <si>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</si>
  <si>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</si>
  <si>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</si>
  <si>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</si>
  <si>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</si>
  <si>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</si>
  <si>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</si>
  <si>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</si>
  <si>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</si>
  <si>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</si>
  <si>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</si>
  <si>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</si>
  <si>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</si>
  <si>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</si>
  <si>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</si>
  <si>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</si>
  <si>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</si>
  <si>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</si>
  <si>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</si>
  <si>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</si>
  <si>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</si>
  <si>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</si>
  <si>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</si>
  <si>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</si>
  <si>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</si>
  <si>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</si>
  <si>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</si>
  <si>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</si>
  <si>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</si>
  <si>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</si>
  <si>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</si>
  <si>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</si>
  <si>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</si>
  <si>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</si>
  <si>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</si>
  <si>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</si>
  <si>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</si>
  <si>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</si>
  <si>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</si>
  <si>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</si>
  <si>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</si>
  <si>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</si>
  <si>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</si>
  <si>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</si>
  <si>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</si>
  <si>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</si>
  <si>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</si>
  <si>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</si>
  <si>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</si>
  <si>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</si>
  <si>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</si>
  <si>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</si>
  <si>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</si>
  <si>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</si>
  <si>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</si>
  <si>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</si>
  <si>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</si>
  <si>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</si>
  <si>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</si>
  <si>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</si>
  <si>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</si>
  <si>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</si>
  <si>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</si>
  <si>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</si>
  <si>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</si>
  <si>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</si>
  <si>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</si>
  <si>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</si>
  <si>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</si>
  <si>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</si>
  <si>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</si>
  <si>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</si>
  <si>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</si>
  <si>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</si>
  <si>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</si>
  <si>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</si>
  <si>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</si>
  <si>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</si>
  <si>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</si>
  <si>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</si>
  <si>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</si>
  <si>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</si>
  <si>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</si>
  <si>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</si>
  <si>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</si>
  <si>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</si>
  <si>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</si>
  <si>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</si>
  <si>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</si>
  <si>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</si>
  <si>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</si>
  <si>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</si>
  <si>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</si>
  <si>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</si>
  <si>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</si>
  <si>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</si>
  <si>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</si>
  <si>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</si>
  <si>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</si>
  <si>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</si>
  <si>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</si>
  <si>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</si>
  <si>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</si>
  <si>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</si>
  <si>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</si>
  <si>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</si>
  <si>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</si>
  <si>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</si>
  <si>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</si>
  <si>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</si>
  <si>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</si>
  <si>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</si>
  <si>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</si>
  <si>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</si>
  <si>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</si>
  <si>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</si>
  <si>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</si>
  <si>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</si>
  <si>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</si>
  <si>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</si>
  <si>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</si>
  <si>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</si>
  <si>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</si>
  <si>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</si>
  <si>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</si>
  <si>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</si>
  <si>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</si>
  <si>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</si>
  <si>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</si>
  <si>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</si>
  <si>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</si>
  <si>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</si>
  <si>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</si>
  <si>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</si>
  <si>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</si>
  <si>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</si>
  <si>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</si>
  <si>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</si>
  <si>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</si>
  <si>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</si>
  <si>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</si>
  <si>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</si>
  <si>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</si>
  <si>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</si>
  <si>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</si>
  <si>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</si>
  <si>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</si>
  <si>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</si>
  <si>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</si>
  <si>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</si>
  <si>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</si>
  <si>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</si>
  <si>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</si>
  <si>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</si>
  <si>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</si>
  <si>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</si>
  <si>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</si>
  <si>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</si>
  <si>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</si>
  <si>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</si>
  <si>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</si>
  <si>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</si>
  <si>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</si>
  <si>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</si>
  <si>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</si>
  <si>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</si>
  <si>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</si>
  <si>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</si>
  <si>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</si>
  <si>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</si>
  <si>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</si>
  <si>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</si>
  <si>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</si>
  <si>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</si>
  <si>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</si>
  <si>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</si>
  <si>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</si>
  <si>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</si>
  <si>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</si>
  <si>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</si>
  <si>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</si>
  <si>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</si>
  <si>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</si>
  <si>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</si>
  <si>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</si>
  <si>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</si>
  <si>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</si>
  <si>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</si>
  <si>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</si>
  <si>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</si>
  <si>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</si>
  <si>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</si>
  <si>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</si>
  <si>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</si>
  <si>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</si>
  <si>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</si>
  <si>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</si>
  <si>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</si>
  <si>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</si>
  <si>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</si>
  <si>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</si>
  <si>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</si>
  <si>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</si>
  <si>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</si>
  <si>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</si>
  <si>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</si>
  <si>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</si>
  <si>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</si>
  <si>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</si>
  <si>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</si>
  <si>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</si>
  <si>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</si>
  <si>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</si>
  <si>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</si>
  <si>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</si>
  <si>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</si>
  <si>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</si>
  <si>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</si>
  <si>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</si>
  <si>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</si>
  <si>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</si>
  <si>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</si>
  <si>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</si>
  <si>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</si>
  <si>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</si>
  <si>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</si>
  <si>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</si>
  <si>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</si>
  <si>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</si>
  <si>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</si>
  <si>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</si>
  <si>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</si>
  <si>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</si>
  <si>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</si>
  <si>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</si>
  <si>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</si>
  <si>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</si>
  <si>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</si>
  <si>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</si>
  <si>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</si>
  <si>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</si>
  <si>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</si>
  <si>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</si>
  <si>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</si>
  <si>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</si>
  <si>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</si>
  <si>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</si>
  <si>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</si>
  <si>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</si>
  <si>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</si>
  <si>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</si>
  <si>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</si>
  <si>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</si>
  <si>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</si>
  <si>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</si>
  <si>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</si>
  <si>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</si>
  <si>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</si>
  <si>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</si>
  <si>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</si>
  <si>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</si>
  <si>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</si>
  <si>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</si>
  <si>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</si>
  <si>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</si>
  <si>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</si>
  <si>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</si>
  <si>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</si>
  <si>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</si>
  <si>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</si>
  <si>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</si>
  <si>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</si>
  <si>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</si>
  <si>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</si>
  <si>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</si>
  <si>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</si>
  <si>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</si>
  <si>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</si>
  <si>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</si>
  <si>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</si>
  <si>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</si>
  <si>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</si>
  <si>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</si>
  <si>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</si>
  <si>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</si>
  <si>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</si>
  <si>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</si>
  <si>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</si>
  <si>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</si>
  <si>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</si>
  <si>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</si>
  <si>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</si>
  <si>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</si>
  <si>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</si>
  <si>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</si>
  <si>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</si>
  <si>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</si>
  <si>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</si>
  <si>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</si>
  <si>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</si>
  <si>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</si>
  <si>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</si>
  <si>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</si>
  <si>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</si>
  <si>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</si>
  <si>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</si>
  <si>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</si>
  <si>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</si>
  <si>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</si>
  <si>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</si>
  <si>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</si>
  <si>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</si>
  <si>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</si>
  <si>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</si>
  <si>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</si>
  <si>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</si>
  <si>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</si>
  <si>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</si>
  <si>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</si>
  <si>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</si>
  <si>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</si>
  <si>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</si>
  <si>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</si>
  <si>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</si>
  <si>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</si>
  <si>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</si>
  <si>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</si>
  <si>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</si>
  <si>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</si>
  <si>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</si>
  <si>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</si>
  <si>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</si>
  <si>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</si>
  <si>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</si>
  <si>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</si>
  <si>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</si>
  <si>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</si>
  <si>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</si>
  <si>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</si>
  <si>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</si>
  <si>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</si>
  <si>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</si>
  <si>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</si>
  <si>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</si>
  <si>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</si>
  <si>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</si>
  <si>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</si>
  <si>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</si>
  <si>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</si>
  <si>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</si>
  <si>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</si>
  <si>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</si>
  <si>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</si>
  <si>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</si>
  <si>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</si>
  <si>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</si>
  <si>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</si>
  <si>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</si>
  <si>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</si>
  <si>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</si>
  <si>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</si>
  <si>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</si>
  <si>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</si>
  <si>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</si>
  <si>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</si>
  <si>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</si>
  <si>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</si>
  <si>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</si>
  <si>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</si>
  <si>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</si>
  <si>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</si>
  <si>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</si>
  <si>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</si>
  <si>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</si>
  <si>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</si>
  <si>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</si>
  <si>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</si>
  <si>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</si>
  <si>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</si>
  <si>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</si>
  <si>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</si>
  <si>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</si>
  <si>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</si>
  <si>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</si>
  <si>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</si>
  <si>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</si>
  <si>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</si>
  <si>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</si>
  <si>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</si>
  <si>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</si>
  <si>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</si>
  <si>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</si>
  <si>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</si>
  <si>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</si>
  <si>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</si>
  <si>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</si>
  <si>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</si>
  <si>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</si>
  <si>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</si>
  <si>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</si>
  <si>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</si>
  <si>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</si>
  <si>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</si>
  <si>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</si>
  <si>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</si>
  <si>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</si>
  <si>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</si>
  <si>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</si>
  <si>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</si>
  <si>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</si>
  <si>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</si>
  <si>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</si>
  <si>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</si>
  <si>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</si>
  <si>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</si>
  <si>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</si>
  <si>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</si>
  <si>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</si>
  <si>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</si>
  <si>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</si>
  <si>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</si>
  <si>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</si>
  <si>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</si>
  <si>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</si>
  <si>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</si>
  <si>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</si>
  <si>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</si>
  <si>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</si>
  <si>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</si>
  <si>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</si>
  <si>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</si>
  <si>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</si>
  <si>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</si>
  <si>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</si>
  <si>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</si>
  <si>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</si>
  <si>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</si>
  <si>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</si>
  <si>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</si>
  <si>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</si>
  <si>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</si>
  <si>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</si>
  <si>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</si>
  <si>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</si>
  <si>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</si>
  <si>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</si>
  <si>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</si>
  <si>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</si>
  <si>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</si>
  <si>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</si>
  <si>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</si>
  <si>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</si>
  <si>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</si>
  <si>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</si>
  <si>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</si>
  <si>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</si>
  <si>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</si>
  <si>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</si>
  <si>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</si>
  <si>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</si>
  <si>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</si>
  <si>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</si>
  <si>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</si>
  <si>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</si>
  <si>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</si>
  <si>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</si>
  <si>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</si>
  <si>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</si>
  <si>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</si>
  <si>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</si>
  <si>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</si>
  <si>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</si>
  <si>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</si>
  <si>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</si>
  <si>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</si>
  <si>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</si>
  <si>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</si>
  <si>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</si>
  <si>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</si>
  <si>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</si>
  <si>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</si>
  <si>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</si>
  <si>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</si>
  <si>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</si>
  <si>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</si>
  <si>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</si>
  <si>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</si>
  <si>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</si>
  <si>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</si>
  <si>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</si>
  <si>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</si>
  <si>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</si>
  <si>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</si>
  <si>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</si>
  <si>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</si>
  <si>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</si>
  <si>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</si>
  <si>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</si>
  <si>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</si>
  <si>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</si>
  <si>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</si>
  <si>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</si>
  <si>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</si>
  <si>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</si>
  <si>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</si>
  <si>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</si>
  <si>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</si>
  <si>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</si>
  <si>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</si>
  <si>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</si>
  <si>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</si>
  <si>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</si>
  <si>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</si>
  <si>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</si>
  <si>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</si>
  <si>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</si>
  <si>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</si>
  <si>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</si>
  <si>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</si>
  <si>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</si>
  <si>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</si>
  <si>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</si>
  <si>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</si>
  <si>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</si>
  <si>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</si>
  <si>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</si>
  <si>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</si>
  <si>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</si>
  <si>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</si>
  <si>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</si>
  <si>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</si>
  <si>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</si>
  <si>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</si>
  <si>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</si>
  <si>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</si>
  <si>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</si>
  <si>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</si>
  <si>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</si>
  <si>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</si>
  <si>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</si>
  <si>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</si>
  <si>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</si>
  <si>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</si>
  <si>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</si>
  <si>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</si>
  <si>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</si>
  <si>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</si>
  <si>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</si>
  <si>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</si>
  <si>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</si>
  <si>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</si>
  <si>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</si>
  <si>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</si>
  <si>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</si>
  <si>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</si>
  <si>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</si>
  <si>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</si>
  <si>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</si>
  <si>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</si>
  <si>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</si>
  <si>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</si>
  <si>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</si>
  <si>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</si>
  <si>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</si>
  <si>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</si>
  <si>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</si>
  <si>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</si>
  <si>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</si>
  <si>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</si>
  <si>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</si>
  <si>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</si>
  <si>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</si>
  <si>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</si>
  <si>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</si>
  <si>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</si>
  <si>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</si>
  <si>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</si>
  <si>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</si>
  <si>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</si>
  <si>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</si>
  <si>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</si>
  <si>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</si>
  <si>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</si>
  <si>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</si>
  <si>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</si>
  <si>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</si>
  <si>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</si>
  <si>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</si>
  <si>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</si>
  <si>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</si>
  <si>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</si>
  <si>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</si>
  <si>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</si>
  <si>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</si>
  <si>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</si>
  <si>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</si>
  <si>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</si>
  <si>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</si>
  <si>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</si>
  <si>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</si>
  <si>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</si>
  <si>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</si>
  <si>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</si>
  <si>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</si>
  <si>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</si>
  <si>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</si>
  <si>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</si>
  <si>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</si>
  <si>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</si>
  <si>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</si>
  <si>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</si>
  <si>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</si>
  <si>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</si>
  <si>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</si>
  <si>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</si>
  <si>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</si>
  <si>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</si>
  <si>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</si>
  <si>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</si>
  <si>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</si>
  <si>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</si>
  <si>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</si>
  <si>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</si>
  <si>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</si>
  <si>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</si>
  <si>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</si>
  <si>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</si>
  <si>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</si>
  <si>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</si>
  <si>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</si>
  <si>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</si>
  <si>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</si>
  <si>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</si>
  <si>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</si>
  <si>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</si>
  <si>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</si>
  <si>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</si>
  <si>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</si>
  <si>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</si>
  <si>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</si>
  <si>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</si>
  <si>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</si>
  <si>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</si>
  <si>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</si>
  <si>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</si>
  <si>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</si>
  <si>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</si>
  <si>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</si>
  <si>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</si>
  <si>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</si>
  <si>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</si>
  <si>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</si>
  <si>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</si>
  <si>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</si>
  <si>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</si>
  <si>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</si>
  <si>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</si>
  <si>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</si>
  <si>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</si>
  <si>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</si>
  <si>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</si>
  <si>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</si>
  <si>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</si>
  <si>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</si>
  <si>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</si>
  <si>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</si>
  <si>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</si>
  <si>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</si>
  <si>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</si>
  <si>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</si>
  <si>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</si>
  <si>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</si>
  <si>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</si>
  <si>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</si>
  <si>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</si>
  <si>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</si>
  <si>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</si>
  <si>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</si>
  <si>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</si>
  <si>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</si>
  <si>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</si>
  <si>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</si>
  <si>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</si>
  <si>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</si>
  <si>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</si>
  <si>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</si>
  <si>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</si>
  <si>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</si>
  <si>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</si>
  <si>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</si>
  <si>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</si>
  <si>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</si>
  <si>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</si>
  <si>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</si>
  <si>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</si>
  <si>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</si>
  <si>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</si>
  <si>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</si>
  <si>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</si>
  <si>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</si>
  <si>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</si>
  <si>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</si>
  <si>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</si>
  <si>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</si>
  <si>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</si>
  <si>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</si>
  <si>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</si>
  <si>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</si>
  <si>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</si>
  <si>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</si>
  <si>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</si>
  <si>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</si>
  <si>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</si>
  <si>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</si>
  <si>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</si>
  <si>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</si>
  <si>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</si>
  <si>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</si>
  <si>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</si>
  <si>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</si>
  <si>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</si>
  <si>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</si>
  <si>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</si>
  <si>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</si>
  <si>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</si>
  <si>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</si>
  <si>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</si>
  <si>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</si>
  <si>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</si>
  <si>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</si>
  <si>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</si>
  <si>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</si>
  <si>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</si>
  <si>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</si>
  <si>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</si>
  <si>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</si>
  <si>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</si>
  <si>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</si>
  <si>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</si>
  <si>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</si>
  <si>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</si>
  <si>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</si>
  <si>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</si>
  <si>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</si>
  <si>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</si>
  <si>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</si>
  <si>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</si>
  <si>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</si>
  <si>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</si>
  <si>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</si>
  <si>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</si>
  <si>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</si>
  <si>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</si>
  <si>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</si>
  <si>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</si>
  <si>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</si>
  <si>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</si>
  <si>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</si>
  <si>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</si>
  <si>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</si>
  <si>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</si>
  <si>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</si>
  <si>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</si>
  <si>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</si>
  <si>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</si>
  <si>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</si>
  <si>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</si>
  <si>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</si>
  <si>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</si>
  <si>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</si>
  <si>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</si>
  <si>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</si>
  <si>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</si>
  <si>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</si>
  <si>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</si>
  <si>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</si>
  <si>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</si>
  <si>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</si>
  <si>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</si>
  <si>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</si>
  <si>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</si>
  <si>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</si>
  <si>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</si>
  <si>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</si>
  <si>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</si>
  <si>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</si>
  <si>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</si>
  <si>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</si>
  <si>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</si>
  <si>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</si>
  <si>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</si>
  <si>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</si>
  <si>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</si>
  <si>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</si>
  <si>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</si>
  <si>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</si>
  <si>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</si>
  <si>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</si>
  <si>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</si>
  <si>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</si>
  <si>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</si>
  <si>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</si>
  <si>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</si>
  <si>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</si>
  <si>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</si>
  <si>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</si>
  <si>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</si>
  <si>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</si>
  <si>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</si>
  <si>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</si>
  <si>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</si>
  <si>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</si>
  <si>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</si>
  <si>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</si>
  <si>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</si>
  <si>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</si>
  <si>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</si>
  <si>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</si>
  <si>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</si>
  <si>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</si>
  <si>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</si>
  <si>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</si>
  <si>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</si>
  <si>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</si>
  <si>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</si>
  <si>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</si>
  <si>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</si>
  <si>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</si>
  <si>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</si>
  <si>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</si>
  <si>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</si>
  <si>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</si>
  <si>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</si>
  <si>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</si>
  <si>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</si>
  <si>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</si>
  <si>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</si>
  <si>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</si>
  <si>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</si>
  <si>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</si>
  <si>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</si>
  <si>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</si>
  <si>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</si>
  <si>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</si>
  <si>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</si>
  <si>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</si>
  <si>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</si>
  <si>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</si>
  <si>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</si>
  <si>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</si>
  <si>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</si>
  <si>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</si>
  <si>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</si>
  <si>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</si>
  <si>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</si>
  <si>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</si>
  <si>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</si>
  <si>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</si>
  <si>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</si>
  <si>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</si>
  <si>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</si>
  <si>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</si>
  <si>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</si>
  <si>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</si>
  <si>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</si>
  <si>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</si>
  <si>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</si>
  <si>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</si>
  <si>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</si>
  <si>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</si>
  <si>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</si>
  <si>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</si>
  <si>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</si>
  <si>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</si>
  <si>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</si>
  <si>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</si>
  <si>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</si>
  <si>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</si>
  <si>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</si>
  <si>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</si>
  <si>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</si>
  <si>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</si>
  <si>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</si>
  <si>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</si>
  <si>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</si>
  <si>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</si>
  <si>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</si>
  <si>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</si>
  <si>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</si>
  <si>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</si>
  <si>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</si>
  <si>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</si>
  <si>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</si>
  <si>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</si>
  <si>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</si>
  <si>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</si>
  <si>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</si>
  <si>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</si>
  <si>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</si>
  <si>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</si>
  <si>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</si>
  <si>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</si>
  <si>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</si>
  <si>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</si>
  <si>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</si>
  <si>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</si>
  <si>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</si>
  <si>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</si>
  <si>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</si>
  <si>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</si>
  <si>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</si>
  <si>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</si>
  <si>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</si>
  <si>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</si>
  <si>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</si>
  <si>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</si>
  <si>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</si>
  <si>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</si>
  <si>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</si>
  <si>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</si>
  <si>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</si>
  <si>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</si>
  <si>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</si>
  <si>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</si>
  <si>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</si>
  <si>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</si>
  <si>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</si>
  <si>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</si>
  <si>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</si>
  <si>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</si>
  <si>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</si>
  <si>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</si>
  <si>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</si>
  <si>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</si>
  <si>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</si>
  <si>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</si>
  <si>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</si>
  <si>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</si>
  <si>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</si>
  <si>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</si>
  <si>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</si>
  <si>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</si>
  <si>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</si>
  <si>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</si>
  <si>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</si>
  <si>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</si>
  <si>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</si>
  <si>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</si>
  <si>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</si>
  <si>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</si>
  <si>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</si>
  <si>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</si>
  <si>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</si>
  <si>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</si>
  <si>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</si>
  <si>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</si>
  <si>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</si>
  <si>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</si>
  <si>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</si>
  <si>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</si>
  <si>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</si>
  <si>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</si>
  <si>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</si>
  <si>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</si>
  <si>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</si>
  <si>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</si>
  <si>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</si>
  <si>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</si>
  <si>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</si>
  <si>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</si>
  <si>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</si>
  <si>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</si>
  <si>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</si>
  <si>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</si>
  <si>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</si>
  <si>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</si>
  <si>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</si>
  <si>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</si>
  <si>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</si>
  <si>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</si>
  <si>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</si>
  <si>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</si>
  <si>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</si>
  <si>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</si>
  <si>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</si>
  <si>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</si>
  <si>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</si>
  <si>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</si>
  <si>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</si>
  <si>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</si>
  <si>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</si>
  <si>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</si>
  <si>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</si>
  <si>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</si>
  <si>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</si>
  <si>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</si>
  <si>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</si>
  <si>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</si>
  <si>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</si>
  <si>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</si>
  <si>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</si>
  <si>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</si>
  <si>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</si>
  <si>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</si>
  <si>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</si>
  <si>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</si>
  <si>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</si>
  <si>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</si>
  <si>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</si>
  <si>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</si>
  <si>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</si>
  <si>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</si>
  <si>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</si>
  <si>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</si>
  <si>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</si>
  <si>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</si>
  <si>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</si>
  <si>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</si>
  <si>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</si>
  <si>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</si>
  <si>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</si>
  <si>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</si>
  <si>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</si>
  <si>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</si>
  <si>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</si>
  <si>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</si>
  <si>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</si>
  <si>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</si>
  <si>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</si>
  <si>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</si>
  <si>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</si>
  <si>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</si>
  <si>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</si>
  <si>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</si>
  <si>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</si>
  <si>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</si>
  <si>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</si>
  <si>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</si>
  <si>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</si>
  <si>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</si>
  <si>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</si>
  <si>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</si>
  <si>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</si>
  <si>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</si>
  <si>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</si>
  <si>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</si>
  <si>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</si>
  <si>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</si>
  <si>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</si>
  <si>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</si>
  <si>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</si>
  <si>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</si>
  <si>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</si>
  <si>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</si>
  <si>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</si>
  <si>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</si>
  <si>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</si>
  <si>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</si>
  <si>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</si>
  <si>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</si>
  <si>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</si>
  <si>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</si>
  <si>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</si>
  <si>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</si>
  <si>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</si>
  <si>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</si>
  <si>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</si>
  <si>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</si>
  <si>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</si>
  <si>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</si>
  <si>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</si>
  <si>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</si>
  <si>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</si>
  <si>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</si>
  <si>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</si>
  <si>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</si>
  <si>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</si>
  <si>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</si>
  <si>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</si>
  <si>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</si>
  <si>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</si>
  <si>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</si>
  <si>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</si>
  <si>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</si>
  <si>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</si>
  <si>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</si>
  <si>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</si>
  <si>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</si>
  <si>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</si>
  <si>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</si>
  <si>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</si>
  <si>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</si>
  <si>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</si>
  <si>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</si>
  <si>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</si>
  <si>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</si>
  <si>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</si>
  <si>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</si>
  <si>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</si>
  <si>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</si>
  <si>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</si>
  <si>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</si>
  <si>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</si>
  <si>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</si>
  <si>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</si>
  <si>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</si>
  <si>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</si>
  <si>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</si>
  <si>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</si>
  <si>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</si>
  <si>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</si>
  <si>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</si>
  <si>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</si>
  <si>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</si>
  <si>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</si>
  <si>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</si>
  <si>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</si>
  <si>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</si>
  <si>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</si>
  <si>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</si>
  <si>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</si>
  <si>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</si>
  <si>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</si>
  <si>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</si>
  <si>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</si>
  <si>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</si>
  <si>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</si>
  <si>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</si>
  <si>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</si>
  <si>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</si>
  <si>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</si>
  <si>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</si>
  <si>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</si>
  <si>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</si>
  <si>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</si>
  <si>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</si>
  <si>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</si>
  <si>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</si>
  <si>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</si>
  <si>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</si>
  <si>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</si>
  <si>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</si>
  <si>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</si>
  <si>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</si>
  <si>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</si>
  <si>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</si>
  <si>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</si>
  <si>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</si>
  <si>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</si>
  <si>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</si>
  <si>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</si>
  <si>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</si>
  <si>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</si>
  <si>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</si>
  <si>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</si>
  <si>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</si>
  <si>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</si>
  <si>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</si>
  <si>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</si>
  <si>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</si>
  <si>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</si>
  <si>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</si>
  <si>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</si>
  <si>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</si>
  <si>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</si>
  <si>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</si>
  <si>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</si>
  <si>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</si>
  <si>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</si>
  <si>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</si>
  <si>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</si>
  <si>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</si>
  <si>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</si>
  <si>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</si>
  <si>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</si>
  <si>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</si>
  <si>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</si>
  <si>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</si>
  <si>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</si>
  <si>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</si>
  <si>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</si>
  <si>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</si>
  <si>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</si>
  <si>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</si>
  <si>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</si>
  <si>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</si>
  <si>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</si>
  <si>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</si>
  <si>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</si>
  <si>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</si>
  <si>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</si>
  <si>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</si>
  <si>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</si>
  <si>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</si>
  <si>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</si>
  <si>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</si>
  <si>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</si>
  <si>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</si>
  <si>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</si>
  <si>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</si>
  <si>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</si>
  <si>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</si>
  <si>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</si>
  <si>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</si>
  <si>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</si>
  <si>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</si>
  <si>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</si>
  <si>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</si>
  <si>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</si>
  <si>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</si>
  <si>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</si>
  <si>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</si>
  <si>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</si>
  <si>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</si>
  <si>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</si>
  <si>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</si>
  <si>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</si>
  <si>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</si>
  <si>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</si>
  <si>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</si>
  <si>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</si>
  <si>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</si>
  <si>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</si>
  <si>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</si>
  <si>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</si>
  <si>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</si>
  <si>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</si>
  <si>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</si>
  <si>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</si>
  <si>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</si>
  <si>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</si>
  <si>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</si>
  <si>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</si>
  <si>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</si>
  <si>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</si>
  <si>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</si>
  <si>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</si>
  <si>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</si>
  <si>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</si>
  <si>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</si>
  <si>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</si>
  <si>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</si>
  <si>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</si>
  <si>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</si>
  <si>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</si>
  <si>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</si>
  <si>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</si>
  <si>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</si>
  <si>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</si>
  <si>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</si>
  <si>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</si>
  <si>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</si>
  <si>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</si>
  <si>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</si>
  <si>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</si>
  <si>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</si>
  <si>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</si>
  <si>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</si>
  <si>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</si>
  <si>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</si>
  <si>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</si>
  <si>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</si>
  <si>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</si>
  <si>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</si>
  <si>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</si>
  <si>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</si>
  <si>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</si>
  <si>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</si>
  <si>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</si>
  <si>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</si>
  <si>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</si>
  <si>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</si>
  <si>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</si>
  <si>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</si>
  <si>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</si>
  <si>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</si>
  <si>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</si>
  <si>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</si>
  <si>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</si>
  <si>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</si>
  <si>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</si>
  <si>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</si>
  <si>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</si>
  <si>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</si>
  <si>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</si>
  <si>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</si>
  <si>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</si>
  <si>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</si>
  <si>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</si>
  <si>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</si>
  <si>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</si>
  <si>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</si>
  <si>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</si>
  <si>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</si>
  <si>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</si>
  <si>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</si>
  <si>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</si>
  <si>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</si>
  <si>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</si>
  <si>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</si>
  <si>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</si>
  <si>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</si>
  <si>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</si>
  <si>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</si>
  <si>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</si>
  <si>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</si>
  <si>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</si>
  <si>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</si>
  <si>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</si>
  <si>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</si>
  <si>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</si>
  <si>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</si>
  <si>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</si>
  <si>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</si>
  <si>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</si>
  <si>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</si>
  <si>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</si>
  <si>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</si>
  <si>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</si>
  <si>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</si>
  <si>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</si>
  <si>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</si>
  <si>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</si>
  <si>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</si>
  <si>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</si>
  <si>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</si>
  <si>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</si>
  <si>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</si>
  <si>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</si>
  <si>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</si>
  <si>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</si>
  <si>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</si>
  <si>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</si>
  <si>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</si>
  <si>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</si>
  <si>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</si>
  <si>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</si>
  <si>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</si>
  <si>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</si>
  <si>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</si>
  <si>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</si>
  <si>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</si>
  <si>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</si>
  <si>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</si>
  <si>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</si>
  <si>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</si>
  <si>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</si>
  <si>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</si>
  <si>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</si>
  <si>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</si>
  <si>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</si>
  <si>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</si>
  <si>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</si>
  <si>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</si>
  <si>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</si>
  <si>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</si>
  <si>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</si>
  <si>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</si>
  <si>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</si>
  <si>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</si>
  <si>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</si>
  <si>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</si>
  <si>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</si>
  <si>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</si>
  <si>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</si>
  <si>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</si>
  <si>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</si>
  <si>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</si>
  <si>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</si>
  <si>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</si>
  <si>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</si>
  <si>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</si>
  <si>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</si>
  <si>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</si>
  <si>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</si>
  <si>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</si>
  <si>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</si>
  <si>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</si>
  <si>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</si>
  <si>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</si>
  <si>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</si>
  <si>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</si>
  <si>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</si>
  <si>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</si>
  <si>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</si>
  <si>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</si>
  <si>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</si>
  <si>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</si>
  <si>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</si>
  <si>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</si>
  <si>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</si>
  <si>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</si>
  <si>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</si>
  <si>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</si>
  <si>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</si>
  <si>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</si>
  <si>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</si>
  <si>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</si>
  <si>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</si>
  <si>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</si>
  <si>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</si>
  <si>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</si>
  <si>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</si>
  <si>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</si>
  <si>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</si>
  <si>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</si>
  <si>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</si>
  <si>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</si>
  <si>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</si>
  <si>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</si>
  <si>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</si>
  <si>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</si>
  <si>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</si>
  <si>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</si>
  <si>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</si>
  <si>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</si>
  <si>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</si>
  <si>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</si>
  <si>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</si>
  <si>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</si>
  <si>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</si>
  <si>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</si>
  <si>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</si>
  <si>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</si>
  <si>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</si>
  <si>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</si>
  <si>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</si>
  <si>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</si>
  <si>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</si>
  <si>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</si>
  <si>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</si>
  <si>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</si>
  <si>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</si>
  <si>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</si>
  <si>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</si>
  <si>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</si>
  <si>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</si>
  <si>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</si>
  <si>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</si>
  <si>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</si>
  <si>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</si>
  <si>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</si>
  <si>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</si>
  <si>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</si>
  <si>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</si>
  <si>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</si>
  <si>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</si>
  <si>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</si>
  <si>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</si>
  <si>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</si>
  <si>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</si>
  <si>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</si>
  <si>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</si>
  <si>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</si>
  <si>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</si>
  <si>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</si>
  <si>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</si>
  <si>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</si>
  <si>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</si>
  <si>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</si>
  <si>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</si>
  <si>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</si>
  <si>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</si>
  <si>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</si>
  <si>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</si>
  <si>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</si>
  <si>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</si>
  <si>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</si>
  <si>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</si>
  <si>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</si>
  <si>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</si>
  <si>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</si>
  <si>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</si>
  <si>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</si>
  <si>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</si>
  <si>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</si>
  <si>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</si>
  <si>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</si>
  <si>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</si>
  <si>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</si>
  <si>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</si>
  <si>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</si>
  <si>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</si>
  <si>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</si>
  <si>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</si>
  <si>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</si>
  <si>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</si>
  <si>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</si>
  <si>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</si>
  <si>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</si>
  <si>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</si>
  <si>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</si>
  <si>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</si>
  <si>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</si>
  <si>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</si>
  <si>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</si>
  <si>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</si>
  <si>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</si>
  <si>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</si>
  <si>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</si>
  <si>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</si>
  <si>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</si>
  <si>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</si>
  <si>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</si>
  <si>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</si>
  <si>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</si>
  <si>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</si>
  <si>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</si>
  <si>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</si>
  <si>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</si>
  <si>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</si>
  <si>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</si>
  <si>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</si>
  <si>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</si>
  <si>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</si>
  <si>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</si>
  <si>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</si>
  <si>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</si>
  <si>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</si>
  <si>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</si>
  <si>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</si>
  <si>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</si>
  <si>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</si>
  <si>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</si>
  <si>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</si>
  <si>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</si>
  <si>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</si>
  <si>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</si>
  <si>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</si>
  <si>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</si>
  <si>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</si>
  <si>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</si>
  <si>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</si>
  <si>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</si>
  <si>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</si>
  <si>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</si>
  <si>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</si>
  <si>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</si>
  <si>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</si>
  <si>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</si>
  <si>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</si>
  <si>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</si>
  <si>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</si>
  <si>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</si>
  <si>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</si>
  <si>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</si>
  <si>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</si>
  <si>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</si>
  <si>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</si>
  <si>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</si>
  <si>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</si>
  <si>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</si>
  <si>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</si>
  <si>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</si>
  <si>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</si>
  <si>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</si>
  <si>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</si>
  <si>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</si>
  <si>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</si>
  <si>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</si>
  <si>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</si>
  <si>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</si>
  <si>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</si>
  <si>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</si>
  <si>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</si>
  <si>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</si>
  <si>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</si>
  <si>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</si>
  <si>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</si>
  <si>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</si>
  <si>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</si>
  <si>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</si>
  <si>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</si>
  <si>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</si>
  <si>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</si>
  <si>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</si>
  <si>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</si>
  <si>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</si>
  <si>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</si>
  <si>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</si>
  <si>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</si>
  <si>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</si>
  <si>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</si>
  <si>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</si>
  <si>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</si>
  <si>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</si>
  <si>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</si>
  <si>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</si>
  <si>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</si>
  <si>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</si>
  <si>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</si>
  <si>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</si>
  <si>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</si>
  <si>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</si>
  <si>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</si>
  <si>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</si>
  <si>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</si>
  <si>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</si>
  <si>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</si>
  <si>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</si>
  <si>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</si>
  <si>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</si>
  <si>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</si>
  <si>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</si>
  <si>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</si>
  <si>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</si>
  <si>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</si>
  <si>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</si>
  <si>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</si>
  <si>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</si>
  <si>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</si>
  <si>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</si>
  <si>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</si>
  <si>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</si>
  <si>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</si>
  <si>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</si>
  <si>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</si>
  <si>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</si>
  <si>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</si>
  <si>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</si>
  <si>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</si>
  <si>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</si>
  <si>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</si>
  <si>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</si>
  <si>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</si>
  <si>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</si>
  <si>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</si>
  <si>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</si>
  <si>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</si>
  <si>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</si>
  <si>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</si>
  <si>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</si>
  <si>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</si>
  <si>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</si>
  <si>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</si>
  <si>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</si>
  <si>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</si>
  <si>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</si>
  <si>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</si>
  <si>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</si>
  <si>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</si>
  <si>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</si>
  <si>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</si>
  <si>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</si>
  <si>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</si>
  <si>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</si>
  <si>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</si>
  <si>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</si>
  <si>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</si>
  <si>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</si>
  <si>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</si>
  <si>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</si>
  <si>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</si>
  <si>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</si>
  <si>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</si>
  <si>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</si>
  <si>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</si>
  <si>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</si>
  <si>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</si>
  <si>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</si>
  <si>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</si>
  <si>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</si>
  <si>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</si>
  <si>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</si>
  <si>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</si>
  <si>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</si>
  <si>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</si>
  <si>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</si>
  <si>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</si>
  <si>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</si>
  <si>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</si>
  <si>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</si>
  <si>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</si>
  <si>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</si>
  <si>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</si>
  <si>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</si>
  <si>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</si>
  <si>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</si>
  <si>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</si>
  <si>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</si>
  <si>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</si>
  <si>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</si>
  <si>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</si>
  <si>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</si>
  <si>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</si>
  <si>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</si>
  <si>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</si>
  <si>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</si>
  <si>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</si>
  <si>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</si>
  <si>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</si>
  <si>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</si>
  <si>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</si>
  <si>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</si>
  <si>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</si>
  <si>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</si>
  <si>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</si>
  <si>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</si>
  <si>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</si>
  <si>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</si>
  <si>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</si>
  <si>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</si>
  <si>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</si>
  <si>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</si>
  <si>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</si>
  <si>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</si>
  <si>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</si>
  <si>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</si>
  <si>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</si>
  <si>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</si>
  <si>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</si>
  <si>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</si>
  <si>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</si>
  <si>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</si>
  <si>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</si>
  <si>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</si>
  <si>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</si>
  <si>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</si>
  <si>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</si>
  <si>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</si>
  <si>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</si>
  <si>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</si>
  <si>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</si>
  <si>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</si>
  <si>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</si>
  <si>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</si>
  <si>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</si>
  <si>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</si>
  <si>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</si>
  <si>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</si>
  <si>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</si>
  <si>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</si>
  <si>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</si>
  <si>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</si>
  <si>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</si>
  <si>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</si>
  <si>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</si>
  <si>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</si>
  <si>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</si>
  <si>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</si>
  <si>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</si>
  <si>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</si>
  <si>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</si>
  <si>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</si>
  <si>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</si>
  <si>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</si>
  <si>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</si>
  <si>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</si>
  <si>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</si>
  <si>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</si>
  <si>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</si>
  <si>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</si>
  <si>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</si>
  <si>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</si>
  <si>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</si>
  <si>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</si>
  <si>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</si>
  <si>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</si>
  <si>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</si>
  <si>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</si>
  <si>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</si>
  <si>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</si>
  <si>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</si>
  <si>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</si>
  <si>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</si>
  <si>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</si>
  <si>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</si>
  <si>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</si>
  <si>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</si>
  <si>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</si>
  <si>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</si>
  <si>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</si>
  <si>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</si>
  <si>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</si>
  <si>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</si>
  <si>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</si>
  <si>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</si>
  <si>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</si>
  <si>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</si>
  <si>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</si>
  <si>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</si>
  <si>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</si>
  <si>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</si>
  <si>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</si>
  <si>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</si>
  <si>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</si>
  <si>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</si>
  <si>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</si>
  <si>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</si>
  <si>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</si>
  <si>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</si>
  <si>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</si>
  <si>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</si>
  <si>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</si>
  <si>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</si>
  <si>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</si>
  <si>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</si>
  <si>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</si>
  <si>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</si>
  <si>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</si>
  <si>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</si>
  <si>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</si>
  <si>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</si>
  <si>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</si>
  <si>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</si>
  <si>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</si>
  <si>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</si>
  <si>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</si>
  <si>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</si>
  <si>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</si>
  <si>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</si>
  <si>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</si>
  <si>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</si>
  <si>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</si>
  <si>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</si>
  <si>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</si>
  <si>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</si>
  <si>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</si>
  <si>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</si>
  <si>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</si>
  <si>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</si>
  <si>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</si>
  <si>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</si>
  <si>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</si>
  <si>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</si>
  <si>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</si>
  <si>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</si>
  <si>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</si>
  <si>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</si>
  <si>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</si>
  <si>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</si>
  <si>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</si>
  <si>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</si>
  <si>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</si>
  <si>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</si>
  <si>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</si>
  <si>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</si>
  <si>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</si>
  <si>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</si>
  <si>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</si>
  <si>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</si>
  <si>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</si>
  <si>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</si>
  <si>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</si>
  <si>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</si>
  <si>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</si>
  <si>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</si>
  <si>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</si>
  <si>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</si>
  <si>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</si>
  <si>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</si>
  <si>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</si>
  <si>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</si>
  <si>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</si>
  <si>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</si>
  <si>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</si>
  <si>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</si>
  <si>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</si>
  <si>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</si>
  <si>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</si>
  <si>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</si>
  <si>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</si>
  <si>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</si>
  <si>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</si>
  <si>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</si>
  <si>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</si>
  <si>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</si>
  <si>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</si>
  <si>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</si>
  <si>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</si>
  <si>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</si>
  <si>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</si>
  <si>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</si>
  <si>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</si>
  <si>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</si>
  <si>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</si>
  <si>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</si>
  <si>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</si>
  <si>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</si>
  <si>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</si>
  <si>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</si>
  <si>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</si>
  <si>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</si>
  <si>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</si>
  <si>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</si>
  <si>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</si>
  <si>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</si>
  <si>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</si>
  <si>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</si>
  <si>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</si>
  <si>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</si>
  <si>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</si>
  <si>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</si>
  <si>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</si>
  <si>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</si>
  <si>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</si>
  <si>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</si>
  <si>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</si>
  <si>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</si>
  <si>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</si>
  <si>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</si>
  <si>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</si>
  <si>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</si>
  <si>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</si>
  <si>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</si>
  <si>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</si>
  <si>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</si>
  <si>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</si>
  <si>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</si>
  <si>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</si>
  <si>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</si>
  <si>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</si>
  <si>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</si>
  <si>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</si>
  <si>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</si>
  <si>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</si>
  <si>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</si>
  <si>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</si>
  <si>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</si>
  <si>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</si>
  <si>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</si>
  <si>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</si>
  <si>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</si>
  <si>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</si>
  <si>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</si>
  <si>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</si>
  <si>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</si>
  <si>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</si>
  <si>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</si>
  <si>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</si>
  <si>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</si>
  <si>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</si>
  <si>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</si>
  <si>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</si>
  <si>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</si>
  <si>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</si>
  <si>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</si>
  <si>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</si>
  <si>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</si>
  <si>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</si>
  <si>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</si>
  <si>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</si>
  <si>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</si>
  <si>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</si>
  <si>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</si>
  <si>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</si>
  <si>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</si>
  <si>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</si>
  <si>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</si>
  <si>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</si>
  <si>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</si>
  <si>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</si>
  <si>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</si>
  <si>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</si>
  <si>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</si>
  <si>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</si>
  <si>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</si>
  <si>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</si>
  <si>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</si>
  <si>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</si>
  <si>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</si>
  <si>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</si>
  <si>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</si>
  <si>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</si>
  <si>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</si>
  <si>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</si>
  <si>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</si>
  <si>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</si>
  <si>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</si>
  <si>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</si>
  <si>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</si>
  <si>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</si>
  <si>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</si>
  <si>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</si>
  <si>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</si>
  <si>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</si>
  <si>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</si>
  <si>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</si>
  <si>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</si>
  <si>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</si>
  <si>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</si>
  <si>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</si>
  <si>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</si>
  <si>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</si>
  <si>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</si>
  <si>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</si>
  <si>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</si>
  <si>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</si>
  <si>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</si>
  <si>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</si>
  <si>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</si>
  <si>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</si>
  <si>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</si>
  <si>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</si>
  <si>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</si>
  <si>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</si>
  <si>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</si>
  <si>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</si>
  <si>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</si>
  <si>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</si>
  <si>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</si>
  <si>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</si>
  <si>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</si>
  <si>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</si>
  <si>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</si>
  <si>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</si>
  <si>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</si>
  <si>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</si>
  <si>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</si>
  <si>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</si>
  <si>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</si>
  <si>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</si>
  <si>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</si>
  <si>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</si>
  <si>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</si>
  <si>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</si>
  <si>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</si>
  <si>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</si>
  <si>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</si>
  <si>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</si>
  <si>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</si>
  <si>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</si>
  <si>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</si>
  <si>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</si>
  <si>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</si>
  <si>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</si>
  <si>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</si>
  <si>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</si>
  <si>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</si>
  <si>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</si>
  <si>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</si>
  <si>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</si>
  <si>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</si>
  <si>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</si>
  <si>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</si>
  <si>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</si>
  <si>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</si>
  <si>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</si>
  <si>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</si>
  <si>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</si>
  <si>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</si>
  <si>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</si>
  <si>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</si>
  <si>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</si>
  <si>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</si>
  <si>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</si>
  <si>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</si>
  <si>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</si>
  <si>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</si>
  <si>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</si>
  <si>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</si>
  <si>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</si>
  <si>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</si>
  <si>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</si>
  <si>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</si>
  <si>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</si>
  <si>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</si>
  <si>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</si>
  <si>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</si>
  <si>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</si>
  <si>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</si>
  <si>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</si>
  <si>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</si>
  <si>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</si>
  <si>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</si>
  <si>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</si>
  <si>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</si>
  <si>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</si>
  <si>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</si>
  <si>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</si>
  <si>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</si>
  <si>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</si>
  <si>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</si>
  <si>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</si>
  <si>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</si>
  <si>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</si>
  <si>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</si>
  <si>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</si>
  <si>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</si>
  <si>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</si>
  <si>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</si>
  <si>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</si>
  <si>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</si>
  <si>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</si>
  <si>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</si>
  <si>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</si>
  <si>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</si>
  <si>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</si>
  <si>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</si>
  <si>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</si>
  <si>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</si>
  <si>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</si>
  <si>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</si>
  <si>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</si>
  <si>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</si>
  <si>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</si>
  <si>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</si>
  <si>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</si>
  <si>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</si>
  <si>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</si>
  <si>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</si>
  <si>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</si>
  <si>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</si>
  <si>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</si>
  <si>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</si>
  <si>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</si>
  <si>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</si>
  <si>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</si>
  <si>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</si>
  <si>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</si>
  <si>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</si>
  <si>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</si>
  <si>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</si>
  <si>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</si>
  <si>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</si>
  <si>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</si>
  <si>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</si>
  <si>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</si>
  <si>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</si>
  <si>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</si>
  <si>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</si>
  <si>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</si>
  <si>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</si>
  <si>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</si>
  <si>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</si>
  <si>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</si>
  <si>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</si>
  <si>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</si>
  <si>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</si>
  <si>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</si>
  <si>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</si>
  <si>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</si>
  <si>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</si>
  <si>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</si>
  <si>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</si>
  <si>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</si>
  <si>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</si>
  <si>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</si>
  <si>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</si>
  <si>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</si>
  <si>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</si>
  <si>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</si>
  <si>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抵押</t>
  </si>
  <si>
    <t>国有土地成本逼近法测算过程（工业类用地）</t>
    <phoneticPr fontId="14" type="noConversion"/>
  </si>
  <si>
    <t>序号</t>
    <phoneticPr fontId="228" type="noConversion"/>
  </si>
  <si>
    <t>数值</t>
    <phoneticPr fontId="228" type="noConversion"/>
  </si>
  <si>
    <t>单位</t>
    <phoneticPr fontId="228" type="noConversion"/>
  </si>
  <si>
    <t>取值标准</t>
    <phoneticPr fontId="228" type="noConversion"/>
  </si>
  <si>
    <t>数量</t>
    <phoneticPr fontId="228" type="noConversion"/>
  </si>
  <si>
    <t>价格</t>
    <phoneticPr fontId="228" type="noConversion"/>
  </si>
  <si>
    <t>总价（万元）</t>
    <phoneticPr fontId="228" type="noConversion"/>
  </si>
  <si>
    <t>单价（元/平方米）</t>
    <phoneticPr fontId="228" type="noConversion"/>
  </si>
  <si>
    <t>测算依据及相关说明</t>
    <phoneticPr fontId="228" type="noConversion"/>
  </si>
  <si>
    <t>=（1）+（2）+（3）+（4），折算至全区征收土地总面积2536623.77亩，折合46.72万元/亩。</t>
    <phoneticPr fontId="228" type="noConversion"/>
  </si>
  <si>
    <t>征地费用</t>
    <phoneticPr fontId="3" type="noConversion"/>
  </si>
  <si>
    <t>①</t>
    <phoneticPr fontId="228" type="noConversion"/>
  </si>
  <si>
    <t>②</t>
  </si>
  <si>
    <t>土地综合地价补偿费</t>
    <phoneticPr fontId="228" type="noConversion"/>
  </si>
  <si>
    <t>按时签约奖励</t>
    <phoneticPr fontId="228" type="noConversion"/>
  </si>
  <si>
    <t>耕地上青苗及附着物费用</t>
    <phoneticPr fontId="228" type="noConversion"/>
  </si>
  <si>
    <t>③</t>
    <phoneticPr fontId="228" type="noConversion"/>
  </si>
  <si>
    <t>青苗补偿费</t>
    <phoneticPr fontId="228" type="noConversion"/>
  </si>
  <si>
    <t>坟墓迁移及骨灰安放费</t>
    <phoneticPr fontId="228" type="noConversion"/>
  </si>
  <si>
    <t>水利设施补偿费</t>
    <phoneticPr fontId="228" type="noConversion"/>
  </si>
  <si>
    <t>（3）</t>
    <phoneticPr fontId="228" type="noConversion"/>
  </si>
  <si>
    <t>房屋拆迁费用</t>
    <phoneticPr fontId="228" type="noConversion"/>
  </si>
  <si>
    <t>①</t>
    <phoneticPr fontId="228" type="noConversion"/>
  </si>
  <si>
    <t>②</t>
    <phoneticPr fontId="228" type="noConversion"/>
  </si>
  <si>
    <t>宅基地上房屋及附属物补偿费</t>
    <phoneticPr fontId="228" type="noConversion"/>
  </si>
  <si>
    <t>按时腾退房屋奖励</t>
    <phoneticPr fontId="228" type="noConversion"/>
  </si>
  <si>
    <t>宅基地综合补助</t>
    <phoneticPr fontId="228" type="noConversion"/>
  </si>
  <si>
    <t>商住混用补助</t>
    <phoneticPr fontId="228" type="noConversion"/>
  </si>
  <si>
    <t>房屋安置费</t>
    <phoneticPr fontId="228" type="noConversion"/>
  </si>
  <si>
    <t>村办公共地上房屋及附属物补偿费</t>
    <phoneticPr fontId="228" type="noConversion"/>
  </si>
  <si>
    <t>企业拆迁补偿</t>
    <phoneticPr fontId="228" type="noConversion"/>
  </si>
  <si>
    <t>（4）</t>
    <phoneticPr fontId="228" type="noConversion"/>
  </si>
  <si>
    <t>社会保障费用</t>
    <phoneticPr fontId="228" type="noConversion"/>
  </si>
  <si>
    <t>参保补助</t>
    <phoneticPr fontId="228" type="noConversion"/>
  </si>
  <si>
    <t>口粮补助</t>
    <phoneticPr fontId="228" type="noConversion"/>
  </si>
  <si>
    <t>安置对象周转过度</t>
    <phoneticPr fontId="228" type="noConversion"/>
  </si>
  <si>
    <t>2</t>
    <phoneticPr fontId="228" type="noConversion"/>
  </si>
  <si>
    <t>土地取得费（Ea）</t>
    <phoneticPr fontId="14" type="noConversion"/>
  </si>
  <si>
    <t>税费（T）</t>
    <phoneticPr fontId="14" type="noConversion"/>
  </si>
  <si>
    <t>耕地占用税</t>
    <phoneticPr fontId="228" type="noConversion"/>
  </si>
  <si>
    <t>森林植被恢复费</t>
    <phoneticPr fontId="228" type="noConversion"/>
  </si>
  <si>
    <t>补充耕地指标调剂费</t>
    <phoneticPr fontId="228" type="noConversion"/>
  </si>
  <si>
    <t>新增建设用地有偿使用费</t>
    <phoneticPr fontId="228" type="noConversion"/>
  </si>
  <si>
    <t>土地开发费（Ed）</t>
    <phoneticPr fontId="14" type="noConversion"/>
  </si>
  <si>
    <t>3</t>
    <phoneticPr fontId="228" type="noConversion"/>
  </si>
  <si>
    <t>4</t>
    <phoneticPr fontId="228" type="noConversion"/>
  </si>
  <si>
    <t>利息（R1）</t>
    <phoneticPr fontId="14" type="noConversion"/>
  </si>
  <si>
    <t>5</t>
    <phoneticPr fontId="228" type="noConversion"/>
  </si>
  <si>
    <t>利润（R2）</t>
    <phoneticPr fontId="14" type="noConversion"/>
  </si>
  <si>
    <t>6</t>
    <phoneticPr fontId="228" type="noConversion"/>
  </si>
  <si>
    <t>土地成本价格（Pe）</t>
    <phoneticPr fontId="14" type="noConversion"/>
  </si>
  <si>
    <t>7</t>
    <phoneticPr fontId="228" type="noConversion"/>
  </si>
  <si>
    <t>土地增值收益（R3）</t>
    <phoneticPr fontId="14" type="noConversion"/>
  </si>
  <si>
    <t>8</t>
    <phoneticPr fontId="228" type="noConversion"/>
  </si>
  <si>
    <t>年期修正</t>
    <phoneticPr fontId="14" type="noConversion"/>
  </si>
  <si>
    <t>9</t>
    <phoneticPr fontId="228" type="noConversion"/>
  </si>
  <si>
    <t>区位修正</t>
    <phoneticPr fontId="14" type="noConversion"/>
  </si>
  <si>
    <t>10</t>
    <phoneticPr fontId="228" type="noConversion"/>
  </si>
  <si>
    <t>土地价格（P）</t>
    <phoneticPr fontId="14" type="noConversion"/>
  </si>
  <si>
    <t>——</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</si>
  <si>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），折算至全区征收土地总面积</t>
    </r>
    <r>
      <rPr>
        <b/>
        <sz val="10"/>
        <rFont val="Arial"/>
        <family val="2"/>
      </rPr>
      <t>2536623.77</t>
    </r>
    <r>
      <rPr>
        <b/>
        <sz val="10"/>
        <rFont val="宋体"/>
        <family val="3"/>
        <charset val="134"/>
      </rPr>
      <t>亩，折合</t>
    </r>
    <r>
      <rPr>
        <b/>
        <sz val="10"/>
        <rFont val="Arial"/>
        <family val="2"/>
      </rPr>
      <t>15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</si>
  <si>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万元</t>
    </r>
    <r>
      <rPr>
        <b/>
        <sz val="10"/>
        <rFont val="Arial"/>
        <family val="2"/>
      </rPr>
      <t>/</t>
    </r>
    <r>
      <rPr>
        <b/>
        <sz val="10"/>
        <rFont val="宋体"/>
        <family val="3"/>
        <charset val="134"/>
      </rPr>
      <t>亩</t>
    </r>
    <phoneticPr fontId="228" type="noConversion"/>
  </si>
  <si>
    <t>亩</t>
    <phoneticPr fontId="228" type="noConversion"/>
  </si>
  <si>
    <t>按征地区片价12万元/亩测算。
补偿数量依据全区征收土地面积2536623.77亩测算。
数据来源于《全区土地征收基本情况表》。</t>
    <phoneticPr fontId="228" type="noConversion"/>
  </si>
  <si>
    <r>
      <rPr>
        <b/>
        <sz val="10"/>
        <rFont val="宋体"/>
        <family val="3"/>
        <charset val="134"/>
      </rPr>
      <t>每亩给予村集体</t>
    </r>
    <r>
      <rPr>
        <b/>
        <sz val="10"/>
        <rFont val="Arial"/>
        <family val="2"/>
      </rPr>
      <t>3</t>
    </r>
    <r>
      <rPr>
        <b/>
        <sz val="10"/>
        <rFont val="宋体"/>
        <family val="3"/>
        <charset val="134"/>
      </rPr>
      <t>万元土地按时征收奖。
补偿数量依据全区征收土地面积</t>
    </r>
    <r>
      <rPr>
        <b/>
        <sz val="10"/>
        <rFont val="Arial"/>
        <family val="2"/>
      </rPr>
      <t>2536623.77</t>
    </r>
    <r>
      <rPr>
        <b/>
        <sz val="10"/>
        <rFont val="宋体"/>
        <family val="3"/>
        <charset val="134"/>
      </rPr>
      <t>亩测算。
数据来源于《全区土地征收基本情况表》。</t>
    </r>
    <phoneticPr fontId="228" type="noConversion"/>
  </si>
  <si>
    <t>①</t>
    <phoneticPr fontId="228" type="noConversion"/>
  </si>
  <si>
    <t>②</t>
    <phoneticPr fontId="228" type="noConversion"/>
  </si>
  <si>
    <t>③</t>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</si>
  <si>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③，折算至全区征收土地总面积</t>
    </r>
    <r>
      <rPr>
        <b/>
        <sz val="10"/>
        <rFont val="Arial"/>
        <family val="2"/>
      </rPr>
      <t>2536623.77</t>
    </r>
    <r>
      <rPr>
        <b/>
        <sz val="10"/>
        <rFont val="宋体"/>
        <family val="3"/>
        <charset val="134"/>
      </rPr>
      <t>亩，折合</t>
    </r>
    <r>
      <rPr>
        <b/>
        <sz val="10"/>
        <rFont val="Arial"/>
        <family val="2"/>
      </rPr>
      <t>0.24</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</si>
  <si>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亩</t>
    </r>
    <phoneticPr fontId="228" type="noConversion"/>
  </si>
  <si>
    <r>
      <rPr>
        <b/>
        <sz val="10"/>
        <rFont val="宋体"/>
        <family val="3"/>
        <charset val="134"/>
      </rPr>
      <t>种植大田作物（小麦、玉米等）的农田按</t>
    </r>
    <r>
      <rPr>
        <b/>
        <sz val="10"/>
        <rFont val="Arial"/>
        <family val="2"/>
      </rPr>
      <t>1500</t>
    </r>
    <r>
      <rPr>
        <b/>
        <sz val="10"/>
        <rFont val="宋体"/>
        <family val="3"/>
        <charset val="134"/>
      </rPr>
      <t>元</t>
    </r>
    <r>
      <rPr>
        <b/>
        <sz val="10"/>
        <rFont val="Arial"/>
        <family val="2"/>
      </rPr>
      <t>/</t>
    </r>
    <r>
      <rPr>
        <b/>
        <sz val="10"/>
        <rFont val="宋体"/>
        <family val="3"/>
        <charset val="134"/>
      </rPr>
      <t>亩的标准给予青苗补偿。
根据榕东片区现状地类测算，耕地面积占土地总面积的</t>
    </r>
    <r>
      <rPr>
        <b/>
        <sz val="10"/>
        <rFont val="Arial"/>
        <family val="2"/>
      </rPr>
      <t>69.5%</t>
    </r>
    <r>
      <rPr>
        <b/>
        <sz val="10"/>
        <rFont val="宋体"/>
        <family val="3"/>
        <charset val="134"/>
      </rPr>
      <t>，本次测算耕地面积采用土地总面积乘以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</si>
  <si>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座</t>
    </r>
    <phoneticPr fontId="228" type="noConversion"/>
  </si>
  <si>
    <t>座</t>
    <phoneticPr fontId="228" type="noConversion"/>
  </si>
  <si>
    <r>
      <rPr>
        <b/>
        <sz val="10"/>
        <rFont val="宋体"/>
        <family val="3"/>
        <charset val="134"/>
      </rPr>
      <t>坟墓迁移按照一墓一棺</t>
    </r>
    <r>
      <rPr>
        <b/>
        <sz val="10"/>
        <rFont val="Arial"/>
        <family val="2"/>
      </rPr>
      <t>3000</t>
    </r>
    <r>
      <rPr>
        <b/>
        <sz val="10"/>
        <rFont val="宋体"/>
        <family val="3"/>
        <charset val="134"/>
      </rPr>
      <t>元、一墓双棺</t>
    </r>
    <r>
      <rPr>
        <b/>
        <sz val="10"/>
        <rFont val="Arial"/>
        <family val="2"/>
      </rPr>
      <t>4000</t>
    </r>
    <r>
      <rPr>
        <b/>
        <sz val="10"/>
        <rFont val="宋体"/>
        <family val="3"/>
        <charset val="134"/>
      </rPr>
      <t>元、一墓多棺</t>
    </r>
    <r>
      <rPr>
        <b/>
        <sz val="10"/>
        <rFont val="Arial"/>
        <family val="2"/>
      </rPr>
      <t>5000</t>
    </r>
    <r>
      <rPr>
        <b/>
        <sz val="10"/>
        <rFont val="宋体"/>
        <family val="3"/>
        <charset val="134"/>
      </rPr>
      <t>元的标准，给予一次性补助。
坟墓数量共计</t>
    </r>
    <r>
      <rPr>
        <b/>
        <sz val="10"/>
        <rFont val="Arial"/>
        <family val="2"/>
      </rPr>
      <t>515916</t>
    </r>
    <r>
      <rPr>
        <b/>
        <sz val="10"/>
        <rFont val="宋体"/>
        <family val="3"/>
        <charset val="134"/>
      </rPr>
      <t>座，数据来源于《全区土地征收基本情况表》
补偿标准按照一墓一棺</t>
    </r>
    <r>
      <rPr>
        <b/>
        <sz val="10"/>
        <rFont val="Arial"/>
        <family val="2"/>
      </rPr>
      <t>3000</t>
    </r>
    <r>
      <rPr>
        <b/>
        <sz val="10"/>
        <rFont val="宋体"/>
        <family val="3"/>
        <charset val="134"/>
      </rPr>
      <t>元</t>
    </r>
    <r>
      <rPr>
        <b/>
        <sz val="10"/>
        <rFont val="Arial"/>
        <family val="2"/>
      </rPr>
      <t>/</t>
    </r>
    <r>
      <rPr>
        <b/>
        <sz val="10"/>
        <rFont val="宋体"/>
        <family val="3"/>
        <charset val="134"/>
      </rPr>
      <t>座测算。</t>
    </r>
    <phoneticPr fontId="228" type="noConversion"/>
  </si>
  <si>
    <r>
      <rPr>
        <b/>
        <sz val="10"/>
        <rFont val="宋体"/>
        <family val="3"/>
        <charset val="134"/>
      </rPr>
      <t>按照土地储备中心测算的数据</t>
    </r>
    <r>
      <rPr>
        <b/>
        <sz val="10"/>
        <rFont val="Arial"/>
        <family val="2"/>
      </rPr>
      <t>1100</t>
    </r>
    <r>
      <rPr>
        <b/>
        <sz val="10"/>
        <rFont val="宋体"/>
        <family val="3"/>
        <charset val="134"/>
      </rPr>
      <t>元</t>
    </r>
    <r>
      <rPr>
        <b/>
        <sz val="10"/>
        <rFont val="Arial"/>
        <family val="2"/>
      </rPr>
      <t>/</t>
    </r>
    <r>
      <rPr>
        <b/>
        <sz val="10"/>
        <rFont val="宋体"/>
        <family val="3"/>
        <charset val="134"/>
      </rPr>
      <t>亩进行测算。
根据容东片区现状地类测算，耕地面积占土地总面积的</t>
    </r>
    <r>
      <rPr>
        <b/>
        <sz val="10"/>
        <rFont val="Arial"/>
        <family val="2"/>
      </rPr>
      <t>69.5%</t>
    </r>
    <r>
      <rPr>
        <b/>
        <sz val="10"/>
        <rFont val="宋体"/>
        <family val="3"/>
        <charset val="134"/>
      </rPr>
      <t>，本次测算的耕地面积采用土地总面积乘以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</si>
  <si>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t>亩</t>
    <phoneticPr fontId="228" type="noConversion"/>
  </si>
  <si>
    <t>④</t>
    <phoneticPr fontId="228" type="noConversion"/>
  </si>
  <si>
    <t>⑤</t>
    <phoneticPr fontId="228" type="noConversion"/>
  </si>
  <si>
    <t>⑥</t>
    <phoneticPr fontId="228" type="noConversion"/>
  </si>
  <si>
    <t>⑦</t>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</si>
  <si>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t>
    </r>
    <r>
      <rPr>
        <b/>
        <sz val="10"/>
        <rFont val="Arial"/>
        <family val="2"/>
      </rPr>
      <t>+</t>
    </r>
    <r>
      <rPr>
        <b/>
        <sz val="10"/>
        <rFont val="宋体"/>
        <family val="3"/>
        <charset val="134"/>
      </rPr>
      <t>④</t>
    </r>
    <r>
      <rPr>
        <b/>
        <sz val="10"/>
        <rFont val="Arial"/>
        <family val="2"/>
      </rPr>
      <t>+</t>
    </r>
    <r>
      <rPr>
        <b/>
        <sz val="10"/>
        <rFont val="宋体"/>
        <family val="3"/>
        <charset val="134"/>
      </rPr>
      <t>⑤</t>
    </r>
    <r>
      <rPr>
        <b/>
        <sz val="10"/>
        <rFont val="Arial"/>
        <family val="2"/>
      </rPr>
      <t>+</t>
    </r>
    <r>
      <rPr>
        <b/>
        <sz val="10"/>
        <rFont val="宋体"/>
        <family val="3"/>
        <charset val="134"/>
      </rPr>
      <t>⑥</t>
    </r>
    <r>
      <rPr>
        <b/>
        <sz val="10"/>
        <rFont val="Arial"/>
        <family val="2"/>
      </rPr>
      <t>+</t>
    </r>
    <r>
      <rPr>
        <b/>
        <sz val="10"/>
        <rFont val="宋体"/>
        <family val="3"/>
        <charset val="134"/>
      </rPr>
      <t>⑦，折算至全区征收土地总面积</t>
    </r>
    <r>
      <rPr>
        <b/>
        <sz val="10"/>
        <rFont val="Arial"/>
        <family val="2"/>
      </rPr>
      <t>2536623.77</t>
    </r>
    <r>
      <rPr>
        <b/>
        <sz val="10"/>
        <rFont val="宋体"/>
        <family val="3"/>
        <charset val="134"/>
      </rPr>
      <t>亩，折合</t>
    </r>
    <r>
      <rPr>
        <b/>
        <sz val="10"/>
        <rFont val="Arial"/>
        <family val="2"/>
      </rPr>
      <t>27.81</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</si>
  <si>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平方米</t>
    </r>
    <phoneticPr fontId="228" type="noConversion"/>
  </si>
  <si>
    <t>平方米</t>
    <phoneticPr fontId="228" type="noConversion"/>
  </si>
  <si>
    <r>
      <rPr>
        <b/>
        <sz val="10"/>
        <rFont val="宋体"/>
        <family val="3"/>
        <charset val="134"/>
      </rPr>
      <t>房屋建筑面积取全区征收范围内</t>
    </r>
    <r>
      <rPr>
        <b/>
        <sz val="10"/>
        <rFont val="Arial"/>
        <family val="2"/>
      </rPr>
      <t>403843</t>
    </r>
    <r>
      <rPr>
        <b/>
        <sz val="10"/>
        <rFont val="宋体"/>
        <family val="3"/>
        <charset val="134"/>
      </rPr>
      <t>处宅基地共计</t>
    </r>
    <r>
      <rPr>
        <b/>
        <sz val="10"/>
        <rFont val="Arial"/>
        <family val="2"/>
      </rPr>
      <t>83289528.5</t>
    </r>
    <r>
      <rPr>
        <b/>
        <sz val="10"/>
        <rFont val="宋体"/>
        <family val="3"/>
        <charset val="134"/>
      </rPr>
      <t>平方米，数据来源于《全区土地征收基本情况表》
补偿标准按照</t>
    </r>
    <r>
      <rPr>
        <b/>
        <sz val="1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</si>
  <si>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万元</t>
    </r>
    <r>
      <rPr>
        <b/>
        <sz val="10"/>
        <rFont val="Arial"/>
        <family val="2"/>
      </rPr>
      <t>/</t>
    </r>
    <r>
      <rPr>
        <b/>
        <sz val="10"/>
        <rFont val="宋体"/>
        <family val="3"/>
        <charset val="134"/>
      </rPr>
      <t>处</t>
    </r>
    <phoneticPr fontId="228" type="noConversion"/>
  </si>
  <si>
    <t>处</t>
    <phoneticPr fontId="228" type="noConversion"/>
  </si>
  <si>
    <r>
      <rPr>
        <b/>
        <sz val="10"/>
        <rFont val="宋体"/>
        <family val="3"/>
        <charset val="134"/>
      </rPr>
      <t>每处宅基地</t>
    </r>
    <r>
      <rPr>
        <b/>
        <sz val="10"/>
        <rFont val="Arial"/>
        <family val="2"/>
      </rPr>
      <t>5</t>
    </r>
    <r>
      <rPr>
        <b/>
        <sz val="10"/>
        <rFont val="宋体"/>
        <family val="3"/>
        <charset val="134"/>
      </rPr>
      <t>万元奖励。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</si>
  <si>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每处宅基地</t>
    </r>
    <r>
      <rPr>
        <b/>
        <sz val="10"/>
        <rFont val="Arial"/>
        <family val="2"/>
      </rPr>
      <t>20</t>
    </r>
    <r>
      <rPr>
        <b/>
        <sz val="10"/>
        <rFont val="宋体"/>
        <family val="3"/>
        <charset val="134"/>
      </rPr>
      <t>万元综合补助。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</si>
  <si>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元</t>
    </r>
    <r>
      <rPr>
        <b/>
        <sz val="10"/>
        <rFont val="Arial"/>
        <family val="2"/>
      </rPr>
      <t>/</t>
    </r>
    <r>
      <rPr>
        <b/>
        <sz val="10"/>
        <rFont val="宋体"/>
        <family val="3"/>
        <charset val="134"/>
      </rPr>
      <t>平方米</t>
    </r>
    <phoneticPr fontId="228" type="noConversion"/>
  </si>
  <si>
    <r>
      <rPr>
        <b/>
        <sz val="10"/>
        <rFont val="宋体"/>
        <family val="3"/>
        <charset val="134"/>
      </rPr>
      <t>在规定期限内签订补偿协议并按时腾退房屋的，给予停产停业、搬迁过渡综合补助，补助标准为</t>
    </r>
    <r>
      <rPr>
        <b/>
        <sz val="10"/>
        <rFont val="Arial"/>
        <family val="2"/>
      </rPr>
      <t>400</t>
    </r>
    <r>
      <rPr>
        <b/>
        <sz val="10"/>
        <rFont val="宋体"/>
        <family val="3"/>
        <charset val="134"/>
      </rPr>
      <t>元</t>
    </r>
    <r>
      <rPr>
        <b/>
        <sz val="10"/>
        <rFont val="Arial"/>
        <family val="2"/>
      </rPr>
      <t>/</t>
    </r>
    <r>
      <rPr>
        <b/>
        <sz val="10"/>
        <rFont val="宋体"/>
        <family val="3"/>
        <charset val="134"/>
      </rPr>
      <t>平方米。
商住混用建筑面积取全区征收范围共计</t>
    </r>
    <r>
      <rPr>
        <b/>
        <sz val="10"/>
        <rFont val="Arial"/>
        <family val="2"/>
      </rPr>
      <t>9211198.07</t>
    </r>
    <r>
      <rPr>
        <b/>
        <sz val="10"/>
        <rFont val="宋体"/>
        <family val="3"/>
        <charset val="134"/>
      </rPr>
      <t>平方米，数据来源于《全区土地征收基本情况表》。</t>
    </r>
    <phoneticPr fontId="228" type="noConversion"/>
  </si>
  <si>
    <r>
      <rPr>
        <b/>
        <sz val="10"/>
        <rFont val="宋体"/>
        <family val="3"/>
        <charset val="134"/>
      </rPr>
      <t>万元</t>
    </r>
    <r>
      <rPr>
        <b/>
        <sz val="10"/>
        <rFont val="Arial"/>
        <family val="2"/>
      </rPr>
      <t>/</t>
    </r>
    <r>
      <rPr>
        <b/>
        <sz val="10"/>
        <rFont val="宋体"/>
        <family val="3"/>
        <charset val="134"/>
      </rPr>
      <t>人</t>
    </r>
    <phoneticPr fontId="228" type="noConversion"/>
  </si>
  <si>
    <t>人</t>
    <phoneticPr fontId="228" type="noConversion"/>
  </si>
  <si>
    <r>
      <rPr>
        <b/>
        <sz val="10"/>
        <rFont val="宋体"/>
        <family val="3"/>
        <charset val="134"/>
      </rPr>
      <t>对认定的安置对象，给予每人</t>
    </r>
    <r>
      <rPr>
        <b/>
        <sz val="10"/>
        <rFont val="Arial"/>
        <family val="2"/>
      </rPr>
      <t>50</t>
    </r>
    <r>
      <rPr>
        <b/>
        <sz val="10"/>
        <rFont val="宋体"/>
        <family val="3"/>
        <charset val="134"/>
      </rPr>
      <t>平方米建筑面积安置房，在此基础上，按照自愿原则，每人可按</t>
    </r>
    <r>
      <rPr>
        <b/>
        <sz val="10"/>
        <rFont val="Arial"/>
        <family val="2"/>
      </rPr>
      <t>7000</t>
    </r>
    <r>
      <rPr>
        <b/>
        <sz val="10"/>
        <rFont val="宋体"/>
        <family val="3"/>
        <charset val="134"/>
      </rPr>
      <t>元</t>
    </r>
    <r>
      <rPr>
        <b/>
        <sz val="10"/>
        <rFont val="Arial"/>
        <family val="2"/>
      </rPr>
      <t>/</t>
    </r>
    <r>
      <rPr>
        <b/>
        <sz val="10"/>
        <rFont val="宋体"/>
        <family val="3"/>
        <charset val="134"/>
      </rPr>
      <t>平方米购买建筑面积最多不超过</t>
    </r>
    <r>
      <rPr>
        <b/>
        <sz val="10"/>
        <rFont val="Arial"/>
        <family val="2"/>
      </rPr>
      <t>20</t>
    </r>
    <r>
      <rPr>
        <b/>
        <sz val="10"/>
        <rFont val="宋体"/>
        <family val="3"/>
        <charset val="134"/>
      </rPr>
      <t>平方米的安置房。安置对象不选择</t>
    </r>
    <r>
      <rPr>
        <b/>
        <sz val="10"/>
        <rFont val="Arial"/>
        <family val="2"/>
      </rPr>
      <t>50</t>
    </r>
    <r>
      <rPr>
        <b/>
        <sz val="10"/>
        <rFont val="宋体"/>
        <family val="3"/>
        <charset val="134"/>
      </rPr>
      <t>平方米房屋安置的，按</t>
    </r>
    <r>
      <rPr>
        <b/>
        <sz val="10"/>
        <rFont val="Arial"/>
        <family val="2"/>
      </rPr>
      <t>7000</t>
    </r>
    <r>
      <rPr>
        <b/>
        <sz val="10"/>
        <rFont val="宋体"/>
        <family val="3"/>
        <charset val="134"/>
      </rPr>
      <t>元</t>
    </r>
    <r>
      <rPr>
        <b/>
        <sz val="10"/>
        <rFont val="Arial"/>
        <family val="2"/>
      </rPr>
      <t>/</t>
    </r>
    <r>
      <rPr>
        <b/>
        <sz val="10"/>
        <rFont val="宋体"/>
        <family val="3"/>
        <charset val="134"/>
      </rPr>
      <t>平方米的标准进行货币安置。
按照</t>
    </r>
    <r>
      <rPr>
        <b/>
        <sz val="10"/>
        <rFont val="Arial"/>
        <family val="2"/>
      </rPr>
      <t>7000</t>
    </r>
    <r>
      <rPr>
        <b/>
        <sz val="10"/>
        <rFont val="宋体"/>
        <family val="3"/>
        <charset val="134"/>
      </rPr>
      <t>元</t>
    </r>
    <r>
      <rPr>
        <b/>
        <sz val="10"/>
        <rFont val="Arial"/>
        <family val="2"/>
      </rPr>
      <t>/</t>
    </r>
    <r>
      <rPr>
        <b/>
        <sz val="10"/>
        <rFont val="宋体"/>
        <family val="3"/>
        <charset val="134"/>
      </rPr>
      <t>平方米、每人</t>
    </r>
    <r>
      <rPr>
        <b/>
        <sz val="10"/>
        <rFont val="Arial"/>
        <family val="2"/>
      </rPr>
      <t>50</t>
    </r>
    <r>
      <rPr>
        <b/>
        <sz val="10"/>
        <rFont val="宋体"/>
        <family val="3"/>
        <charset val="134"/>
      </rPr>
      <t>平方米进行货币安置测算，人口数量取全区征收所涉及范围</t>
    </r>
    <r>
      <rPr>
        <b/>
        <sz val="10"/>
        <rFont val="Arial"/>
        <family val="2"/>
      </rPr>
      <t>115</t>
    </r>
    <r>
      <rPr>
        <b/>
        <sz val="10"/>
        <rFont val="宋体"/>
        <family val="3"/>
        <charset val="134"/>
      </rPr>
      <t>万人，人口数据来源于《全区土地征收基本情况表》。</t>
    </r>
    <phoneticPr fontId="228" type="noConversion"/>
  </si>
  <si>
    <t>平方米</t>
    <phoneticPr fontId="228" type="noConversion"/>
  </si>
  <si>
    <r>
      <rPr>
        <b/>
        <sz val="10"/>
        <rFont val="宋体"/>
        <family val="3"/>
        <charset val="134"/>
      </rPr>
      <t>房屋建筑面积取全区征收范围共计</t>
    </r>
    <r>
      <rPr>
        <b/>
        <sz val="10"/>
        <rFont val="Arial"/>
        <family val="2"/>
      </rPr>
      <t>2988085.53</t>
    </r>
    <r>
      <rPr>
        <b/>
        <sz val="10"/>
        <rFont val="宋体"/>
        <family val="3"/>
        <charset val="134"/>
      </rPr>
      <t>平方米，数据来源于《全区土地征收基本情况表》。
补偿标准按照</t>
    </r>
    <r>
      <rPr>
        <b/>
        <sz val="1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</si>
  <si>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包括房屋及其附属物补偿费、停产停业搬迁补助（</t>
    </r>
    <r>
      <rPr>
        <b/>
        <sz val="10"/>
        <rFont val="Arial"/>
        <family val="2"/>
      </rPr>
      <t>10%</t>
    </r>
    <r>
      <rPr>
        <b/>
        <sz val="10"/>
        <rFont val="宋体"/>
        <family val="3"/>
        <charset val="134"/>
      </rPr>
      <t>）和奖励资金（</t>
    </r>
    <r>
      <rPr>
        <b/>
        <sz val="10"/>
        <rFont val="Arial"/>
        <family val="2"/>
      </rPr>
      <t>5%</t>
    </r>
    <r>
      <rPr>
        <b/>
        <sz val="10"/>
        <rFont val="宋体"/>
        <family val="3"/>
        <charset val="134"/>
      </rPr>
      <t>）。
补偿数量</t>
    </r>
    <r>
      <rPr>
        <b/>
        <sz val="10"/>
        <rFont val="Arial"/>
        <family val="2"/>
      </rPr>
      <t>11173027.83</t>
    </r>
    <r>
      <rPr>
        <b/>
        <sz val="10"/>
        <rFont val="宋体"/>
        <family val="3"/>
        <charset val="134"/>
      </rPr>
      <t>平方米房屋，数据来源于《全区土地征收基本情况表》。
房屋及附属物</t>
    </r>
    <r>
      <rPr>
        <b/>
        <sz val="10"/>
        <rFont val="Arial"/>
        <family val="2"/>
      </rPr>
      <t>2000</t>
    </r>
    <r>
      <rPr>
        <b/>
        <sz val="10"/>
        <rFont val="宋体"/>
        <family val="3"/>
        <charset val="134"/>
      </rPr>
      <t>元</t>
    </r>
    <r>
      <rPr>
        <b/>
        <sz val="10"/>
        <rFont val="Arial"/>
        <family val="2"/>
      </rPr>
      <t>/</t>
    </r>
    <r>
      <rPr>
        <b/>
        <sz val="10"/>
        <rFont val="宋体"/>
        <family val="3"/>
        <charset val="134"/>
      </rPr>
      <t>平方米测算、补助及奖励合计按</t>
    </r>
    <r>
      <rPr>
        <b/>
        <sz val="10"/>
        <rFont val="Arial"/>
        <family val="2"/>
      </rPr>
      <t>15%</t>
    </r>
    <r>
      <rPr>
        <b/>
        <sz val="10"/>
        <rFont val="宋体"/>
        <family val="3"/>
        <charset val="134"/>
      </rPr>
      <t>测算。</t>
    </r>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</si>
  <si>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③，折算至全区征收土地总面积</t>
    </r>
    <r>
      <rPr>
        <b/>
        <sz val="10"/>
        <rFont val="Arial"/>
        <family val="2"/>
      </rPr>
      <t>2536623.77</t>
    </r>
    <r>
      <rPr>
        <b/>
        <sz val="10"/>
        <rFont val="宋体"/>
        <family val="3"/>
        <charset val="134"/>
      </rPr>
      <t>亩，折合</t>
    </r>
    <r>
      <rPr>
        <b/>
        <sz val="10"/>
        <rFont val="Arial"/>
        <family val="2"/>
      </rPr>
      <t>3.67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</si>
  <si>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被征地农民参保补贴，以上一年度河北省城镇非私营单位在岗职工平均工资（简称“社评工资”）的</t>
    </r>
    <r>
      <rPr>
        <b/>
        <sz val="10"/>
        <rFont val="Arial"/>
        <family val="2"/>
      </rPr>
      <t>12%</t>
    </r>
    <r>
      <rPr>
        <b/>
        <sz val="10"/>
        <rFont val="宋体"/>
        <family val="3"/>
        <charset val="134"/>
      </rPr>
      <t>乘以补贴年限计算，补贴为一次性，补贴数额体现长者多得的原则，从</t>
    </r>
    <r>
      <rPr>
        <b/>
        <sz val="10"/>
        <rFont val="Arial"/>
        <family val="2"/>
      </rPr>
      <t>3.1</t>
    </r>
    <r>
      <rPr>
        <b/>
        <sz val="10"/>
        <rFont val="宋体"/>
        <family val="3"/>
        <charset val="134"/>
      </rPr>
      <t>万元至</t>
    </r>
    <r>
      <rPr>
        <b/>
        <sz val="10"/>
        <rFont val="Arial"/>
        <family val="2"/>
      </rPr>
      <t>11.7</t>
    </r>
    <r>
      <rPr>
        <b/>
        <sz val="10"/>
        <rFont val="宋体"/>
        <family val="3"/>
        <charset val="134"/>
      </rPr>
      <t>万元（以</t>
    </r>
    <r>
      <rPr>
        <b/>
        <sz val="10"/>
        <rFont val="Arial"/>
        <family val="2"/>
      </rPr>
      <t>2018</t>
    </r>
    <r>
      <rPr>
        <b/>
        <sz val="10"/>
        <rFont val="宋体"/>
        <family val="3"/>
        <charset val="134"/>
      </rPr>
      <t>年河北省社评工资计算）。
按照土地储备中心测算的数据</t>
    </r>
    <r>
      <rPr>
        <b/>
        <sz val="10"/>
        <rFont val="Arial"/>
        <family val="2"/>
      </rPr>
      <t>4.8</t>
    </r>
    <r>
      <rPr>
        <b/>
        <sz val="10"/>
        <rFont val="宋体"/>
        <family val="3"/>
        <charset val="134"/>
      </rPr>
      <t>万元</t>
    </r>
    <r>
      <rPr>
        <b/>
        <sz val="10"/>
        <rFont val="Arial"/>
        <family val="2"/>
      </rPr>
      <t>/</t>
    </r>
    <r>
      <rPr>
        <b/>
        <sz val="10"/>
        <rFont val="宋体"/>
        <family val="3"/>
        <charset val="134"/>
      </rPr>
      <t>人测算，人口数量取全区征收所涉及范围</t>
    </r>
    <r>
      <rPr>
        <b/>
        <sz val="10"/>
        <rFont val="Arial"/>
        <family val="2"/>
      </rPr>
      <t>115</t>
    </r>
    <r>
      <rPr>
        <b/>
        <sz val="10"/>
        <rFont val="宋体"/>
        <family val="3"/>
        <charset val="134"/>
      </rPr>
      <t>万人，人口数据来源于《全区土地征收基本情况表》。</t>
    </r>
    <phoneticPr fontId="228" type="noConversion"/>
  </si>
  <si>
    <r>
      <rPr>
        <b/>
        <sz val="10"/>
        <rFont val="宋体"/>
        <family val="3"/>
        <charset val="134"/>
      </rPr>
      <t>安置对象每人每年补助</t>
    </r>
    <r>
      <rPr>
        <b/>
        <sz val="10"/>
        <rFont val="Arial"/>
        <family val="2"/>
      </rPr>
      <t>800</t>
    </r>
    <r>
      <rPr>
        <b/>
        <sz val="10"/>
        <rFont val="宋体"/>
        <family val="3"/>
        <charset val="134"/>
      </rPr>
      <t>斤小麦和</t>
    </r>
    <r>
      <rPr>
        <b/>
        <sz val="10"/>
        <rFont val="Arial"/>
        <family val="2"/>
      </rPr>
      <t>800</t>
    </r>
    <r>
      <rPr>
        <b/>
        <sz val="10"/>
        <rFont val="宋体"/>
        <family val="3"/>
        <charset val="134"/>
      </rPr>
      <t>斤玉米，或按照上一年度新区粮食检测平均价格折合货币予以补贴，自土地征收公告发布之日起，补贴期限</t>
    </r>
    <r>
      <rPr>
        <b/>
        <sz val="10"/>
        <rFont val="Arial"/>
        <family val="2"/>
      </rPr>
      <t>10</t>
    </r>
    <r>
      <rPr>
        <b/>
        <sz val="10"/>
        <rFont val="宋体"/>
        <family val="3"/>
        <charset val="134"/>
      </rPr>
      <t>年。
按照小麦和玉米平均售价</t>
    </r>
    <r>
      <rPr>
        <b/>
        <sz val="10"/>
        <rFont val="Arial"/>
        <family val="2"/>
      </rPr>
      <t>1</t>
    </r>
    <r>
      <rPr>
        <b/>
        <sz val="10"/>
        <rFont val="宋体"/>
        <family val="3"/>
        <charset val="134"/>
      </rPr>
      <t>元</t>
    </r>
    <r>
      <rPr>
        <b/>
        <sz val="10"/>
        <rFont val="Arial"/>
        <family val="2"/>
      </rPr>
      <t>/</t>
    </r>
    <r>
      <rPr>
        <b/>
        <sz val="10"/>
        <rFont val="宋体"/>
        <family val="3"/>
        <charset val="134"/>
      </rPr>
      <t>斤测算，合计</t>
    </r>
    <r>
      <rPr>
        <b/>
        <sz val="10"/>
        <rFont val="Arial"/>
        <family val="2"/>
      </rPr>
      <t>1600</t>
    </r>
    <r>
      <rPr>
        <b/>
        <sz val="10"/>
        <rFont val="宋体"/>
        <family val="3"/>
        <charset val="134"/>
      </rPr>
      <t>元</t>
    </r>
    <r>
      <rPr>
        <b/>
        <sz val="10"/>
        <rFont val="Arial"/>
        <family val="2"/>
      </rPr>
      <t>/</t>
    </r>
    <r>
      <rPr>
        <b/>
        <sz val="10"/>
        <rFont val="宋体"/>
        <family val="3"/>
        <charset val="134"/>
      </rPr>
      <t>年。人口数量取全区征收所涉及范围</t>
    </r>
    <r>
      <rPr>
        <b/>
        <sz val="10"/>
        <rFont val="Arial"/>
        <family val="2"/>
      </rPr>
      <t>115</t>
    </r>
    <r>
      <rPr>
        <b/>
        <sz val="10"/>
        <rFont val="宋体"/>
        <family val="3"/>
        <charset val="134"/>
      </rPr>
      <t>万人，任楼数据来源于《全区土地征收基本情况表》。</t>
    </r>
    <phoneticPr fontId="228" type="noConversion"/>
  </si>
  <si>
    <r>
      <rPr>
        <b/>
        <sz val="10"/>
        <rFont val="宋体"/>
        <family val="3"/>
        <charset val="134"/>
      </rPr>
      <t>安置对象自行解决周转过度用房，按每人每月</t>
    </r>
    <r>
      <rPr>
        <b/>
        <sz val="10"/>
        <rFont val="Arial"/>
        <family val="2"/>
      </rPr>
      <t>800</t>
    </r>
    <r>
      <rPr>
        <b/>
        <sz val="10"/>
        <rFont val="宋体"/>
        <family val="3"/>
        <charset val="134"/>
      </rPr>
      <t>元标准给予补助，根据房屋安置协议，周转过度期间一次性发放</t>
    </r>
    <r>
      <rPr>
        <b/>
        <sz val="10"/>
        <rFont val="Arial"/>
        <family val="2"/>
      </rPr>
      <t>18</t>
    </r>
    <r>
      <rPr>
        <b/>
        <sz val="10"/>
        <rFont val="宋体"/>
        <family val="3"/>
        <charset val="134"/>
      </rPr>
      <t>个月补助，自签订协议且搬迁腾退之日起计算。每人每个取暖季发放</t>
    </r>
    <r>
      <rPr>
        <b/>
        <sz val="10"/>
        <rFont val="Arial"/>
        <family val="2"/>
      </rPr>
      <t>1300</t>
    </r>
    <r>
      <rPr>
        <b/>
        <sz val="10"/>
        <rFont val="宋体"/>
        <family val="3"/>
        <charset val="134"/>
      </rPr>
      <t>元取暖补助。
按照</t>
    </r>
    <r>
      <rPr>
        <b/>
        <sz val="10"/>
        <rFont val="Arial"/>
        <family val="2"/>
      </rPr>
      <t>18</t>
    </r>
    <r>
      <rPr>
        <b/>
        <sz val="10"/>
        <rFont val="宋体"/>
        <family val="3"/>
        <charset val="134"/>
      </rPr>
      <t>个月发放周转过度，取暖费按照</t>
    </r>
    <r>
      <rPr>
        <b/>
        <sz val="10"/>
        <rFont val="Arial"/>
        <family val="2"/>
      </rPr>
      <t>2</t>
    </r>
    <r>
      <rPr>
        <b/>
        <sz val="10"/>
        <rFont val="宋体"/>
        <family val="3"/>
        <charset val="134"/>
      </rPr>
      <t>个采暖季测算，合计</t>
    </r>
    <r>
      <rPr>
        <b/>
        <sz val="10"/>
        <rFont val="Arial"/>
        <family val="2"/>
      </rPr>
      <t>1.7</t>
    </r>
    <r>
      <rPr>
        <b/>
        <sz val="10"/>
        <rFont val="宋体"/>
        <family val="3"/>
        <charset val="134"/>
      </rPr>
      <t>万元</t>
    </r>
    <r>
      <rPr>
        <b/>
        <sz val="10"/>
        <rFont val="Arial"/>
        <family val="2"/>
      </rPr>
      <t>/</t>
    </r>
    <r>
      <rPr>
        <b/>
        <sz val="10"/>
        <rFont val="宋体"/>
        <family val="3"/>
        <charset val="134"/>
      </rPr>
      <t>人。人口数量取全区征收所涉及范围</t>
    </r>
    <r>
      <rPr>
        <b/>
        <sz val="10"/>
        <rFont val="Arial"/>
        <family val="2"/>
      </rPr>
      <t>115</t>
    </r>
    <r>
      <rPr>
        <b/>
        <sz val="10"/>
        <rFont val="宋体"/>
        <family val="3"/>
        <charset val="134"/>
      </rPr>
      <t>万人，人口数据来源于《全区土地征收基本情况表》。</t>
    </r>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</si>
  <si>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），折算至全区征收土地总面积</t>
    </r>
    <r>
      <rPr>
        <b/>
        <sz val="10"/>
        <rFont val="Arial"/>
        <family val="2"/>
      </rPr>
      <t>2536623.77</t>
    </r>
    <r>
      <rPr>
        <b/>
        <sz val="10"/>
        <rFont val="宋体"/>
        <family val="3"/>
        <charset val="134"/>
      </rPr>
      <t>亩，折合</t>
    </r>
    <r>
      <rPr>
        <b/>
        <sz val="10"/>
        <rFont val="Arial"/>
        <family val="2"/>
      </rPr>
      <t>10.25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</si>
  <si>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根据《河北省耕地占用税实施办法》，按</t>
    </r>
    <r>
      <rPr>
        <b/>
        <sz val="10"/>
        <rFont val="Arial"/>
        <family val="2"/>
      </rPr>
      <t>25</t>
    </r>
    <r>
      <rPr>
        <b/>
        <sz val="10"/>
        <rFont val="宋体"/>
        <family val="3"/>
        <charset val="134"/>
      </rPr>
      <t>元</t>
    </r>
    <r>
      <rPr>
        <b/>
        <sz val="10"/>
        <rFont val="Arial"/>
        <family val="2"/>
      </rPr>
      <t>/</t>
    </r>
    <r>
      <rPr>
        <b/>
        <sz val="10"/>
        <rFont val="宋体"/>
        <family val="3"/>
        <charset val="134"/>
      </rPr>
      <t>平方米测算。
根据容东片区现状地类测算，耕地面积占土地总面积的</t>
    </r>
    <r>
      <rPr>
        <b/>
        <sz val="10"/>
        <rFont val="Arial"/>
        <family val="2"/>
      </rPr>
      <t>69.5%</t>
    </r>
    <r>
      <rPr>
        <b/>
        <sz val="10"/>
        <rFont val="宋体"/>
        <family val="3"/>
        <charset val="134"/>
      </rPr>
      <t>，本次测算全区的耕地面积采用土地总面积乘以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</si>
  <si>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r>
      <rPr>
        <b/>
        <sz val="10"/>
        <rFont val="宋体"/>
        <family val="3"/>
        <charset val="134"/>
      </rPr>
      <t>按照《河北省财政厅</t>
    </r>
    <r>
      <rPr>
        <b/>
        <sz val="10"/>
        <rFont val="Arial"/>
        <family val="2"/>
      </rPr>
      <t xml:space="preserve"> </t>
    </r>
    <r>
      <rPr>
        <b/>
        <sz val="10"/>
        <rFont val="宋体"/>
        <family val="3"/>
        <charset val="134"/>
      </rPr>
      <t>河北省林业厅关于调整森林植被恢复费征收标准的通知》（冀财税（</t>
    </r>
    <r>
      <rPr>
        <b/>
        <sz val="10"/>
        <rFont val="Arial"/>
        <family val="2"/>
      </rPr>
      <t>2016</t>
    </r>
    <r>
      <rPr>
        <b/>
        <sz val="10"/>
        <rFont val="宋体"/>
        <family val="3"/>
        <charset val="134"/>
      </rPr>
      <t>）</t>
    </r>
    <r>
      <rPr>
        <b/>
        <sz val="10"/>
        <rFont val="Arial"/>
        <family val="2"/>
      </rPr>
      <t>25</t>
    </r>
    <r>
      <rPr>
        <b/>
        <sz val="10"/>
        <rFont val="宋体"/>
        <family val="3"/>
        <charset val="134"/>
      </rPr>
      <t>号），按照</t>
    </r>
    <r>
      <rPr>
        <b/>
        <sz val="10"/>
        <rFont val="Arial"/>
        <family val="2"/>
      </rPr>
      <t>20</t>
    </r>
    <r>
      <rPr>
        <b/>
        <sz val="10"/>
        <rFont val="宋体"/>
        <family val="3"/>
        <charset val="134"/>
      </rPr>
      <t>元</t>
    </r>
    <r>
      <rPr>
        <b/>
        <sz val="10"/>
        <rFont val="Arial"/>
        <family val="2"/>
      </rPr>
      <t>/</t>
    </r>
    <r>
      <rPr>
        <b/>
        <sz val="10"/>
        <rFont val="宋体"/>
        <family val="3"/>
        <charset val="134"/>
      </rPr>
      <t>平方米测算。
根据榕东片区现状地类测算，林地面积占土地总面积的</t>
    </r>
    <r>
      <rPr>
        <b/>
        <sz val="10"/>
        <rFont val="Arial"/>
        <family val="2"/>
      </rPr>
      <t>2.41%</t>
    </r>
    <r>
      <rPr>
        <b/>
        <sz val="10"/>
        <rFont val="宋体"/>
        <family val="3"/>
        <charset val="134"/>
      </rPr>
      <t>，本次测算全区的林地面积采用土地总面积乘以</t>
    </r>
    <r>
      <rPr>
        <b/>
        <sz val="10"/>
        <rFont val="Arial"/>
        <family val="2"/>
      </rPr>
      <t>2.41%</t>
    </r>
    <r>
      <rPr>
        <b/>
        <sz val="10"/>
        <rFont val="宋体"/>
        <family val="3"/>
        <charset val="134"/>
      </rPr>
      <t>得出，即</t>
    </r>
    <r>
      <rPr>
        <b/>
        <sz val="10"/>
        <rFont val="Arial"/>
        <family val="2"/>
      </rPr>
      <t>61132.63</t>
    </r>
    <r>
      <rPr>
        <b/>
        <sz val="10"/>
        <rFont val="宋体"/>
        <family val="3"/>
        <charset val="134"/>
      </rPr>
      <t>亩。</t>
    </r>
    <phoneticPr fontId="228" type="noConversion"/>
  </si>
  <si>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</si>
  <si>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依据《河北省人民政府办公厅关于印发河北省补充耕地指标省级调剂暂行办法的通知》（</t>
    </r>
    <r>
      <rPr>
        <b/>
        <sz val="10"/>
        <rFont val="Arial"/>
        <family val="2"/>
      </rPr>
      <t>2018-108</t>
    </r>
    <r>
      <rPr>
        <b/>
        <sz val="10"/>
        <rFont val="宋体"/>
        <family val="3"/>
        <charset val="134"/>
      </rPr>
      <t>）及有关政策，按</t>
    </r>
    <r>
      <rPr>
        <b/>
        <sz val="10"/>
        <rFont val="Arial"/>
        <family val="2"/>
      </rPr>
      <t>12</t>
    </r>
    <r>
      <rPr>
        <b/>
        <sz val="10"/>
        <rFont val="宋体"/>
        <family val="3"/>
        <charset val="134"/>
      </rPr>
      <t>万元</t>
    </r>
    <r>
      <rPr>
        <b/>
        <sz val="10"/>
        <rFont val="Arial"/>
        <family val="2"/>
      </rPr>
      <t>/</t>
    </r>
    <r>
      <rPr>
        <b/>
        <sz val="10"/>
        <rFont val="宋体"/>
        <family val="3"/>
        <charset val="134"/>
      </rPr>
      <t>亩测算。
根据容东片区现状地类测算，林地面积占土地总面积的</t>
    </r>
    <r>
      <rPr>
        <b/>
        <sz val="10"/>
        <rFont val="Arial"/>
        <family val="2"/>
      </rPr>
      <t>69.5%</t>
    </r>
    <r>
      <rPr>
        <b/>
        <sz val="10"/>
        <rFont val="宋体"/>
        <family val="3"/>
        <charset val="134"/>
      </rPr>
      <t>，本次测算全区的耕地面积采用土地总面积乘以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
耕地占补平衡指标由河北省统筹解决。</t>
    </r>
    <phoneticPr fontId="228" type="noConversion"/>
  </si>
  <si>
    <r>
      <rPr>
        <b/>
        <sz val="10"/>
        <rFont val="宋体"/>
        <family val="3"/>
        <charset val="134"/>
      </rPr>
      <t>依据有关政策，按</t>
    </r>
    <r>
      <rPr>
        <b/>
        <sz val="10"/>
        <rFont val="Arial"/>
        <family val="2"/>
      </rPr>
      <t>15</t>
    </r>
    <r>
      <rPr>
        <b/>
        <sz val="10"/>
        <rFont val="宋体"/>
        <family val="3"/>
        <charset val="134"/>
      </rPr>
      <t>元</t>
    </r>
    <r>
      <rPr>
        <b/>
        <sz val="10"/>
        <rFont val="Arial"/>
        <family val="2"/>
      </rPr>
      <t>/</t>
    </r>
    <r>
      <rPr>
        <b/>
        <sz val="10"/>
        <rFont val="宋体"/>
        <family val="3"/>
        <charset val="134"/>
      </rPr>
      <t>平方米测算。
根据容东片区现状地类测算，耕地面积占土地总面积的</t>
    </r>
    <r>
      <rPr>
        <b/>
        <sz val="10"/>
        <rFont val="Arial"/>
        <family val="2"/>
      </rPr>
      <t>69.5%</t>
    </r>
    <r>
      <rPr>
        <b/>
        <sz val="10"/>
        <rFont val="宋体"/>
        <family val="3"/>
        <charset val="134"/>
      </rPr>
      <t>，林地面积占土地总面积的</t>
    </r>
    <r>
      <rPr>
        <b/>
        <sz val="10"/>
        <rFont val="Arial"/>
        <family val="2"/>
      </rPr>
      <t>2.41%</t>
    </r>
    <r>
      <rPr>
        <b/>
        <sz val="10"/>
        <rFont val="宋体"/>
        <family val="3"/>
        <charset val="134"/>
      </rPr>
      <t>，本次测算全区的耕地面积及林地面积采用土地总面积乘以</t>
    </r>
    <r>
      <rPr>
        <b/>
        <sz val="10"/>
        <rFont val="Arial"/>
        <family val="2"/>
      </rPr>
      <t>69.5%+2.41%=71.91</t>
    </r>
    <r>
      <rPr>
        <b/>
        <sz val="10"/>
        <rFont val="宋体"/>
        <family val="3"/>
        <charset val="134"/>
      </rPr>
      <t>得出，即</t>
    </r>
    <r>
      <rPr>
        <b/>
        <sz val="10"/>
        <rFont val="Arial"/>
        <family val="2"/>
      </rPr>
      <t>1824086.15</t>
    </r>
    <r>
      <rPr>
        <b/>
        <sz val="10"/>
        <rFont val="宋体"/>
        <family val="3"/>
        <charset val="134"/>
      </rPr>
      <t>亩。</t>
    </r>
    <phoneticPr fontId="228" type="noConversion"/>
  </si>
  <si>
    <r>
      <rPr>
        <b/>
        <sz val="10"/>
        <rFont val="宋体"/>
        <family val="3"/>
        <charset val="134"/>
      </rPr>
      <t>设定开发程度为五通一平（宗地外围通路、通电、通讯、通上水、通下水及宗地内土地平整），按</t>
    </r>
    <r>
      <rPr>
        <b/>
        <sz val="10"/>
        <rFont val="Arial"/>
        <family val="2"/>
      </rPr>
      <t>75</t>
    </r>
    <r>
      <rPr>
        <b/>
        <sz val="10"/>
        <rFont val="宋体"/>
        <family val="3"/>
        <charset val="134"/>
      </rPr>
      <t>元</t>
    </r>
    <r>
      <rPr>
        <b/>
        <sz val="10"/>
        <rFont val="Arial"/>
        <family val="2"/>
      </rPr>
      <t>/</t>
    </r>
    <r>
      <rPr>
        <b/>
        <sz val="10"/>
        <rFont val="宋体"/>
        <family val="3"/>
        <charset val="134"/>
      </rPr>
      <t>平方米，折合</t>
    </r>
    <r>
      <rPr>
        <b/>
        <sz val="10"/>
        <rFont val="Arial"/>
        <family val="2"/>
      </rPr>
      <t>6.67</t>
    </r>
    <r>
      <rPr>
        <b/>
        <sz val="10"/>
        <rFont val="宋体"/>
        <family val="3"/>
        <charset val="134"/>
      </rPr>
      <t>万元</t>
    </r>
    <r>
      <rPr>
        <b/>
        <sz val="10"/>
        <rFont val="Arial"/>
        <family val="2"/>
      </rPr>
      <t>/</t>
    </r>
    <r>
      <rPr>
        <b/>
        <sz val="10"/>
        <rFont val="宋体"/>
        <family val="3"/>
        <charset val="134"/>
      </rPr>
      <t>亩。</t>
    </r>
    <phoneticPr fontId="228" type="noConversion"/>
  </si>
  <si>
    <t>年</t>
    <phoneticPr fontId="228" type="noConversion"/>
  </si>
  <si>
    <r>
      <rPr>
        <b/>
        <sz val="10"/>
        <rFont val="宋体"/>
        <family val="3"/>
        <charset val="134"/>
      </rPr>
      <t>设定该土地开发周期为</t>
    </r>
    <r>
      <rPr>
        <b/>
        <sz val="10"/>
        <rFont val="Arial"/>
        <family val="2"/>
      </rPr>
      <t>1</t>
    </r>
    <r>
      <rPr>
        <b/>
        <sz val="10"/>
        <rFont val="宋体"/>
        <family val="3"/>
        <charset val="134"/>
      </rPr>
      <t>年，利息率按年期对应贷款利率</t>
    </r>
    <r>
      <rPr>
        <b/>
        <sz val="10"/>
        <rFont val="Arial"/>
        <family val="2"/>
      </rPr>
      <t>4.35%</t>
    </r>
    <r>
      <rPr>
        <b/>
        <sz val="10"/>
        <rFont val="宋体"/>
        <family val="3"/>
        <charset val="134"/>
      </rPr>
      <t>测算，假设土地取得费和相关税费为土地取得时一次性投入，土地开发费用为开发期内均匀投入。
折算至全区征收土地总面积</t>
    </r>
    <r>
      <rPr>
        <b/>
        <sz val="10"/>
        <rFont val="Arial"/>
        <family val="2"/>
      </rPr>
      <t>2536623.77</t>
    </r>
    <r>
      <rPr>
        <b/>
        <sz val="10"/>
        <rFont val="宋体"/>
        <family val="3"/>
        <charset val="134"/>
      </rPr>
      <t>，折合</t>
    </r>
    <r>
      <rPr>
        <b/>
        <sz val="10"/>
        <rFont val="Arial"/>
        <family val="2"/>
      </rPr>
      <t>2.62</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</si>
  <si>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以土地取得费、相关税费和土地开发费为基础，按照</t>
    </r>
    <r>
      <rPr>
        <b/>
        <sz val="10"/>
        <rFont val="Arial"/>
        <family val="2"/>
      </rPr>
      <t>15%</t>
    </r>
    <r>
      <rPr>
        <b/>
        <sz val="10"/>
        <rFont val="宋体"/>
        <family val="3"/>
        <charset val="134"/>
      </rPr>
      <t>测算土地开发利润。
折算至全区征收土地总面积</t>
    </r>
    <r>
      <rPr>
        <b/>
        <sz val="10"/>
        <rFont val="Arial"/>
        <family val="2"/>
      </rPr>
      <t>2536623.77</t>
    </r>
    <r>
      <rPr>
        <b/>
        <sz val="10"/>
        <rFont val="宋体"/>
        <family val="3"/>
        <charset val="134"/>
      </rPr>
      <t>，折合</t>
    </r>
    <r>
      <rPr>
        <b/>
        <sz val="10"/>
        <rFont val="Arial"/>
        <family val="2"/>
      </rPr>
      <t>5.09</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</si>
  <si>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土地增值收益是因土地用途等土地使用条件改变或进行土地开发而产生的，结合雄安新区实际情况，以土地成本价格的</t>
    </r>
    <r>
      <rPr>
        <b/>
        <sz val="10"/>
        <rFont val="Arial"/>
        <family val="2"/>
      </rPr>
      <t>15%</t>
    </r>
    <r>
      <rPr>
        <b/>
        <sz val="10"/>
        <rFont val="宋体"/>
        <family val="3"/>
        <charset val="134"/>
      </rPr>
      <t>测算土地增值收益。
折算至全区征收土地总面积</t>
    </r>
    <r>
      <rPr>
        <b/>
        <sz val="10"/>
        <rFont val="Arial"/>
        <family val="2"/>
      </rPr>
      <t>2536623.77</t>
    </r>
    <r>
      <rPr>
        <b/>
        <sz val="10"/>
        <rFont val="宋体"/>
        <family val="3"/>
        <charset val="134"/>
      </rPr>
      <t>亩，折合</t>
    </r>
    <r>
      <rPr>
        <b/>
        <sz val="10"/>
        <rFont val="Arial"/>
        <family val="2"/>
      </rPr>
      <t>10.7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</si>
  <si>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土地成本价格</t>
    </r>
    <r>
      <rPr>
        <b/>
        <sz val="10"/>
        <rFont val="Arial"/>
        <family val="2"/>
      </rPr>
      <t>=</t>
    </r>
    <r>
      <rPr>
        <b/>
        <sz val="10"/>
        <rFont val="宋体"/>
        <family val="3"/>
        <charset val="134"/>
      </rPr>
      <t>土地取得费</t>
    </r>
    <r>
      <rPr>
        <b/>
        <sz val="10"/>
        <rFont val="Arial"/>
        <family val="2"/>
      </rPr>
      <t>+</t>
    </r>
    <r>
      <rPr>
        <b/>
        <sz val="10"/>
        <rFont val="宋体"/>
        <family val="3"/>
        <charset val="134"/>
      </rPr>
      <t>税费</t>
    </r>
    <r>
      <rPr>
        <b/>
        <sz val="10"/>
        <rFont val="Arial"/>
        <family val="2"/>
      </rPr>
      <t>+</t>
    </r>
    <r>
      <rPr>
        <b/>
        <sz val="10"/>
        <rFont val="宋体"/>
        <family val="3"/>
        <charset val="134"/>
      </rPr>
      <t>土地开发费</t>
    </r>
    <r>
      <rPr>
        <b/>
        <sz val="10"/>
        <rFont val="Arial"/>
        <family val="2"/>
      </rPr>
      <t>+</t>
    </r>
    <r>
      <rPr>
        <b/>
        <sz val="10"/>
        <rFont val="宋体"/>
        <family val="3"/>
        <charset val="134"/>
      </rPr>
      <t>利息</t>
    </r>
    <r>
      <rPr>
        <b/>
        <sz val="10"/>
        <rFont val="Arial"/>
        <family val="2"/>
      </rPr>
      <t>+</t>
    </r>
    <r>
      <rPr>
        <b/>
        <sz val="10"/>
        <rFont val="宋体"/>
        <family val="3"/>
        <charset val="134"/>
      </rPr>
      <t>利润
折算至全区征收土地总面积</t>
    </r>
    <r>
      <rPr>
        <b/>
        <sz val="10"/>
        <rFont val="Arial"/>
        <family val="2"/>
      </rPr>
      <t>2536623.77</t>
    </r>
    <r>
      <rPr>
        <b/>
        <sz val="10"/>
        <rFont val="宋体"/>
        <family val="3"/>
        <charset val="134"/>
      </rPr>
      <t>亩，折合</t>
    </r>
    <r>
      <rPr>
        <b/>
        <sz val="10"/>
        <rFont val="Arial"/>
        <family val="2"/>
      </rPr>
      <t>71.35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</si>
  <si>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按工业用地法定最高年期</t>
    </r>
    <r>
      <rPr>
        <b/>
        <sz val="10"/>
        <rFont val="Arial"/>
        <family val="2"/>
      </rPr>
      <t>50</t>
    </r>
    <r>
      <rPr>
        <b/>
        <sz val="10"/>
        <rFont val="宋体"/>
        <family val="3"/>
        <charset val="134"/>
      </rPr>
      <t>年测算，土地还原率</t>
    </r>
    <r>
      <rPr>
        <b/>
        <sz val="10"/>
        <rFont val="Arial"/>
        <family val="2"/>
      </rPr>
      <t>6%</t>
    </r>
    <r>
      <rPr>
        <b/>
        <sz val="10"/>
        <rFont val="宋体"/>
        <family val="3"/>
        <charset val="134"/>
      </rPr>
      <t>。</t>
    </r>
    <phoneticPr fontId="228" type="noConversion"/>
  </si>
  <si>
    <r>
      <rPr>
        <b/>
        <sz val="10"/>
        <rFont val="宋体"/>
        <family val="3"/>
        <charset val="134"/>
      </rPr>
      <t>以全区征收土地总面积进行测算，土地区位状况为平均，区位修证系数为</t>
    </r>
    <r>
      <rPr>
        <b/>
        <sz val="10"/>
        <rFont val="Arial"/>
        <family val="2"/>
      </rPr>
      <t>1</t>
    </r>
    <r>
      <rPr>
        <b/>
        <sz val="10"/>
        <rFont val="宋体"/>
        <family val="3"/>
        <charset val="134"/>
      </rPr>
      <t>。</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</si>
  <si>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
折算至全区征收土地总面积</t>
    </r>
    <r>
      <rPr>
        <b/>
        <sz val="10"/>
        <rFont val="Arial"/>
        <family val="2"/>
      </rPr>
      <t>2536623.77</t>
    </r>
    <r>
      <rPr>
        <b/>
        <sz val="10"/>
        <rFont val="宋体"/>
        <family val="3"/>
        <charset val="134"/>
      </rPr>
      <t>亩，折合</t>
    </r>
    <r>
      <rPr>
        <b/>
        <sz val="10"/>
        <rFont val="Arial"/>
        <family val="2"/>
      </rPr>
      <t>77.6</t>
    </r>
    <r>
      <rPr>
        <b/>
        <sz val="10"/>
        <rFont val="宋体"/>
        <family val="3"/>
        <charset val="134"/>
      </rPr>
      <t>万元</t>
    </r>
    <r>
      <rPr>
        <b/>
        <sz val="10"/>
        <rFont val="Arial"/>
        <family val="2"/>
      </rPr>
      <t>/</t>
    </r>
    <r>
      <rPr>
        <b/>
        <sz val="10"/>
        <rFont val="宋体"/>
        <family val="3"/>
        <charset val="134"/>
      </rPr>
      <t>亩。</t>
    </r>
    <phoneticPr fontId="228" type="noConversion"/>
  </si>
  <si>
    <t>地上</t>
  </si>
  <si>
    <t>工业</t>
    <phoneticPr fontId="7" type="noConversion"/>
  </si>
  <si>
    <t>单价（元/平方米）</t>
    <phoneticPr fontId="228" type="noConversion"/>
  </si>
  <si>
    <t>——</t>
    <phoneticPr fontId="228" type="noConversion"/>
  </si>
  <si>
    <t>征地区片价及其他费用</t>
    <phoneticPr fontId="228" type="noConversion"/>
  </si>
  <si>
    <t>其他附着物补偿费</t>
    <phoneticPr fontId="228" type="noConversion"/>
  </si>
  <si>
    <t>包括农田水利设施及其他附着物，按2000元/亩进行测算。
根据容东片区现状地类测算，耕地面积占土地总面积的69.5%，本次测算的耕地面积采用土地总面积乘以69.5%得出，即1762953.52亩。</t>
    <phoneticPr fontId="228" type="noConversion"/>
  </si>
  <si>
    <r>
      <rPr>
        <b/>
        <sz val="10"/>
        <rFont val="宋体"/>
        <family val="3"/>
        <charset val="134"/>
      </rPr>
      <t>房屋建筑面积取全区征收范围内</t>
    </r>
    <r>
      <rPr>
        <b/>
        <sz val="10"/>
        <rFont val="Arial"/>
        <family val="2"/>
      </rPr>
      <t>403843</t>
    </r>
    <r>
      <rPr>
        <b/>
        <sz val="10"/>
        <rFont val="宋体"/>
        <family val="3"/>
        <charset val="134"/>
      </rPr>
      <t>处宅基地共计</t>
    </r>
    <r>
      <rPr>
        <b/>
        <sz val="10"/>
        <rFont val="Arial"/>
        <family val="2"/>
      </rPr>
      <t>83289528.5</t>
    </r>
    <r>
      <rPr>
        <b/>
        <sz val="10"/>
        <rFont val="宋体"/>
        <family val="3"/>
        <charset val="134"/>
      </rPr>
      <t>平方米，数据来源于《全区土地征收基本情况表》
补偿标准按照</t>
    </r>
    <r>
      <rPr>
        <b/>
        <sz val="10"/>
        <rFont val="Arial"/>
        <family val="2"/>
      </rPr>
      <t>1300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</si>
  <si>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每处宅基地</t>
    </r>
    <r>
      <rPr>
        <b/>
        <sz val="10"/>
        <rFont val="Arial"/>
        <family val="2"/>
      </rPr>
      <t>25</t>
    </r>
    <r>
      <rPr>
        <b/>
        <sz val="10"/>
        <rFont val="宋体"/>
        <family val="3"/>
        <charset val="134"/>
      </rPr>
      <t>万元奖励。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</si>
  <si>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房屋建筑面积取全区征收范围共计</t>
    </r>
    <r>
      <rPr>
        <b/>
        <sz val="10"/>
        <rFont val="Arial"/>
        <family val="2"/>
      </rPr>
      <t>2988085.53</t>
    </r>
    <r>
      <rPr>
        <b/>
        <sz val="10"/>
        <rFont val="宋体"/>
        <family val="3"/>
        <charset val="134"/>
      </rPr>
      <t>平方米，数据来源于《全区土地征收基本情况表》。
补偿标准按照</t>
    </r>
    <r>
      <rPr>
        <b/>
        <sz val="10"/>
        <color rgb="FFFF000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</si>
  <si>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包括房屋及其附属物补偿费、停产停业搬迁补助（</t>
    </r>
    <r>
      <rPr>
        <b/>
        <sz val="10"/>
        <rFont val="Arial"/>
        <family val="2"/>
      </rPr>
      <t>10%</t>
    </r>
    <r>
      <rPr>
        <b/>
        <sz val="10"/>
        <rFont val="宋体"/>
        <family val="3"/>
        <charset val="134"/>
      </rPr>
      <t>）和奖励资金（</t>
    </r>
    <r>
      <rPr>
        <b/>
        <sz val="10"/>
        <rFont val="Arial"/>
        <family val="2"/>
      </rPr>
      <t>5%</t>
    </r>
    <r>
      <rPr>
        <b/>
        <sz val="10"/>
        <rFont val="宋体"/>
        <family val="3"/>
        <charset val="134"/>
      </rPr>
      <t>）。
补偿数量</t>
    </r>
    <r>
      <rPr>
        <b/>
        <sz val="10"/>
        <rFont val="Arial"/>
        <family val="2"/>
      </rPr>
      <t>11173027.83</t>
    </r>
    <r>
      <rPr>
        <b/>
        <sz val="10"/>
        <rFont val="宋体"/>
        <family val="3"/>
        <charset val="134"/>
      </rPr>
      <t>平方米房屋，数据来源于《全区土地征收基本情况表》。
房屋及附属物</t>
    </r>
    <r>
      <rPr>
        <b/>
        <sz val="10"/>
        <color rgb="FFFF0000"/>
        <rFont val="Arial"/>
        <family val="2"/>
      </rPr>
      <t>2000</t>
    </r>
    <r>
      <rPr>
        <b/>
        <sz val="10"/>
        <rFont val="宋体"/>
        <family val="3"/>
        <charset val="134"/>
      </rPr>
      <t>元</t>
    </r>
    <r>
      <rPr>
        <b/>
        <sz val="10"/>
        <rFont val="Arial"/>
        <family val="2"/>
      </rPr>
      <t>/</t>
    </r>
    <r>
      <rPr>
        <b/>
        <sz val="10"/>
        <rFont val="宋体"/>
        <family val="3"/>
        <charset val="134"/>
      </rPr>
      <t>平方米测算、补助及奖励合计按</t>
    </r>
    <r>
      <rPr>
        <b/>
        <sz val="10"/>
        <rFont val="Arial"/>
        <family val="2"/>
      </rPr>
      <t>15%</t>
    </r>
    <r>
      <rPr>
        <b/>
        <sz val="10"/>
        <rFont val="宋体"/>
        <family val="3"/>
        <charset val="134"/>
      </rPr>
      <t>测算。</t>
    </r>
    <phoneticPr fontId="228" type="noConversion"/>
  </si>
  <si>
    <r>
      <rPr>
        <b/>
        <sz val="10"/>
        <rFont val="宋体"/>
        <family val="3"/>
        <charset val="134"/>
      </rPr>
      <t>土地增值收益是因土地用途等土地使用条件改变或进行土地开发而产生的，结合雄安新区实际情况，以土地成本价格的</t>
    </r>
    <r>
      <rPr>
        <b/>
        <sz val="10"/>
        <rFont val="Arial"/>
        <family val="2"/>
      </rPr>
      <t>20%</t>
    </r>
    <r>
      <rPr>
        <b/>
        <sz val="10"/>
        <rFont val="宋体"/>
        <family val="3"/>
        <charset val="134"/>
      </rPr>
      <t>测算土地增值收益。
折算至全区征收土地总面积</t>
    </r>
    <r>
      <rPr>
        <b/>
        <sz val="10"/>
        <rFont val="Arial"/>
        <family val="2"/>
      </rPr>
      <t>2536623.77</t>
    </r>
    <r>
      <rPr>
        <b/>
        <sz val="10"/>
        <rFont val="宋体"/>
        <family val="3"/>
        <charset val="134"/>
      </rPr>
      <t>亩，折合</t>
    </r>
    <r>
      <rPr>
        <b/>
        <sz val="10"/>
        <rFont val="Arial"/>
        <family val="2"/>
      </rPr>
      <t>10.7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</si>
  <si>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
折算至全区征收土地总面积</t>
    </r>
    <r>
      <rPr>
        <b/>
        <sz val="10"/>
        <rFont val="Arial"/>
        <family val="2"/>
      </rPr>
      <t>2536623.77</t>
    </r>
    <r>
      <rPr>
        <b/>
        <sz val="10"/>
        <rFont val="宋体"/>
        <family val="3"/>
        <charset val="134"/>
      </rPr>
      <t>亩，折合</t>
    </r>
    <r>
      <rPr>
        <b/>
        <sz val="10"/>
        <rFont val="Arial"/>
        <family val="2"/>
      </rPr>
      <t>77.47</t>
    </r>
    <r>
      <rPr>
        <b/>
        <sz val="10"/>
        <rFont val="宋体"/>
        <family val="3"/>
        <charset val="134"/>
      </rPr>
      <t>万元</t>
    </r>
    <r>
      <rPr>
        <b/>
        <sz val="10"/>
        <rFont val="Arial"/>
        <family val="2"/>
      </rPr>
      <t>/</t>
    </r>
    <r>
      <rPr>
        <b/>
        <sz val="10"/>
        <rFont val="宋体"/>
        <family val="3"/>
        <charset val="134"/>
      </rPr>
      <t>亩。</t>
    </r>
    <phoneticPr fontId="228" type="noConversion"/>
  </si>
  <si>
    <t>全区</t>
    <phoneticPr fontId="228" type="noConversion"/>
  </si>
  <si>
    <r>
      <rPr>
        <sz val="11"/>
        <color theme="1"/>
        <rFont val="宋体"/>
        <family val="3"/>
        <charset val="134"/>
      </rPr>
      <t>成本逼近法</t>
    </r>
    <r>
      <rPr>
        <sz val="11"/>
        <color theme="1"/>
        <rFont val="Arial"/>
        <family val="2"/>
      </rPr>
      <t>1</t>
    </r>
    <phoneticPr fontId="14" type="noConversion"/>
  </si>
  <si>
    <t>成本逼近法1</t>
  </si>
  <si>
    <t>项目全部</t>
  </si>
  <si>
    <t>土地</t>
  </si>
  <si>
    <t>亩</t>
    <phoneticPr fontId="228" type="noConversion"/>
  </si>
  <si>
    <t>年期修正</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</si>
  <si>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t>
    </r>
    <r>
      <rPr>
        <b/>
        <sz val="10"/>
        <rFont val="Arial"/>
        <family val="2"/>
      </rPr>
      <t/>
    </r>
    <phoneticPr fontId="228" type="noConversion"/>
  </si>
  <si>
    <t>（2）</t>
    <phoneticPr fontId="228" type="noConversion"/>
  </si>
  <si>
    <t>房屋及附属物等补偿费</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</si>
  <si>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phoneticPr fontId="228" type="noConversion"/>
  </si>
  <si>
    <r>
      <rPr>
        <b/>
        <sz val="10"/>
        <rFont val="宋体"/>
        <family val="3"/>
        <charset val="134"/>
      </rPr>
      <t>按征地区片价</t>
    </r>
    <r>
      <rPr>
        <b/>
        <sz val="10"/>
        <rFont val="Arial"/>
        <family val="2"/>
      </rPr>
      <t>12</t>
    </r>
    <r>
      <rPr>
        <b/>
        <sz val="10"/>
        <rFont val="宋体"/>
        <family val="3"/>
        <charset val="134"/>
      </rPr>
      <t>万元</t>
    </r>
    <r>
      <rPr>
        <b/>
        <sz val="10"/>
        <rFont val="Arial"/>
        <family val="2"/>
      </rPr>
      <t>/</t>
    </r>
    <r>
      <rPr>
        <b/>
        <sz val="10"/>
        <rFont val="宋体"/>
        <family val="3"/>
        <charset val="134"/>
      </rPr>
      <t>亩，其他费用</t>
    </r>
    <r>
      <rPr>
        <b/>
        <sz val="10"/>
        <rFont val="Arial"/>
        <family val="2"/>
      </rPr>
      <t>3</t>
    </r>
    <r>
      <rPr>
        <b/>
        <sz val="10"/>
        <rFont val="宋体"/>
        <family val="3"/>
        <charset val="134"/>
      </rPr>
      <t>万元</t>
    </r>
    <r>
      <rPr>
        <b/>
        <sz val="10"/>
        <rFont val="Arial"/>
        <family val="2"/>
      </rPr>
      <t>/</t>
    </r>
    <r>
      <rPr>
        <b/>
        <sz val="10"/>
        <rFont val="宋体"/>
        <family val="3"/>
        <charset val="134"/>
      </rPr>
      <t>亩测算。</t>
    </r>
    <phoneticPr fontId="228" type="noConversion"/>
  </si>
  <si>
    <r>
      <rPr>
        <b/>
        <sz val="10"/>
        <rFont val="宋体"/>
        <family val="3"/>
        <charset val="134"/>
      </rPr>
      <t>根据雄安新区实际及有关政策，补偿费用包括房屋、附属补偿费、安置费用及其他费用等，按有关政策及标准平均补偿费用为</t>
    </r>
    <r>
      <rPr>
        <b/>
        <sz val="10"/>
        <rFont val="Arial"/>
        <family val="2"/>
      </rPr>
      <t>350</t>
    </r>
    <r>
      <rPr>
        <b/>
        <sz val="10"/>
        <rFont val="宋体"/>
        <family val="3"/>
        <charset val="134"/>
      </rPr>
      <t>元</t>
    </r>
    <r>
      <rPr>
        <b/>
        <sz val="10"/>
        <rFont val="Arial"/>
        <family val="2"/>
      </rPr>
      <t>/</t>
    </r>
    <r>
      <rPr>
        <b/>
        <sz val="10"/>
        <rFont val="宋体"/>
        <family val="3"/>
        <charset val="134"/>
      </rPr>
      <t>平方米。</t>
    </r>
    <phoneticPr fontId="228" type="noConversion"/>
  </si>
  <si>
    <t>根据冀政[2008]132号，社会保障费用不低于征地区片价的10%，根据雄安新区实际取征地区片价的15%。</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</si>
  <si>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t>
    </r>
    <phoneticPr fontId="228" type="noConversion"/>
  </si>
  <si>
    <t>根据调查耕地面积占土地总面积约70%，其中基本农田占耕地面积的80%。根据《河北省人民代表大会常务委员会关于河北省耕地占用税适用税额的决定》（2019年7月25日河北省第十三届人民代表大会常务委员会第十一次会议通过），雄安新区耕地占用税为40元/平方米。根据《中华人民共和国耕地占用税暂行条例》（国务院令第511号）占用基本农田的提高50%，耕地占用税为60元/平方米。</t>
    <phoneticPr fontId="228" type="noConversion"/>
  </si>
  <si>
    <t>设定开发程度为五通一平（宗地外围通路、通电、通讯、通上水、通下水及宗地内土地平整）</t>
    <phoneticPr fontId="228" type="noConversion"/>
  </si>
  <si>
    <r>
      <rPr>
        <b/>
        <sz val="10"/>
        <rFont val="宋体"/>
        <family val="3"/>
        <charset val="134"/>
      </rPr>
      <t>设定该土地开发周期为</t>
    </r>
    <r>
      <rPr>
        <b/>
        <sz val="10"/>
        <rFont val="Arial"/>
        <family val="2"/>
      </rPr>
      <t>1</t>
    </r>
    <r>
      <rPr>
        <b/>
        <sz val="10"/>
        <rFont val="宋体"/>
        <family val="3"/>
        <charset val="134"/>
      </rPr>
      <t>年，利息率按年期对应贷款利率</t>
    </r>
    <r>
      <rPr>
        <b/>
        <sz val="10"/>
        <rFont val="Arial"/>
        <family val="2"/>
      </rPr>
      <t>4.35%</t>
    </r>
    <r>
      <rPr>
        <b/>
        <sz val="10"/>
        <rFont val="宋体"/>
        <family val="3"/>
        <charset val="134"/>
      </rPr>
      <t>测算，假设土地取得费和相关税费为土地取得时一次性投入，土地开发费用为开发期内均匀投入。</t>
    </r>
    <phoneticPr fontId="228" type="noConversion"/>
  </si>
  <si>
    <t>价格</t>
    <phoneticPr fontId="228" type="noConversion"/>
  </si>
  <si>
    <r>
      <rPr>
        <b/>
        <sz val="10"/>
        <rFont val="宋体"/>
        <family val="3"/>
        <charset val="134"/>
      </rPr>
      <t>以土地取得费、相关税费和土地开发费为基础，按照</t>
    </r>
    <r>
      <rPr>
        <b/>
        <sz val="10"/>
        <rFont val="Arial"/>
        <family val="2"/>
      </rPr>
      <t>15%</t>
    </r>
    <r>
      <rPr>
        <b/>
        <sz val="10"/>
        <rFont val="宋体"/>
        <family val="3"/>
        <charset val="134"/>
      </rPr>
      <t>测算土地开发利润。</t>
    </r>
    <phoneticPr fontId="228" type="noConversion"/>
  </si>
  <si>
    <r>
      <rPr>
        <b/>
        <sz val="10"/>
        <rFont val="宋体"/>
        <family val="3"/>
        <charset val="134"/>
      </rPr>
      <t>土地成本价格</t>
    </r>
    <r>
      <rPr>
        <b/>
        <sz val="10"/>
        <rFont val="Arial"/>
        <family val="2"/>
      </rPr>
      <t>=</t>
    </r>
    <r>
      <rPr>
        <b/>
        <sz val="10"/>
        <rFont val="宋体"/>
        <family val="3"/>
        <charset val="134"/>
      </rPr>
      <t>土地取得费</t>
    </r>
    <r>
      <rPr>
        <b/>
        <sz val="10"/>
        <rFont val="Arial"/>
        <family val="2"/>
      </rPr>
      <t>+</t>
    </r>
    <r>
      <rPr>
        <b/>
        <sz val="10"/>
        <rFont val="宋体"/>
        <family val="3"/>
        <charset val="134"/>
      </rPr>
      <t>税费</t>
    </r>
    <r>
      <rPr>
        <b/>
        <sz val="10"/>
        <rFont val="Arial"/>
        <family val="2"/>
      </rPr>
      <t>+</t>
    </r>
    <r>
      <rPr>
        <b/>
        <sz val="10"/>
        <rFont val="宋体"/>
        <family val="3"/>
        <charset val="134"/>
      </rPr>
      <t>土地开发费</t>
    </r>
    <r>
      <rPr>
        <b/>
        <sz val="10"/>
        <rFont val="Arial"/>
        <family val="2"/>
      </rPr>
      <t>+</t>
    </r>
    <r>
      <rPr>
        <b/>
        <sz val="10"/>
        <rFont val="宋体"/>
        <family val="3"/>
        <charset val="134"/>
      </rPr>
      <t>利息</t>
    </r>
    <r>
      <rPr>
        <b/>
        <sz val="10"/>
        <rFont val="Arial"/>
        <family val="2"/>
      </rPr>
      <t>+</t>
    </r>
    <r>
      <rPr>
        <b/>
        <sz val="10"/>
        <rFont val="宋体"/>
        <family val="3"/>
        <charset val="134"/>
      </rPr>
      <t>利润</t>
    </r>
    <phoneticPr fontId="228" type="noConversion"/>
  </si>
  <si>
    <r>
      <rPr>
        <b/>
        <sz val="10"/>
        <rFont val="宋体"/>
        <family val="3"/>
        <charset val="134"/>
      </rPr>
      <t>土地增值收益是因土地用途等土地使用条件改变或进行土地开发而产生的，结合雄安新区实际情况，统筹考虑耕地指标调剂费及新增建设用地有偿使用费等从政府收益中客观支出的费用，以土地成本价格的</t>
    </r>
    <r>
      <rPr>
        <b/>
        <sz val="10"/>
        <rFont val="Arial"/>
        <family val="2"/>
      </rPr>
      <t>40%</t>
    </r>
    <r>
      <rPr>
        <b/>
        <sz val="10"/>
        <rFont val="宋体"/>
        <family val="3"/>
        <charset val="134"/>
      </rPr>
      <t>测算土地增值收益。</t>
    </r>
    <phoneticPr fontId="228" type="noConversion"/>
  </si>
  <si>
    <r>
      <rPr>
        <b/>
        <sz val="10"/>
        <rFont val="宋体"/>
        <family val="3"/>
        <charset val="134"/>
      </rPr>
      <t>以全区征收土地总面积进行测算，区位修证系数为</t>
    </r>
    <r>
      <rPr>
        <b/>
        <sz val="10"/>
        <rFont val="Arial"/>
        <family val="2"/>
      </rPr>
      <t>1</t>
    </r>
    <r>
      <rPr>
        <b/>
        <sz val="10"/>
        <rFont val="宋体"/>
        <family val="3"/>
        <charset val="134"/>
      </rPr>
      <t>。</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</si>
  <si>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土地增值收益。折合</t>
    </r>
    <r>
      <rPr>
        <b/>
        <sz val="10"/>
        <rFont val="Arial"/>
        <family val="2"/>
      </rPr>
      <t>77.87</t>
    </r>
    <r>
      <rPr>
        <b/>
        <sz val="10"/>
        <rFont val="宋体"/>
        <family val="3"/>
        <charset val="134"/>
      </rPr>
      <t>万元</t>
    </r>
    <r>
      <rPr>
        <b/>
        <sz val="10"/>
        <rFont val="Arial"/>
        <family val="2"/>
      </rPr>
      <t>/</t>
    </r>
    <r>
      <rPr>
        <b/>
        <sz val="10"/>
        <rFont val="宋体"/>
        <family val="3"/>
        <charset val="134"/>
      </rPr>
      <t>亩。</t>
    </r>
    <phoneticPr fontId="228" type="noConversion"/>
  </si>
  <si>
    <t>每亩单价（万元/亩）</t>
    <phoneticPr fontId="228" type="noConversion"/>
  </si>
  <si>
    <t>土地面积</t>
    <phoneticPr fontId="228" type="noConversion"/>
  </si>
  <si>
    <t>价值时点</t>
    <phoneticPr fontId="228" type="noConversion"/>
  </si>
  <si>
    <t>终止年期</t>
    <phoneticPr fontId="228" type="noConversion"/>
  </si>
  <si>
    <t>最高年期</t>
    <phoneticPr fontId="228" type="noConversion"/>
  </si>
  <si>
    <t>剩余年期</t>
    <phoneticPr fontId="228" type="noConversion"/>
  </si>
  <si>
    <r>
      <rPr>
        <b/>
        <sz val="10"/>
        <rFont val="宋体"/>
        <family val="3"/>
        <charset val="134"/>
      </rPr>
      <t>土地还原率</t>
    </r>
    <phoneticPr fontId="228" type="noConversion"/>
  </si>
  <si>
    <t>开发程度</t>
    <phoneticPr fontId="228" type="noConversion"/>
  </si>
  <si>
    <t>工业用地</t>
  </si>
  <si>
    <t>地价指数</t>
  </si>
  <si>
    <t>设定开发程度为五通一平（宗地外围通路、通电、通讯、通上水、通下水及宗地内土地平整）</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</si>
</sst>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0"/>
      <color rgb="FFFF000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4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56" fillId="5" borderId="59" xfId="2" applyFont="1" applyFill="1" applyBorder="1" applyAlignment="1" applyProtection="1">
      <alignment vertical="center"/>
    </xf>
    <xf numFmtId="0" fontId="97" fillId="5" borderId="13" xfId="0" applyFont="1" applyFill="1" applyBorder="1" applyAlignment="1" applyProtection="1">
      <alignment vertical="center"/>
    </xf>
    <xf numFmtId="0" fontId="154" fillId="5" borderId="18" xfId="0" applyFont="1" applyFill="1" applyBorder="1" applyAlignment="1" applyProtection="1">
      <alignment horizontal="left" vertical="center"/>
    </xf>
    <xf numFmtId="178" fontId="221" fillId="5" borderId="21" xfId="2" applyNumberFormat="1" applyFont="1" applyFill="1" applyBorder="1" applyAlignment="1" applyProtection="1">
      <alignment horizontal="center" vertical="center"/>
    </xf>
    <xf numFmtId="0" fontId="221" fillId="5" borderId="21" xfId="2" applyFont="1" applyFill="1" applyBorder="1" applyAlignment="1" applyProtection="1">
      <alignment horizontal="center" vertical="center"/>
    </xf>
    <xf numFmtId="0" fontId="95" fillId="5" borderId="2" xfId="2" applyFont="1" applyFill="1" applyBorder="1" applyAlignment="1" applyProtection="1">
      <alignment horizontal="left" vertical="center" wrapText="1"/>
    </xf>
    <xf numFmtId="0" fontId="40" fillId="5" borderId="5" xfId="2" applyFont="1" applyFill="1" applyBorder="1" applyAlignment="1" applyProtection="1">
      <alignment vertical="center"/>
    </xf>
    <xf numFmtId="0" fontId="95" fillId="5" borderId="5" xfId="2" applyFont="1" applyFill="1" applyBorder="1" applyAlignment="1" applyProtection="1">
      <alignment horizontal="center" vertical="center"/>
    </xf>
    <xf numFmtId="0" fontId="42" fillId="5" borderId="5" xfId="2" applyFont="1" applyFill="1" applyBorder="1" applyAlignment="1" applyProtection="1">
      <alignment vertical="center"/>
    </xf>
    <xf numFmtId="49" fontId="95" fillId="5" borderId="2" xfId="2" applyNumberFormat="1" applyFont="1" applyFill="1" applyBorder="1" applyAlignment="1" applyProtection="1">
      <alignment horizontal="left" vertical="center" wrapText="1"/>
    </xf>
    <xf numFmtId="0" fontId="221" fillId="5" borderId="2" xfId="2" applyFont="1" applyFill="1" applyBorder="1" applyAlignment="1" applyProtection="1">
      <alignment horizontal="center" vertical="center"/>
    </xf>
    <xf numFmtId="0" fontId="221" fillId="5" borderId="5" xfId="2" applyFont="1" applyFill="1" applyBorder="1" applyAlignment="1" applyProtection="1">
      <alignment horizontal="center" vertical="center"/>
    </xf>
    <xf numFmtId="0" fontId="221" fillId="5" borderId="21" xfId="2" applyFont="1" applyFill="1" applyBorder="1" applyAlignment="1" applyProtection="1">
      <alignment horizontal="center" vertical="center" wrapText="1"/>
    </xf>
    <xf numFmtId="0" fontId="83" fillId="5" borderId="10" xfId="0" applyFont="1" applyFill="1" applyBorder="1" applyAlignment="1" applyProtection="1">
      <alignment vertical="center" wrapText="1"/>
    </xf>
    <xf numFmtId="0" fontId="95" fillId="0" borderId="2" xfId="2" applyNumberFormat="1" applyFont="1" applyFill="1" applyBorder="1" applyAlignment="1" applyProtection="1">
      <alignment horizontal="center" vertical="center"/>
      <protection locked="0"/>
    </xf>
    <xf numFmtId="178" fontId="221" fillId="5" borderId="2" xfId="2" applyNumberFormat="1" applyFont="1" applyFill="1" applyBorder="1" applyAlignment="1" applyProtection="1">
      <alignment horizontal="center" vertical="center"/>
    </xf>
    <xf numFmtId="10" fontId="95" fillId="0" borderId="2" xfId="2" applyNumberFormat="1" applyFont="1" applyFill="1" applyBorder="1" applyAlignment="1" applyProtection="1">
      <alignment horizontal="center" vertical="center"/>
      <protection locked="0"/>
    </xf>
    <xf numFmtId="49" fontId="95" fillId="0" borderId="2" xfId="2" applyNumberFormat="1" applyFont="1" applyFill="1" applyBorder="1" applyAlignment="1" applyProtection="1">
      <alignment horizontal="center" vertical="center"/>
      <protection locked="0"/>
    </xf>
    <xf numFmtId="0" fontId="95" fillId="5" borderId="5" xfId="2" applyFont="1" applyFill="1" applyBorder="1" applyAlignment="1" applyProtection="1">
      <alignment horizontal="left" vertical="center"/>
    </xf>
    <xf numFmtId="0" fontId="274" fillId="6" borderId="12" xfId="2" applyNumberFormat="1" applyFont="1" applyFill="1" applyBorder="1" applyAlignment="1" applyProtection="1">
      <alignment horizontal="left" vertical="center"/>
    </xf>
    <xf numFmtId="0" fontId="274" fillId="6" borderId="12" xfId="2" applyFont="1" applyFill="1" applyBorder="1" applyAlignment="1" applyProtection="1">
      <alignment horizontal="left" vertical="center"/>
    </xf>
    <xf numFmtId="0" fontId="224" fillId="6" borderId="21" xfId="2" applyFont="1" applyFill="1" applyBorder="1" applyAlignment="1" applyProtection="1">
      <alignment horizontal="center" vertical="center" wrapText="1"/>
    </xf>
    <xf numFmtId="0" fontId="274" fillId="6" borderId="5" xfId="2" applyFont="1" applyFill="1" applyBorder="1" applyAlignment="1" applyProtection="1">
      <alignment horizontal="center" vertical="center"/>
    </xf>
    <xf numFmtId="178" fontId="274" fillId="6"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left" vertical="center"/>
    </xf>
    <xf numFmtId="49" fontId="221" fillId="5" borderId="2" xfId="2" applyNumberFormat="1" applyFont="1" applyFill="1" applyBorder="1" applyAlignment="1" applyProtection="1">
      <alignment horizontal="left" vertical="center" wrapText="1"/>
    </xf>
    <xf numFmtId="178" fontId="95" fillId="17" borderId="2" xfId="2" applyNumberFormat="1" applyFont="1" applyFill="1" applyBorder="1" applyAlignment="1" applyProtection="1">
      <alignment horizontal="center" vertical="center"/>
      <protection locked="0"/>
    </xf>
    <xf numFmtId="0" fontId="95" fillId="17" borderId="2" xfId="2" applyNumberFormat="1" applyFont="1" applyFill="1" applyBorder="1" applyAlignment="1" applyProtection="1">
      <alignment horizontal="center" vertical="center"/>
      <protection locked="0"/>
    </xf>
    <xf numFmtId="10" fontId="95" fillId="17" borderId="2" xfId="2" applyNumberFormat="1" applyFont="1" applyFill="1" applyBorder="1" applyAlignment="1" applyProtection="1">
      <alignment horizontal="center" vertical="center"/>
      <protection locked="0"/>
    </xf>
    <xf numFmtId="180" fontId="95" fillId="0" borderId="2" xfId="2" applyNumberFormat="1" applyFont="1" applyFill="1" applyBorder="1" applyAlignment="1" applyProtection="1">
      <alignment horizontal="center" vertical="center"/>
      <protection locked="0"/>
    </xf>
    <xf numFmtId="0" fontId="42" fillId="5" borderId="0" xfId="2" applyFont="1" applyFill="1" applyBorder="1" applyAlignment="1" applyProtection="1">
      <alignment vertical="center"/>
    </xf>
    <xf numFmtId="0" fontId="172" fillId="5" borderId="0" xfId="2" applyFont="1" applyFill="1" applyBorder="1" applyAlignment="1" applyProtection="1">
      <alignment vertical="center"/>
      <protection locked="0"/>
    </xf>
    <xf numFmtId="14" fontId="0" fillId="0" borderId="0" xfId="0" applyNumberFormat="1">
      <alignment vertical="center"/>
    </xf>
    <xf numFmtId="14" fontId="0" fillId="0" borderId="0" xfId="0" applyNumberFormat="1" applyProtection="1">
      <alignment vertical="center"/>
      <protection locked="0"/>
    </xf>
    <xf numFmtId="178" fontId="95" fillId="18" borderId="2" xfId="2" applyNumberFormat="1" applyFont="1" applyFill="1" applyBorder="1" applyAlignment="1" applyProtection="1">
      <alignment horizontal="center" vertical="center"/>
      <protection locked="0"/>
    </xf>
    <xf numFmtId="186" fontId="95" fillId="18" borderId="2" xfId="2" applyNumberFormat="1" applyFont="1" applyFill="1" applyBorder="1" applyAlignment="1" applyProtection="1">
      <alignment horizontal="center" vertical="center"/>
      <protection locked="0"/>
    </xf>
    <xf numFmtId="181" fontId="95" fillId="9" borderId="2" xfId="2" applyNumberFormat="1" applyFont="1" applyFill="1" applyBorder="1" applyAlignment="1" applyProtection="1">
      <alignment horizontal="center" vertical="center"/>
      <protection locked="0"/>
    </xf>
    <xf numFmtId="179" fontId="95" fillId="0" borderId="2" xfId="2" applyNumberFormat="1" applyFont="1" applyFill="1" applyBorder="1" applyAlignment="1" applyProtection="1">
      <alignment horizontal="center" vertical="center"/>
      <protection locked="0"/>
    </xf>
    <xf numFmtId="0" fontId="257" fillId="5" borderId="3" xfId="14" applyFont="1" applyFill="1" applyBorder="1" applyAlignment="1">
      <alignment horizontal="center" vertical="center" wrapText="1"/>
    </xf>
    <xf numFmtId="0" fontId="229" fillId="5" borderId="28" xfId="2" applyFont="1" applyFill="1" applyBorder="1" applyAlignment="1" applyProtection="1">
      <alignment vertical="center"/>
      <protection locked="0"/>
    </xf>
    <xf numFmtId="0" fontId="0" fillId="0" borderId="2" xfId="0" applyBorder="1">
      <alignment vertical="center"/>
    </xf>
    <xf numFmtId="0" fontId="42" fillId="5" borderId="2" xfId="2" applyFont="1" applyFill="1" applyBorder="1" applyAlignment="1" applyProtection="1">
      <alignment vertical="center"/>
    </xf>
    <xf numFmtId="49" fontId="95" fillId="5" borderId="2" xfId="2" applyNumberFormat="1" applyFont="1" applyFill="1" applyBorder="1" applyAlignment="1" applyProtection="1">
      <alignment horizontal="left" vertical="center"/>
    </xf>
    <xf numFmtId="9" fontId="0" fillId="0" borderId="2" xfId="0" applyNumberFormat="1" applyBorder="1">
      <alignment vertical="center"/>
    </xf>
    <xf numFmtId="0" fontId="145" fillId="0" borderId="2" xfId="0" applyFont="1" applyBorder="1">
      <alignment vertical="center"/>
    </xf>
    <xf numFmtId="14" fontId="0" fillId="0" borderId="2" xfId="0" applyNumberFormat="1" applyBorder="1">
      <alignment vertical="center"/>
    </xf>
    <xf numFmtId="0" fontId="271" fillId="5" borderId="13" xfId="2" applyFont="1" applyFill="1" applyBorder="1" applyAlignment="1" applyProtection="1">
      <alignment vertical="center"/>
    </xf>
    <xf numFmtId="186" fontId="95" fillId="5" borderId="2" xfId="2" applyNumberFormat="1" applyFont="1" applyFill="1" applyBorder="1" applyAlignment="1" applyProtection="1">
      <alignment horizontal="center" vertical="center"/>
    </xf>
    <xf numFmtId="1" fontId="0" fillId="0" borderId="2" xfId="0" applyNumberFormat="1" applyBorder="1">
      <alignment vertic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21" fillId="5" borderId="40" xfId="2" applyFont="1" applyFill="1" applyBorder="1" applyAlignment="1" applyProtection="1">
      <alignment horizontal="center" vertical="center"/>
    </xf>
    <xf numFmtId="0" fontId="221" fillId="5" borderId="17" xfId="2" applyFont="1" applyFill="1" applyBorder="1" applyAlignment="1" applyProtection="1">
      <alignment horizontal="center" vertical="center"/>
    </xf>
    <xf numFmtId="0" fontId="221" fillId="5" borderId="53" xfId="2" applyFont="1" applyFill="1" applyBorder="1" applyAlignment="1" applyProtection="1">
      <alignment horizontal="left" vertical="center"/>
    </xf>
    <xf numFmtId="0" fontId="95" fillId="5" borderId="50" xfId="2" applyFont="1" applyFill="1" applyBorder="1" applyAlignment="1" applyProtection="1">
      <alignment horizontal="left" vertical="center"/>
    </xf>
    <xf numFmtId="0" fontId="95" fillId="5" borderId="27" xfId="2" applyFont="1" applyFill="1" applyBorder="1" applyAlignment="1" applyProtection="1">
      <alignment vertical="center"/>
    </xf>
    <xf numFmtId="0" fontId="95" fillId="5" borderId="21" xfId="2" applyFont="1" applyFill="1" applyBorder="1" applyAlignment="1" applyProtection="1">
      <alignment vertical="center"/>
    </xf>
    <xf numFmtId="178" fontId="221" fillId="5" borderId="29" xfId="2" applyNumberFormat="1" applyFont="1" applyFill="1" applyBorder="1" applyAlignment="1" applyProtection="1">
      <alignment horizontal="center" vertical="center"/>
    </xf>
    <xf numFmtId="178" fontId="95" fillId="5" borderId="42" xfId="2" applyNumberFormat="1" applyFont="1" applyFill="1" applyBorder="1" applyAlignment="1" applyProtection="1">
      <alignment horizontal="center" vertical="center"/>
    </xf>
    <xf numFmtId="0" fontId="221" fillId="5" borderId="29" xfId="2" applyFont="1" applyFill="1" applyBorder="1" applyAlignment="1" applyProtection="1">
      <alignment horizontal="center" vertical="center"/>
    </xf>
    <xf numFmtId="0" fontId="95" fillId="5" borderId="42" xfId="2" applyFont="1" applyFill="1" applyBorder="1" applyAlignment="1" applyProtection="1">
      <alignment horizontal="center" vertical="center"/>
    </xf>
    <xf numFmtId="0" fontId="221" fillId="5" borderId="30" xfId="2" applyFont="1" applyFill="1" applyBorder="1" applyAlignment="1" applyProtection="1">
      <alignment horizontal="center"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2656</v>
      </c>
      <c r="B1" s="2847" t="s">
        <v>2753</v>
      </c>
    </row>
    <row r="2" spans="1:55" s="2851" customFormat="1" ht="15" thickTop="1">
      <c r="A2" s="2849" t="s">
        <v>2660</v>
      </c>
      <c r="B2" s="2850" t="str">
        <f>'预评函-封皮'!B37</f>
        <v>出让国有建设用地使用权预评估</v>
      </c>
      <c r="AX2" s="2852"/>
      <c r="AZ2" s="2852"/>
      <c r="BA2" s="2853"/>
      <c r="BC2" s="2853"/>
    </row>
    <row r="3" spans="1:55" s="2854" customFormat="1">
      <c r="A3" s="2833" t="s">
        <v>2661</v>
      </c>
      <c r="B3" s="2836">
        <f>'预评函-封皮'!B40</f>
        <v>0</v>
      </c>
    </row>
    <row r="4" spans="1:55" s="2835" customFormat="1">
      <c r="A4" s="2833" t="s">
        <v>2662</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2663</v>
      </c>
      <c r="B5" s="2856" t="str">
        <f>'预评函-封皮'!B49</f>
        <v>康正预评字号</v>
      </c>
    </row>
    <row r="6" spans="1:55" s="2857" customFormat="1" ht="15" thickTop="1">
      <c r="A6" s="2849" t="s">
        <v>2705</v>
      </c>
      <c r="B6" s="2850" t="str">
        <f>'预评函-1'!A4</f>
        <v>受贵公司委托，我公司对出让国有建设用地使用权进行了预评估。</v>
      </c>
      <c r="AM6" s="2858"/>
    </row>
    <row r="7" spans="1:55" s="2832" customFormat="1">
      <c r="A7" s="2833" t="s">
        <v>2657</v>
      </c>
      <c r="B7" s="2834" t="str">
        <f>'预评函-1'!A6</f>
        <v>估价对象为使用的、位于出让国有建设用地使用权。根据《国有土地使用证》[]，估价对象（分摊）出让国有建设用地使用权面积为15557.09平方米。根据《建设工程规划许可证》[]、《出让合同》[]，估价对象规划建筑面积为10288平方米。</v>
      </c>
    </row>
    <row r="8" spans="1:55" s="2832" customFormat="1">
      <c r="A8" s="2833" t="s">
        <v>2658</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2708</v>
      </c>
      <c r="B9" s="283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2659</v>
      </c>
      <c r="B10" s="2834" t="str">
        <f>'预评函-1'!A11</f>
        <v>2021年8月27日</v>
      </c>
    </row>
    <row r="11" spans="1:55" s="2832" customFormat="1">
      <c r="A11" s="2833" t="s">
        <v>2665</v>
      </c>
      <c r="B11" s="2834" t="str">
        <f>'预评函-1'!A14</f>
        <v>根据《国有土地使用证》[]，本次评估估价对象证载（地类）用途为。</v>
      </c>
    </row>
    <row r="12" spans="1:55" s="2832" customFormat="1">
      <c r="A12" s="2833" t="s">
        <v>2666</v>
      </c>
      <c r="B12" s="2834" t="str">
        <f>'预评函-1'!A15</f>
        <v>本次评估设定用途即为证载用途。</v>
      </c>
    </row>
    <row r="13" spans="1:55" s="2832" customFormat="1">
      <c r="A13" s="2833" t="s">
        <v>2667</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2668</v>
      </c>
      <c r="B14" s="2834" t="str">
        <f>'预评函-1'!A18</f>
        <v>。本次评估设定土地开发程度为红线外市政基础设施达“七通”、宗地红线内场地平整。</v>
      </c>
    </row>
    <row r="15" spans="1:55" s="2832" customFormat="1">
      <c r="A15" s="2833" t="s">
        <v>2664</v>
      </c>
      <c r="B15" s="2834" t="str">
        <f>'预评函-1'!A20</f>
        <v>根据《国有土地使用证》[]，估价对象（分摊）出让国有建设用地使用权面积为15557.09平方米。根据《建设工程规划许可证》[]、《出让合同》[]，估价对象规划建筑面积为10288平方米。</v>
      </c>
    </row>
    <row r="16" spans="1:55" s="2832" customFormat="1">
      <c r="A16" s="2833" t="s">
        <v>2669</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截至估价期日，出让国有建设用地使用权剩余土地使用年限为。</v>
      </c>
    </row>
    <row r="17" spans="1:48" s="2832" customFormat="1">
      <c r="A17" s="2833" t="s">
        <v>2670</v>
      </c>
      <c r="B17" s="2834" t="str">
        <f>'预评函-1'!A23</f>
        <v>本次评估设定估价对象剩余土地使用年限为。</v>
      </c>
    </row>
    <row r="18" spans="1:48" s="2832" customFormat="1">
      <c r="A18" s="2833" t="s">
        <v>2671</v>
      </c>
      <c r="B18" s="2834" t="str">
        <f>'预评函-1'!A25</f>
        <v>本次估价的“出让国有建设用地使用权价格”是指在估价对象土地所有权为国家所有，使用权性质为出让，在公开市场条件下、于估价期日2021年8月27日，在规划利用条件下、设定土地开发程度为红线外“七通”、宗地内场地，设定用途为，剩余土地使用年限为的出让国有建设用地使用权价格。</v>
      </c>
    </row>
    <row r="19" spans="1:48" s="2832" customFormat="1">
      <c r="A19" s="2833" t="s">
        <v>2672</v>
      </c>
      <c r="B19" s="283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2" customFormat="1">
      <c r="A20" s="2833" t="s">
        <v>2673</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2674</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2675</v>
      </c>
      <c r="B22" s="2845"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33" t="s">
        <v>2676</v>
      </c>
      <c r="B23" s="2834" t="str">
        <f>'预评函-2'!K2</f>
        <v>估价期日：2021年8月27日</v>
      </c>
    </row>
    <row r="24" spans="1:48">
      <c r="A24" s="2833" t="s">
        <v>2677</v>
      </c>
      <c r="B24" s="2834" t="str">
        <f>'预评函-2'!R2</f>
        <v>估价期日的国有建设用地使用权性质：出让</v>
      </c>
    </row>
    <row r="25" spans="1:48">
      <c r="A25" s="2833" t="s">
        <v>2733</v>
      </c>
      <c r="B25" s="2834" t="str">
        <f>'预评函-2'!A3</f>
        <v>估价期日土地使用者</v>
      </c>
    </row>
    <row r="26" spans="1:48">
      <c r="A26" s="2833" t="s">
        <v>2709</v>
      </c>
      <c r="B26" s="2834" t="str">
        <f>'预评函-2'!A5</f>
        <v>中信开发</v>
      </c>
    </row>
    <row r="27" spans="1:48">
      <c r="A27" s="2833" t="s">
        <v>2734</v>
      </c>
      <c r="B27" s="2834" t="str">
        <f>'预评函-2'!B3</f>
        <v>宗地编号/不动产单元号</v>
      </c>
    </row>
    <row r="28" spans="1:48">
      <c r="A28" s="2833" t="s">
        <v>2710</v>
      </c>
      <c r="B28" s="2834" t="str">
        <f>'预评函-2'!B5</f>
        <v>11111111111</v>
      </c>
    </row>
    <row r="29" spans="1:48">
      <c r="A29" s="2833" t="s">
        <v>2736</v>
      </c>
      <c r="B29" s="2834">
        <f>'预评函-2'!C5</f>
        <v>22</v>
      </c>
    </row>
    <row r="30" spans="1:48">
      <c r="A30" s="2833" t="s">
        <v>2737</v>
      </c>
      <c r="B30" s="2834" t="str">
        <f>'预评函-2'!D3</f>
        <v>土地使用证编号/不动产权证书编号</v>
      </c>
    </row>
    <row r="31" spans="1:48">
      <c r="A31" s="2833" t="s">
        <v>2711</v>
      </c>
      <c r="B31" s="2834" t="str">
        <f>'预评函-2'!D5</f>
        <v>京国土字第111号</v>
      </c>
    </row>
    <row r="32" spans="1:48">
      <c r="A32" s="2833" t="s">
        <v>2712</v>
      </c>
      <c r="B32" s="2834">
        <f>'预评函-2'!E5</f>
        <v>0</v>
      </c>
      <c r="AV32" s="2838"/>
    </row>
    <row r="33" spans="1:2">
      <c r="A33" s="2833" t="s">
        <v>2713</v>
      </c>
      <c r="B33" s="2834">
        <f>'预评函-2'!F5</f>
        <v>258</v>
      </c>
    </row>
    <row r="34" spans="1:2">
      <c r="A34" s="2833" t="s">
        <v>2714</v>
      </c>
      <c r="B34" s="2834">
        <f>'预评函-2'!G5</f>
        <v>0</v>
      </c>
    </row>
    <row r="35" spans="1:2">
      <c r="A35" s="2833" t="s">
        <v>2715</v>
      </c>
      <c r="B35" s="2834">
        <f>'预评函-2'!H5</f>
        <v>1.5</v>
      </c>
    </row>
    <row r="36" spans="1:2">
      <c r="A36" s="2833" t="s">
        <v>2716</v>
      </c>
      <c r="B36" s="2834">
        <f>'预评函-2'!I5</f>
        <v>1.5</v>
      </c>
    </row>
    <row r="37" spans="1:2">
      <c r="A37" s="2833" t="s">
        <v>2717</v>
      </c>
      <c r="B37" s="2834">
        <f>'预评函-2'!J5</f>
        <v>1.5</v>
      </c>
    </row>
    <row r="38" spans="1:2">
      <c r="A38" s="2833" t="s">
        <v>2718</v>
      </c>
      <c r="B38" s="2834" t="str">
        <f>'预评函-2'!K5</f>
        <v>红线外七通、宗地红线内</v>
      </c>
    </row>
    <row r="39" spans="1:2">
      <c r="A39" s="2833" t="s">
        <v>2719</v>
      </c>
      <c r="B39" s="2834" t="str">
        <f>'预评函-2'!L5</f>
        <v>红线外七通、宗地红线内场地</v>
      </c>
    </row>
    <row r="40" spans="1:2">
      <c r="A40" s="2833" t="s">
        <v>2738</v>
      </c>
      <c r="B40" s="2834" t="str">
        <f>'预评函-2'!M3</f>
        <v>（剩余）土地使用年限/年</v>
      </c>
    </row>
    <row r="41" spans="1:2">
      <c r="A41" s="2833" t="s">
        <v>2720</v>
      </c>
      <c r="B41" s="2834">
        <f>'预评函-2'!M5</f>
        <v>0</v>
      </c>
    </row>
    <row r="42" spans="1:2">
      <c r="A42" s="2833" t="s">
        <v>2739</v>
      </c>
      <c r="B42" s="2834" t="str">
        <f>'预评函-2'!N3</f>
        <v>（分摊）出让国有建设用地使用权面积/㎡</v>
      </c>
    </row>
    <row r="43" spans="1:2">
      <c r="A43" s="2833" t="s">
        <v>2721</v>
      </c>
      <c r="B43" s="2834">
        <f>'预评函-2'!N5</f>
        <v>15557.09</v>
      </c>
    </row>
    <row r="44" spans="1:2">
      <c r="A44" s="2833" t="s">
        <v>2740</v>
      </c>
      <c r="B44" s="2834" t="str">
        <f>'预评函-2'!O3</f>
        <v>规划建筑面积/㎡</v>
      </c>
    </row>
    <row r="45" spans="1:2">
      <c r="A45" s="2833" t="s">
        <v>2722</v>
      </c>
      <c r="B45" s="2834">
        <f>'预评函-2'!O5</f>
        <v>10288.000000000002</v>
      </c>
    </row>
    <row r="46" spans="1:2">
      <c r="A46" s="2833" t="s">
        <v>2723</v>
      </c>
      <c r="B46" s="2834" t="e">
        <f ca="1">'预评函-2'!P5</f>
        <v>#REF!</v>
      </c>
    </row>
    <row r="47" spans="1:2">
      <c r="A47" s="2833" t="s">
        <v>2724</v>
      </c>
      <c r="B47" s="2834" t="e">
        <f ca="1">'预评函-2'!Q5</f>
        <v>#REF!</v>
      </c>
    </row>
    <row r="48" spans="1:2">
      <c r="A48" s="2833" t="s">
        <v>2725</v>
      </c>
      <c r="B48" s="2834" t="e">
        <f ca="1">'预评函-2'!R5</f>
        <v>#REF!</v>
      </c>
    </row>
    <row r="49" spans="1:2">
      <c r="A49" s="2833" t="s">
        <v>2741</v>
      </c>
      <c r="B49" s="2834" t="str">
        <f>'预评函-2'!A6</f>
        <v>抵押价格</v>
      </c>
    </row>
    <row r="50" spans="1:2">
      <c r="A50" s="2833" t="s">
        <v>2726</v>
      </c>
      <c r="B50" s="2834" t="str">
        <f>'预评函-2'!R6</f>
        <v>——</v>
      </c>
    </row>
    <row r="51" spans="1:2">
      <c r="A51" s="2833" t="s">
        <v>2742</v>
      </c>
      <c r="B51" s="2834" t="str">
        <f>'预评函-2'!A7</f>
        <v>——</v>
      </c>
    </row>
    <row r="52" spans="1:2">
      <c r="A52" s="2833" t="s">
        <v>2727</v>
      </c>
      <c r="B52" s="2834" t="str">
        <f>'预评函-2'!R7</f>
        <v>——</v>
      </c>
    </row>
    <row r="53" spans="1:2">
      <c r="A53" s="2833" t="s">
        <v>2743</v>
      </c>
      <c r="B53" s="2834">
        <f>'预评函-2'!A8</f>
        <v>0</v>
      </c>
    </row>
    <row r="54" spans="1:2" s="2848" customFormat="1" ht="15" thickBot="1">
      <c r="A54" s="2855" t="s">
        <v>2728</v>
      </c>
      <c r="B54" s="2856" t="str">
        <f>'预评函-2'!R8</f>
        <v>——</v>
      </c>
    </row>
    <row r="55" spans="1:2" ht="15" thickTop="1">
      <c r="A55" s="2844" t="s">
        <v>2678</v>
      </c>
      <c r="B55" s="2845" t="str">
        <f>'预评函-3'!A2</f>
        <v>1.权利限制：根据估价对象《不动产权证书》原件、《国有土地使用权》复印件，截至估价期日，估价对象抵押权未见登记。未设定租赁等其他他项权利。</v>
      </c>
    </row>
    <row r="56" spans="1:2">
      <c r="A56" s="2833" t="s">
        <v>2679</v>
      </c>
      <c r="B56" s="2834" t="str">
        <f>'预评函-3'!A3</f>
        <v>2.基础设施条件：估价对象实际开发程度为红线外七通、宗地红线内；本次评估设定开发程度为红线外七通、宗地红线内场地。</v>
      </c>
    </row>
    <row r="57" spans="1:2">
      <c r="A57" s="2833" t="s">
        <v>2680</v>
      </c>
      <c r="B57" s="2834" t="str">
        <f>'预评函-3'!A4</f>
        <v>3.估价规划限制条件：详见《建设工程规划许可证》[]、《出让合同》[]。</v>
      </c>
    </row>
    <row r="58" spans="1:2" s="2848" customFormat="1" ht="15" thickBot="1">
      <c r="A58" s="2855" t="s">
        <v>2729</v>
      </c>
      <c r="B58" s="2856" t="str">
        <f>'预评函-3'!A5</f>
        <v>4.影响价格的其他限定条件：无。</v>
      </c>
    </row>
    <row r="59" spans="1:2" ht="15" thickTop="1">
      <c r="A59" s="2844" t="s">
        <v>2681</v>
      </c>
      <c r="B59" s="2845" t="str">
        <f>'预评函-3'!A8</f>
        <v>2.本《评估意见函》仅供金融机构进行内部审核使用，不做其他目的之用。</v>
      </c>
    </row>
    <row r="60" spans="1:2">
      <c r="A60" s="2833" t="s">
        <v>2682</v>
      </c>
      <c r="B60" s="2834" t="str">
        <f>'预评函-3'!A9</f>
        <v>3.抵押双方在办理抵押登记手续时，应使用本公司出具的正式《土地估价报告》，特提请报告使用者注意。</v>
      </c>
    </row>
    <row r="61" spans="1:2">
      <c r="A61" s="2833" t="s">
        <v>2684</v>
      </c>
      <c r="B61" s="2834" t="str">
        <f>'预评函-3'!A10</f>
        <v>4.估价师所知悉的法定优先受偿款情况为：</v>
      </c>
    </row>
    <row r="62" spans="1:2">
      <c r="A62" s="2833" t="s">
        <v>2683</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2685</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2686</v>
      </c>
      <c r="B64" s="2839" t="str">
        <f>'预评函-3'!A13</f>
        <v>（3）。</v>
      </c>
    </row>
    <row r="65" spans="1:2">
      <c r="A65" s="2833" t="s">
        <v>2687</v>
      </c>
      <c r="B65" s="2840" t="str">
        <f>'预评函-3'!A14</f>
        <v>综上，本次评估不存在估价师知悉的法定优先受偿款</v>
      </c>
    </row>
    <row r="66" spans="1:2">
      <c r="A66" s="2833" t="s">
        <v>2688</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2689</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2692</v>
      </c>
      <c r="B68" s="2859">
        <f>'预评函-3'!D30</f>
        <v>42558</v>
      </c>
    </row>
    <row r="69" spans="1:2" ht="15" thickTop="1">
      <c r="A69" s="2844" t="s">
        <v>2690</v>
      </c>
      <c r="B69" s="2845" t="str">
        <f>'预评函-3'!A20</f>
        <v>土地估价师</v>
      </c>
    </row>
    <row r="70" spans="1:2">
      <c r="A70" s="2833" t="s">
        <v>2690</v>
      </c>
      <c r="B70" s="2840">
        <f>'预评函-3'!B20</f>
        <v>0</v>
      </c>
    </row>
    <row r="71" spans="1:2">
      <c r="A71" s="2833" t="s">
        <v>2691</v>
      </c>
      <c r="B71" s="2834" t="str">
        <f>'预评函-3'!A21</f>
        <v>土地估价师</v>
      </c>
    </row>
    <row r="72" spans="1:2" s="2848" customFormat="1" ht="15" thickBot="1">
      <c r="A72" s="2855" t="s">
        <v>2691</v>
      </c>
      <c r="B72" s="2861">
        <f>'预评函-3'!B21</f>
        <v>0</v>
      </c>
    </row>
    <row r="73" spans="1:2" ht="15" thickTop="1">
      <c r="A73" s="2844" t="s">
        <v>2750</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2751</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2752</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2787</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18" sqref="I18"/>
    </sheetView>
  </sheetViews>
  <sheetFormatPr defaultColWidth="10" defaultRowHeight="14.25"/>
  <cols>
    <col min="1" max="1" width="15.375" style="1675" customWidth="1"/>
    <col min="2" max="2" width="11.375" style="1675" customWidth="1"/>
    <col min="3" max="3" width="12.625" style="1675" customWidth="1"/>
    <col min="4" max="4" width="13.5"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263" t="str">
        <f>IF(B10="北京市","北京市",C10)&amp;F10&amp;B16&amp;"国有建设用地使用权"&amp;B9&amp;"预评估"</f>
        <v>出让国有建设用地使用权预评估</v>
      </c>
      <c r="C1" s="3264"/>
      <c r="D1" s="3264"/>
      <c r="E1" s="3264"/>
      <c r="F1" s="3264"/>
      <c r="G1" s="3264"/>
      <c r="H1" s="3264"/>
      <c r="I1" s="3265"/>
      <c r="J1" s="1678"/>
      <c r="K1" s="2419" t="str">
        <f>IF(B10="北京市","北京市",C10)&amp;F10&amp;B16&amp;"国有建设用地使用权"&amp;B9</f>
        <v>出让国有建设用地使用权</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1939</v>
      </c>
      <c r="B3" s="1646"/>
      <c r="C3" s="1647" t="s">
        <v>1995</v>
      </c>
      <c r="D3" s="1646">
        <v>44435</v>
      </c>
      <c r="E3" s="1678"/>
      <c r="F3" s="1678"/>
      <c r="G3" s="1678"/>
      <c r="H3" s="1644"/>
      <c r="I3" s="1679"/>
      <c r="J3" s="1678"/>
      <c r="K3" s="1758"/>
      <c r="L3" s="1707"/>
      <c r="M3" s="1707"/>
      <c r="N3" s="1678"/>
      <c r="O3" s="1679"/>
      <c r="P3" s="1678"/>
      <c r="Q3" s="1678"/>
      <c r="R3" s="1678"/>
      <c r="S3" s="1678"/>
      <c r="T3" s="1678"/>
      <c r="U3" s="1678"/>
    </row>
    <row r="4" spans="1:21" ht="15" thickBot="1">
      <c r="A4" s="1648" t="s">
        <v>1940</v>
      </c>
      <c r="B4" s="1827" t="s">
        <v>2889</v>
      </c>
      <c r="C4" s="1830">
        <f>SUMIF(土地估价师,B4,估价师及机构信息!E3:E24)</f>
        <v>0</v>
      </c>
      <c r="D4" s="1827" t="s">
        <v>2889</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2706</v>
      </c>
      <c r="B6" s="1773"/>
      <c r="C6" s="1745"/>
      <c r="D6" s="1652"/>
      <c r="E6" s="1678"/>
      <c r="F6" s="1678"/>
      <c r="G6" s="1678"/>
      <c r="H6" s="1644"/>
      <c r="I6" s="1679"/>
      <c r="J6" s="1678"/>
      <c r="K6" s="3006" t="str">
        <f>IF(COUNTIF(B6,"*上海银行*"),"上海银行","")</f>
        <v/>
      </c>
      <c r="L6" s="1707"/>
      <c r="M6" s="1707"/>
      <c r="N6" s="1678"/>
      <c r="O6" s="1679"/>
      <c r="P6" s="1678"/>
      <c r="Q6" s="1678"/>
      <c r="R6" s="1678"/>
      <c r="S6" s="1678"/>
      <c r="T6" s="1678"/>
      <c r="U6" s="1678"/>
    </row>
    <row r="7" spans="1:21">
      <c r="A7" s="1653" t="s">
        <v>2707</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2997</v>
      </c>
      <c r="C8" s="1655"/>
      <c r="D8" s="3269" t="s">
        <v>1944</v>
      </c>
      <c r="E8" s="1828"/>
      <c r="F8" s="1656"/>
      <c r="G8" s="1644"/>
      <c r="H8" s="1644"/>
      <c r="I8" s="1691"/>
      <c r="J8" s="1678"/>
      <c r="K8" s="1758"/>
      <c r="L8" s="1707"/>
      <c r="M8" s="1707"/>
      <c r="N8" s="1678"/>
      <c r="O8" s="1679"/>
      <c r="P8" s="1678"/>
      <c r="Q8" s="1678"/>
      <c r="R8" s="1678"/>
      <c r="S8" s="1678"/>
      <c r="T8" s="1678"/>
      <c r="U8" s="1678"/>
    </row>
    <row r="9" spans="1:21" ht="15" thickBot="1">
      <c r="A9" s="1657" t="s">
        <v>1943</v>
      </c>
      <c r="B9" s="1658"/>
      <c r="C9" s="1659"/>
      <c r="D9" s="3270"/>
      <c r="E9" s="1658"/>
      <c r="F9" s="1731"/>
      <c r="G9" s="1726"/>
      <c r="H9" s="1726"/>
      <c r="I9" s="1727"/>
      <c r="J9" s="1678"/>
      <c r="K9" s="1758"/>
      <c r="L9" s="1707"/>
      <c r="M9" s="1707"/>
      <c r="N9" s="1678"/>
      <c r="O9" s="1679"/>
      <c r="P9" s="1678"/>
      <c r="Q9" s="1678"/>
      <c r="R9" s="1678"/>
      <c r="S9" s="1678"/>
      <c r="T9" s="1678"/>
      <c r="U9" s="1678"/>
    </row>
    <row r="10" spans="1:21" ht="15" thickTop="1">
      <c r="A10" s="1728" t="s">
        <v>1999</v>
      </c>
      <c r="B10" s="1703"/>
      <c r="C10" s="1660"/>
      <c r="D10" s="1651"/>
      <c r="E10" s="1661" t="s">
        <v>1946</v>
      </c>
      <c r="F10" s="1662"/>
      <c r="G10" s="1729"/>
      <c r="H10" s="1730"/>
      <c r="I10" s="1651"/>
      <c r="J10" s="1678"/>
      <c r="K10" s="1758"/>
      <c r="L10" s="1707"/>
      <c r="M10" s="1707"/>
      <c r="N10" s="1678"/>
      <c r="O10" s="1679"/>
      <c r="P10" s="1678"/>
      <c r="Q10" s="1678"/>
      <c r="R10" s="1678"/>
      <c r="S10" s="1678"/>
      <c r="T10" s="1678"/>
      <c r="U10" s="1678"/>
    </row>
    <row r="11" spans="1:21">
      <c r="A11" s="1681" t="s">
        <v>2000</v>
      </c>
      <c r="B11" s="1682"/>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66"/>
      <c r="C12" s="3267"/>
      <c r="D12" s="3268"/>
      <c r="E12" s="1683" t="s">
        <v>2061</v>
      </c>
      <c r="F12" s="3284" t="s">
        <v>2890</v>
      </c>
      <c r="G12" s="3285"/>
      <c r="H12" s="3285"/>
      <c r="I12" s="3286"/>
      <c r="J12" s="1678"/>
      <c r="K12" s="1758"/>
      <c r="L12" s="1707"/>
      <c r="M12" s="1707"/>
      <c r="N12" s="1678"/>
      <c r="O12" s="1679"/>
      <c r="P12" s="1678"/>
      <c r="Q12" s="1678"/>
      <c r="R12" s="1678"/>
      <c r="S12" s="1678"/>
      <c r="T12" s="1678"/>
      <c r="U12" s="1678"/>
    </row>
    <row r="13" spans="1:21">
      <c r="A13" s="1671" t="s">
        <v>2059</v>
      </c>
      <c r="B13" s="3266"/>
      <c r="C13" s="3267"/>
      <c r="D13" s="3268"/>
      <c r="E13" s="1683" t="s">
        <v>2061</v>
      </c>
      <c r="F13" s="3284" t="s">
        <v>2891</v>
      </c>
      <c r="G13" s="3285"/>
      <c r="H13" s="3285"/>
      <c r="I13" s="3286"/>
      <c r="J13" s="1678"/>
      <c r="K13" s="1758"/>
      <c r="L13" s="1707"/>
      <c r="M13" s="1707"/>
      <c r="N13" s="1678"/>
      <c r="O13" s="1679"/>
      <c r="P13" s="1678"/>
      <c r="Q13" s="1678"/>
      <c r="R13" s="1678"/>
      <c r="S13" s="1678"/>
      <c r="T13" s="1678"/>
      <c r="U13" s="1678"/>
    </row>
    <row r="14" spans="1:21">
      <c r="A14" s="1645" t="s">
        <v>2062</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28.5">
      <c r="A16" s="1664" t="s">
        <v>1947</v>
      </c>
      <c r="B16" s="1665" t="s">
        <v>2991</v>
      </c>
      <c r="C16" s="1683" t="s">
        <v>1948</v>
      </c>
      <c r="D16" s="2610" t="s">
        <v>1949</v>
      </c>
      <c r="E16" s="1706"/>
      <c r="F16" s="1706"/>
      <c r="G16" s="1706"/>
      <c r="H16" s="1706"/>
      <c r="I16" s="1670" t="s">
        <v>1954</v>
      </c>
      <c r="J16" s="1678"/>
      <c r="K16" s="2420" t="str">
        <f>IF(D17="","",D16&amp;TEXT(D17,"yyyy年m月d日;;"))</f>
        <v/>
      </c>
      <c r="L16" s="1683" t="str">
        <f>IF(OR(K16="",M16=""),"","、")</f>
        <v/>
      </c>
      <c r="M16" s="2420" t="str">
        <f>IF(E17="","",E16&amp;TEXT(E17,"yyyy年m月d日;;"))</f>
        <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1955</v>
      </c>
      <c r="D17" s="1684"/>
      <c r="E17" s="1684"/>
      <c r="F17" s="1684"/>
      <c r="G17" s="1684"/>
      <c r="H17" s="1684"/>
      <c r="I17" s="3217"/>
      <c r="J17" s="1678"/>
      <c r="K17" s="2419" t="str">
        <f>CONCATENATE(K16,L16,M16,N16,O16,P16,Q16,R16,S16,T16,,U16)</f>
        <v/>
      </c>
      <c r="L17" s="1707"/>
      <c r="M17" s="1707"/>
      <c r="N17" s="1678"/>
      <c r="O17" s="1679"/>
      <c r="P17" s="1678"/>
      <c r="Q17" s="1678"/>
      <c r="R17" s="1678"/>
      <c r="S17" s="1678"/>
      <c r="T17" s="1678"/>
      <c r="U17" s="1678"/>
    </row>
    <row r="18" spans="1:21">
      <c r="A18" s="1747"/>
      <c r="B18" s="1666"/>
      <c r="C18" s="1667" t="s">
        <v>1956</v>
      </c>
      <c r="D18" s="1668"/>
      <c r="E18" s="1668"/>
      <c r="F18" s="1668"/>
      <c r="G18" s="1668"/>
      <c r="H18" s="1668"/>
      <c r="I18" s="1668"/>
      <c r="J18" s="1678"/>
      <c r="K18" s="1758"/>
      <c r="L18" s="1707"/>
      <c r="M18" s="1707"/>
      <c r="N18" s="1678"/>
      <c r="O18" s="1679"/>
      <c r="P18" s="1678"/>
      <c r="Q18" s="1678"/>
      <c r="R18" s="1678"/>
      <c r="S18" s="1678"/>
      <c r="T18" s="1678"/>
      <c r="U18" s="1678"/>
    </row>
    <row r="19" spans="1:21">
      <c r="A19" s="1747"/>
      <c r="B19" s="1666"/>
      <c r="C19" s="1644" t="s">
        <v>1957</v>
      </c>
      <c r="D19" s="1742" t="str">
        <f>IF(B16="出让",IF(D17="","",ROUNDDOWN(MIN((D17-$D$3)/365,D18),2)),D18)</f>
        <v/>
      </c>
      <c r="E19" s="1669" t="str">
        <f>IF(B16="出让",IF(E17="","",ROUNDDOWN(MIN((E17-$D$3)/365,E18),2)),E18)</f>
        <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2060</v>
      </c>
      <c r="D20" s="3281"/>
      <c r="E20" s="3282"/>
      <c r="F20" s="3282"/>
      <c r="G20" s="3282"/>
      <c r="H20" s="3282"/>
      <c r="I20" s="3283"/>
      <c r="J20" s="1678"/>
      <c r="K20" s="1758"/>
      <c r="L20" s="1707"/>
      <c r="M20" s="1707"/>
      <c r="N20" s="1678"/>
      <c r="O20" s="1679"/>
      <c r="P20" s="1678"/>
      <c r="Q20" s="1678"/>
      <c r="R20" s="1678"/>
      <c r="S20" s="1678"/>
      <c r="T20" s="1678"/>
      <c r="U20" s="1678"/>
    </row>
    <row r="21" spans="1:21">
      <c r="A21" s="1747" t="s">
        <v>1958</v>
      </c>
      <c r="B21" s="1748" t="s">
        <v>1959</v>
      </c>
      <c r="C21" s="1743">
        <f>'数据-汇总表'!E3</f>
        <v>10288.000000000002</v>
      </c>
      <c r="D21" s="1744" t="s">
        <v>1960</v>
      </c>
      <c r="E21" s="3271" t="s">
        <v>1998</v>
      </c>
      <c r="F21" s="3272"/>
      <c r="G21" s="3272"/>
      <c r="H21" s="3272"/>
      <c r="I21" s="3273"/>
      <c r="J21" s="1678"/>
      <c r="K21" s="1758"/>
      <c r="L21" s="1707"/>
      <c r="M21" s="1707"/>
      <c r="N21" s="1678"/>
      <c r="O21" s="1679"/>
      <c r="P21" s="1678"/>
      <c r="Q21" s="1678"/>
      <c r="R21" s="1678"/>
      <c r="S21" s="1678"/>
      <c r="T21" s="1678"/>
      <c r="U21" s="1678"/>
    </row>
    <row r="22" spans="1:21">
      <c r="A22" s="3096" t="s">
        <v>952</v>
      </c>
      <c r="B22" s="1645" t="s">
        <v>1961</v>
      </c>
      <c r="C22" s="1670">
        <f>'数据-汇总表'!D3</f>
        <v>15557.09</v>
      </c>
      <c r="D22" s="1671" t="s">
        <v>1960</v>
      </c>
      <c r="E22" s="3271" t="s">
        <v>2892</v>
      </c>
      <c r="F22" s="3272"/>
      <c r="G22" s="3272"/>
      <c r="H22" s="3272"/>
      <c r="I22" s="3273"/>
      <c r="J22" s="1678"/>
      <c r="K22" s="1758"/>
      <c r="L22" s="1707"/>
      <c r="M22" s="1707"/>
      <c r="N22" s="1678"/>
      <c r="O22" s="1679"/>
      <c r="P22" s="1678"/>
      <c r="Q22" s="1678"/>
      <c r="R22" s="1678"/>
      <c r="S22" s="1678"/>
      <c r="T22" s="1678"/>
      <c r="U22" s="1678"/>
    </row>
    <row r="23" spans="1:21" ht="29.25"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74" t="s">
        <v>1966</v>
      </c>
      <c r="C24" s="3275"/>
      <c r="D24" s="3276" t="s">
        <v>1967</v>
      </c>
      <c r="E24" s="3277"/>
      <c r="F24" s="1692" t="s">
        <v>1968</v>
      </c>
      <c r="G24" s="1678"/>
      <c r="H24" s="1678"/>
      <c r="I24" s="1691"/>
      <c r="J24" s="1678"/>
      <c r="K24" s="3262"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2325</v>
      </c>
      <c r="C25" s="1693" t="s">
        <v>1970</v>
      </c>
      <c r="D25" s="1694"/>
      <c r="E25" s="1695" t="s">
        <v>952</v>
      </c>
      <c r="F25" s="1696"/>
      <c r="G25" s="1678"/>
      <c r="H25" s="1678"/>
      <c r="I25" s="1691"/>
      <c r="J25" s="1678"/>
      <c r="K25" s="3262"/>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1971</v>
      </c>
      <c r="C26" s="1693" t="s">
        <v>2326</v>
      </c>
      <c r="D26" s="1644"/>
      <c r="E26" s="1644"/>
      <c r="F26" s="1672"/>
      <c r="G26" s="1678"/>
      <c r="H26" s="1678"/>
      <c r="I26" s="1691"/>
      <c r="J26" s="1678"/>
      <c r="K26" s="3262"/>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5" thickTop="1">
      <c r="A31" s="3289" t="s">
        <v>2001</v>
      </c>
      <c r="B31" s="1748" t="s">
        <v>2002</v>
      </c>
      <c r="C31" s="3287"/>
      <c r="D31" s="3288"/>
      <c r="E31" s="1678"/>
      <c r="F31" s="1678"/>
      <c r="G31" s="1678"/>
      <c r="H31" s="1678"/>
      <c r="I31" s="1691"/>
      <c r="J31" s="1678"/>
      <c r="K31" s="2422"/>
      <c r="L31" s="1678"/>
      <c r="M31" s="1678"/>
      <c r="N31" s="1678"/>
      <c r="O31" s="1678"/>
      <c r="P31" s="1678"/>
      <c r="Q31" s="1678"/>
      <c r="R31" s="1678"/>
      <c r="S31" s="1678"/>
      <c r="T31" s="1678"/>
      <c r="U31" s="1678"/>
    </row>
    <row r="32" spans="1:21">
      <c r="A32" s="3289"/>
      <c r="B32" s="1645" t="s">
        <v>2003</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89"/>
      <c r="B33" s="1645" t="s">
        <v>2004</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90"/>
      <c r="B34" s="1645" t="s">
        <v>2005</v>
      </c>
      <c r="C34" s="3291"/>
      <c r="D34" s="3292"/>
      <c r="E34" s="1678"/>
      <c r="F34" s="1678"/>
      <c r="G34" s="1678"/>
      <c r="H34" s="1678"/>
      <c r="I34" s="1691"/>
      <c r="J34" s="1678"/>
      <c r="K34" s="2422"/>
      <c r="L34" s="1678"/>
      <c r="M34" s="1678"/>
      <c r="N34" s="1678"/>
      <c r="O34" s="1678"/>
      <c r="P34" s="1678"/>
      <c r="Q34" s="1678"/>
      <c r="R34" s="1678"/>
      <c r="S34" s="1678"/>
      <c r="T34" s="1678"/>
      <c r="U34" s="1678"/>
    </row>
    <row r="35" spans="1:21">
      <c r="A35" s="3293" t="s">
        <v>847</v>
      </c>
      <c r="B35" s="1706"/>
      <c r="C35" s="1760" t="str">
        <f>IF(B35="场地平整","——","具体情况：")</f>
        <v>具体情况：</v>
      </c>
      <c r="D35" s="3295"/>
      <c r="E35" s="3296"/>
      <c r="F35" s="3296"/>
      <c r="G35" s="3296"/>
      <c r="H35" s="3296"/>
      <c r="I35" s="3297"/>
      <c r="J35" s="1678"/>
      <c r="K35" s="1759"/>
      <c r="L35" s="1707"/>
      <c r="M35" s="1707"/>
      <c r="N35" s="1678"/>
      <c r="O35" s="1679"/>
      <c r="P35" s="1678"/>
      <c r="Q35" s="1678"/>
      <c r="R35" s="1678"/>
      <c r="S35" s="1678"/>
      <c r="T35" s="1678"/>
      <c r="U35" s="1678"/>
    </row>
    <row r="36" spans="1:21">
      <c r="A36" s="3289"/>
      <c r="B36" s="3298" t="s">
        <v>2054</v>
      </c>
      <c r="C36" s="3299"/>
      <c r="D36" s="1776"/>
      <c r="E36" s="3300"/>
      <c r="F36" s="3300"/>
      <c r="G36" s="1671" t="str">
        <f>IF(B35="场地未平整","估价结果处理","")</f>
        <v/>
      </c>
      <c r="H36" s="3301"/>
      <c r="I36" s="3301"/>
      <c r="J36" s="1678"/>
      <c r="K36" s="1759"/>
      <c r="L36" s="1707"/>
      <c r="M36" s="1707"/>
      <c r="N36" s="1678"/>
      <c r="O36" s="1679"/>
      <c r="P36" s="1678"/>
      <c r="Q36" s="1678"/>
      <c r="R36" s="1678"/>
      <c r="S36" s="1678"/>
      <c r="T36" s="1678"/>
      <c r="U36" s="1678"/>
    </row>
    <row r="37" spans="1:21" ht="28.5">
      <c r="A37" s="3289"/>
      <c r="B37" s="3278"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89"/>
      <c r="B38" s="3279"/>
      <c r="C38" s="1653" t="s">
        <v>850</v>
      </c>
      <c r="D38" s="1775">
        <f>ROUNDDOWN(MIN(('数据-取费表'!$B$2-D37)/365,D34),1)</f>
        <v>121.7</v>
      </c>
      <c r="E38" s="1711" t="s">
        <v>851</v>
      </c>
      <c r="F38" s="1678"/>
      <c r="G38" s="1678"/>
      <c r="H38" s="1678"/>
      <c r="I38" s="1691"/>
      <c r="J38" s="1678"/>
      <c r="K38" s="1759"/>
      <c r="L38" s="1678"/>
      <c r="M38" s="1678"/>
      <c r="N38" s="1678"/>
      <c r="O38" s="1678"/>
      <c r="P38" s="1678"/>
      <c r="Q38" s="1678"/>
      <c r="R38" s="1678"/>
      <c r="S38" s="1678"/>
      <c r="T38" s="1678"/>
      <c r="U38" s="1678"/>
    </row>
    <row r="39" spans="1:21">
      <c r="A39" s="3290"/>
      <c r="B39" s="3280"/>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261" t="s">
        <v>1985</v>
      </c>
      <c r="T40" s="1715" t="str">
        <f>NUMBERSTRING(7-K40,1)&amp;"通"</f>
        <v>七通</v>
      </c>
      <c r="U40" s="1678"/>
    </row>
    <row r="41" spans="1:21">
      <c r="A41" s="1647"/>
      <c r="B41" s="3294" t="s">
        <v>1721</v>
      </c>
      <c r="C41" s="3294"/>
      <c r="D41" s="3294"/>
      <c r="E41" s="3294"/>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61"/>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3" customFormat="1" ht="21" thickBot="1">
      <c r="A45" s="3024" t="s">
        <v>2893</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36" sqref="B3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15557.09</v>
      </c>
      <c r="B3" s="22">
        <f>IF(C3="否",G5-AT5,G5)</f>
        <v>10288.000000000002</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10288.000000000002</v>
      </c>
      <c r="H5" s="27">
        <f t="shared" ref="H5:AT5" si="0">SUM(H13:H641)</f>
        <v>10288.000000000002</v>
      </c>
      <c r="I5" s="27">
        <f t="shared" si="0"/>
        <v>10288.000000000002</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10288.000000000002</v>
      </c>
      <c r="BA5" s="29">
        <f t="shared" si="1"/>
        <v>10288.000000000002</v>
      </c>
      <c r="BB5" s="29">
        <f t="shared" si="1"/>
        <v>10288.000000000002</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15557.09</v>
      </c>
      <c r="F6" s="27" t="s">
        <v>1</v>
      </c>
      <c r="G6" s="27" t="s">
        <v>2</v>
      </c>
      <c r="H6" s="33">
        <f>SUMIF(I$12:AB$12,"总值",I6:AB6)</f>
        <v>15557.09</v>
      </c>
      <c r="I6" s="27">
        <f t="shared" ref="I6:AB6" si="2">ROUND($A$3*I5/$B$3,2)</f>
        <v>15557.09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15557.09</v>
      </c>
      <c r="AZ6" s="27" t="s">
        <v>3</v>
      </c>
      <c r="BA6" s="27">
        <f>ROUND($AY$6*BA5/$AZ$5,2)</f>
        <v>15557.09</v>
      </c>
      <c r="BB6" s="27">
        <f>ROUND($AY$6*BB5/$AZ$5,2)</f>
        <v>15557.09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0" t="s">
        <v>3114</v>
      </c>
      <c r="J9" s="51"/>
      <c r="K9" s="2970"/>
      <c r="L9" s="51"/>
      <c r="M9" s="297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0" t="s">
        <v>981</v>
      </c>
      <c r="J10" s="51"/>
      <c r="K10" s="2972"/>
      <c r="L10" s="51"/>
      <c r="M10" s="2972"/>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1"/>
      <c r="J11" s="71"/>
      <c r="K11" s="2971"/>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1678</v>
      </c>
      <c r="E13" s="27">
        <f t="shared" ref="E13:E20" si="6">IF($C$3="是",ROUND($A$3*G13/$B$3,2),ROUND($A$3*(G13-AT13)/$B$3,2))</f>
        <v>8334.14</v>
      </c>
      <c r="F13" s="81"/>
      <c r="G13" s="82">
        <f t="shared" ref="G13:G20" si="7">H13+AC13+AT13</f>
        <v>5511.42</v>
      </c>
      <c r="H13" s="33">
        <f t="shared" ref="H13:H20" si="8">SUMIF(I$12:AB$12,"总值",I13:AB13)</f>
        <v>5511.42</v>
      </c>
      <c r="I13" s="2969">
        <v>5511.42</v>
      </c>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7">
        <f t="shared" ref="AV13:AX20" si="10">A13</f>
        <v>0</v>
      </c>
      <c r="AW13" s="17">
        <f t="shared" si="10"/>
        <v>0</v>
      </c>
      <c r="AX13" s="17">
        <f t="shared" si="10"/>
        <v>0</v>
      </c>
      <c r="AY13" s="996">
        <f t="shared" ref="AY13:AY20" si="11">ROUND($AY$6*AZ13/$AZ$5,2)</f>
        <v>8334.14</v>
      </c>
      <c r="AZ13" s="27">
        <f t="shared" ref="AZ13:AZ20" si="12">BA13+BL13</f>
        <v>5511.42</v>
      </c>
      <c r="BA13" s="27">
        <f t="shared" ref="BA13:BA20" si="13">SUM(BB13:BK13)</f>
        <v>5511.42</v>
      </c>
      <c r="BB13" s="27">
        <f t="shared" ref="BB13:BB20" si="14">IF($D13="是",I13-J13,0)</f>
        <v>5511.42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t="s">
        <v>1678</v>
      </c>
      <c r="E14" s="27">
        <f t="shared" si="6"/>
        <v>1086.77</v>
      </c>
      <c r="F14" s="81"/>
      <c r="G14" s="82">
        <f t="shared" si="7"/>
        <v>718.69</v>
      </c>
      <c r="H14" s="33">
        <f t="shared" si="8"/>
        <v>718.69</v>
      </c>
      <c r="I14" s="2969">
        <v>718.69</v>
      </c>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6">
        <f t="shared" si="11"/>
        <v>1086.77</v>
      </c>
      <c r="AZ14" s="27">
        <f t="shared" si="12"/>
        <v>718.69</v>
      </c>
      <c r="BA14" s="27">
        <f t="shared" si="13"/>
        <v>718.69</v>
      </c>
      <c r="BB14" s="27">
        <f t="shared" si="14"/>
        <v>718.69</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t="s">
        <v>1678</v>
      </c>
      <c r="E15" s="27">
        <f t="shared" si="6"/>
        <v>896.41</v>
      </c>
      <c r="F15" s="81"/>
      <c r="G15" s="82">
        <f t="shared" si="7"/>
        <v>592.79999999999995</v>
      </c>
      <c r="H15" s="33">
        <f t="shared" si="8"/>
        <v>592.79999999999995</v>
      </c>
      <c r="I15" s="2969">
        <v>592.79999999999995</v>
      </c>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6">
        <f t="shared" si="11"/>
        <v>896.41</v>
      </c>
      <c r="AZ15" s="27">
        <f t="shared" si="12"/>
        <v>592.79999999999995</v>
      </c>
      <c r="BA15" s="27">
        <f t="shared" si="13"/>
        <v>592.79999999999995</v>
      </c>
      <c r="BB15" s="27">
        <f t="shared" si="14"/>
        <v>592.79999999999995</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t="s">
        <v>1678</v>
      </c>
      <c r="E16" s="27">
        <f t="shared" si="6"/>
        <v>3010.44</v>
      </c>
      <c r="F16" s="81"/>
      <c r="G16" s="82">
        <f t="shared" si="7"/>
        <v>1990.82</v>
      </c>
      <c r="H16" s="33">
        <f t="shared" si="8"/>
        <v>1990.82</v>
      </c>
      <c r="I16" s="2969">
        <v>1990.82</v>
      </c>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6">
        <f t="shared" si="11"/>
        <v>3010.44</v>
      </c>
      <c r="AZ16" s="27">
        <f t="shared" si="12"/>
        <v>1990.82</v>
      </c>
      <c r="BA16" s="27">
        <f t="shared" si="13"/>
        <v>1990.82</v>
      </c>
      <c r="BB16" s="27">
        <f t="shared" si="14"/>
        <v>1990.82</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t="s">
        <v>1678</v>
      </c>
      <c r="E17" s="27">
        <f t="shared" si="6"/>
        <v>401.02</v>
      </c>
      <c r="F17" s="81"/>
      <c r="G17" s="82">
        <f t="shared" si="7"/>
        <v>265.2</v>
      </c>
      <c r="H17" s="33">
        <f t="shared" si="8"/>
        <v>265.2</v>
      </c>
      <c r="I17" s="2969">
        <v>265.2</v>
      </c>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401.02</v>
      </c>
      <c r="AZ17" s="27">
        <f t="shared" si="12"/>
        <v>265.2</v>
      </c>
      <c r="BA17" s="27">
        <f t="shared" si="13"/>
        <v>265.2</v>
      </c>
      <c r="BB17" s="27">
        <f t="shared" si="14"/>
        <v>265.2</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t="s">
        <v>1678</v>
      </c>
      <c r="E18" s="87">
        <f t="shared" si="6"/>
        <v>249.51</v>
      </c>
      <c r="F18" s="88"/>
      <c r="G18" s="89">
        <f t="shared" si="7"/>
        <v>165</v>
      </c>
      <c r="H18" s="90">
        <f t="shared" si="8"/>
        <v>165</v>
      </c>
      <c r="I18" s="1391">
        <v>165</v>
      </c>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249.51</v>
      </c>
      <c r="AZ18" s="87">
        <f t="shared" si="12"/>
        <v>165</v>
      </c>
      <c r="BA18" s="87">
        <f t="shared" si="13"/>
        <v>165</v>
      </c>
      <c r="BB18" s="87">
        <f t="shared" si="14"/>
        <v>165</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2967" t="s">
        <v>1678</v>
      </c>
      <c r="E19" s="87">
        <f t="shared" si="6"/>
        <v>249.51</v>
      </c>
      <c r="F19" s="88"/>
      <c r="G19" s="89">
        <f t="shared" si="7"/>
        <v>165</v>
      </c>
      <c r="H19" s="90">
        <f t="shared" si="8"/>
        <v>165</v>
      </c>
      <c r="I19" s="1391">
        <v>165</v>
      </c>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249.51</v>
      </c>
      <c r="AZ19" s="87">
        <f t="shared" si="12"/>
        <v>165</v>
      </c>
      <c r="BA19" s="87">
        <f t="shared" si="13"/>
        <v>165</v>
      </c>
      <c r="BB19" s="87">
        <f t="shared" si="14"/>
        <v>165</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2967" t="s">
        <v>1678</v>
      </c>
      <c r="E20" s="87">
        <f t="shared" si="6"/>
        <v>1329.29</v>
      </c>
      <c r="F20" s="88"/>
      <c r="G20" s="89">
        <f t="shared" si="7"/>
        <v>879.07</v>
      </c>
      <c r="H20" s="90">
        <f t="shared" si="8"/>
        <v>879.07</v>
      </c>
      <c r="I20" s="1391">
        <v>879.07</v>
      </c>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1329.29</v>
      </c>
      <c r="AZ20" s="87">
        <f t="shared" si="12"/>
        <v>879.07</v>
      </c>
      <c r="BA20" s="87">
        <f t="shared" si="13"/>
        <v>879.07</v>
      </c>
      <c r="BB20" s="87">
        <f t="shared" si="14"/>
        <v>879.07</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2" t="s">
        <v>0</v>
      </c>
      <c r="B1" s="3302" t="s">
        <v>4</v>
      </c>
      <c r="C1" s="3302" t="s">
        <v>5</v>
      </c>
      <c r="D1" s="3303" t="s">
        <v>40</v>
      </c>
      <c r="E1" s="3303" t="s">
        <v>41</v>
      </c>
      <c r="F1" s="3303"/>
      <c r="G1" s="3303"/>
      <c r="H1" s="3303"/>
      <c r="I1" s="3303"/>
      <c r="J1" s="3303"/>
      <c r="K1" s="3303"/>
      <c r="L1" s="3303"/>
      <c r="M1" s="3303"/>
    </row>
    <row r="2" spans="1:13" ht="27" customHeight="1">
      <c r="A2" s="3302"/>
      <c r="B2" s="3302"/>
      <c r="C2" s="3302"/>
      <c r="D2" s="3303"/>
      <c r="E2" s="3303" t="s">
        <v>24</v>
      </c>
      <c r="F2" s="3303" t="s">
        <v>25</v>
      </c>
      <c r="G2" s="3303"/>
      <c r="H2" s="3303"/>
      <c r="I2" s="3303"/>
      <c r="J2" s="3303" t="s">
        <v>26</v>
      </c>
      <c r="K2" s="3303"/>
      <c r="L2" s="3303"/>
      <c r="M2" s="3303"/>
    </row>
    <row r="3" spans="1:13" ht="28.5">
      <c r="A3" s="3302"/>
      <c r="B3" s="3302"/>
      <c r="C3" s="3302"/>
      <c r="D3" s="3303"/>
      <c r="E3" s="330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3" t="s">
        <v>42</v>
      </c>
      <c r="B9" s="3303"/>
      <c r="C9" s="330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3" sqref="D3"/>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313" t="s">
        <v>203</v>
      </c>
      <c r="B2" s="3313"/>
      <c r="C2" s="3313"/>
      <c r="D2" s="1960" t="s">
        <v>204</v>
      </c>
      <c r="E2" s="106" t="s">
        <v>205</v>
      </c>
      <c r="F2" s="1969"/>
      <c r="G2" s="1194"/>
      <c r="H2" s="1195"/>
      <c r="I2" s="1196" t="s">
        <v>857</v>
      </c>
      <c r="J2" s="1969"/>
      <c r="K2" s="1969"/>
      <c r="L2" s="1969"/>
    </row>
    <row r="3" spans="1:16" ht="15.75" thickBot="1">
      <c r="A3" s="3314" t="s">
        <v>206</v>
      </c>
      <c r="B3" s="3314"/>
      <c r="C3" s="3314"/>
      <c r="D3" s="107">
        <f>'数据-基础表'!AY6</f>
        <v>15557.09</v>
      </c>
      <c r="E3" s="107">
        <f>'数据-基础表'!AZ5</f>
        <v>10288.000000000002</v>
      </c>
      <c r="F3" s="1969"/>
      <c r="G3" s="280" t="s">
        <v>858</v>
      </c>
      <c r="H3" s="275" t="s">
        <v>859</v>
      </c>
      <c r="I3" s="1961">
        <f>ROUND('数据-基础表'!B3/'数据-基础表'!A3,2)</f>
        <v>0.66</v>
      </c>
      <c r="J3" s="1969"/>
      <c r="K3" s="1969"/>
      <c r="L3" s="1969"/>
    </row>
    <row r="4" spans="1:16" ht="15">
      <c r="A4" s="3315"/>
      <c r="B4" s="3316"/>
      <c r="C4" s="3317"/>
      <c r="D4" s="108" t="s">
        <v>204</v>
      </c>
      <c r="E4" s="109" t="s">
        <v>205</v>
      </c>
      <c r="F4" s="1969"/>
      <c r="G4" s="1197"/>
      <c r="H4" s="275" t="s">
        <v>860</v>
      </c>
      <c r="I4" s="1961">
        <f>ROUND(SUMIF('数据-基础表'!I9:AS9,"地上",'数据-基础表'!I5:AS5)/'数据-基础表'!A3,2)</f>
        <v>0.66</v>
      </c>
      <c r="J4" s="1969"/>
      <c r="K4" s="1969"/>
      <c r="L4" s="1969"/>
    </row>
    <row r="5" spans="1:16">
      <c r="A5" s="110" t="s">
        <v>207</v>
      </c>
      <c r="B5" s="3318" t="s">
        <v>230</v>
      </c>
      <c r="C5" s="3318"/>
      <c r="D5" s="111">
        <f>ROUND($D$3*E5/$E$3,2)</f>
        <v>0</v>
      </c>
      <c r="E5" s="112">
        <f>SUMIF('数据-基础表'!$11:$11,"住宅",'数据-基础表'!$5:$5)</f>
        <v>0</v>
      </c>
      <c r="F5" s="1969"/>
      <c r="G5" s="280" t="s">
        <v>861</v>
      </c>
      <c r="H5" s="275" t="s">
        <v>859</v>
      </c>
      <c r="I5" s="1961">
        <f>ROUND(E31/D31,2)</f>
        <v>0.66</v>
      </c>
      <c r="J5" s="1969"/>
      <c r="K5" s="1969"/>
      <c r="L5" s="1969"/>
    </row>
    <row r="6" spans="1:16" ht="15" thickBot="1">
      <c r="A6" s="113"/>
      <c r="B6" s="3318" t="s">
        <v>208</v>
      </c>
      <c r="C6" s="3318"/>
      <c r="D6" s="111">
        <f>ROUND($D$3*E6/$E$3,2)</f>
        <v>15557.09</v>
      </c>
      <c r="E6" s="112">
        <f>E3-E5</f>
        <v>10288.000000000002</v>
      </c>
      <c r="F6" s="1969"/>
      <c r="G6" s="1197"/>
      <c r="H6" s="275" t="s">
        <v>860</v>
      </c>
      <c r="I6" s="1961">
        <f>ROUND(F31/D31,2)</f>
        <v>0.66</v>
      </c>
      <c r="J6" s="1969"/>
      <c r="K6" s="1969"/>
      <c r="L6" s="1969"/>
    </row>
    <row r="7" spans="1:16" ht="15">
      <c r="A7" s="3310"/>
      <c r="B7" s="3311"/>
      <c r="C7" s="3312"/>
      <c r="D7" s="108" t="s">
        <v>204</v>
      </c>
      <c r="E7" s="114" t="s">
        <v>231</v>
      </c>
      <c r="F7" s="1969"/>
      <c r="G7" s="1152" t="s">
        <v>1645</v>
      </c>
      <c r="H7" s="1153"/>
      <c r="I7" s="1831"/>
      <c r="J7" s="1969"/>
      <c r="K7" s="1969"/>
      <c r="L7" s="1969"/>
    </row>
    <row r="8" spans="1:16">
      <c r="A8" s="110" t="s">
        <v>209</v>
      </c>
      <c r="B8" s="115" t="s">
        <v>210</v>
      </c>
      <c r="C8" s="111" t="s">
        <v>211</v>
      </c>
      <c r="D8" s="111">
        <f t="shared" ref="D8:D15" si="0">ROUND($D$3*E8/$E$3,2)</f>
        <v>15557.09</v>
      </c>
      <c r="E8" s="116">
        <f>SUMIF('数据-基础表'!BB10:BK10,"地上",'数据-基础表'!BB5:BK5)</f>
        <v>10288.000000000002</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2334</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15557.09</v>
      </c>
      <c r="E16" s="120">
        <f>SUM(E8:E15)</f>
        <v>10288.000000000002</v>
      </c>
      <c r="F16" s="1969"/>
      <c r="G16" s="1971"/>
      <c r="H16" s="968" t="s">
        <v>219</v>
      </c>
      <c r="I16" s="969"/>
      <c r="J16" s="1969"/>
      <c r="K16" s="3304" t="s">
        <v>2566</v>
      </c>
      <c r="L16" s="3305"/>
      <c r="M16" s="3305"/>
      <c r="N16" s="3305"/>
      <c r="O16" s="3305"/>
      <c r="P16" s="3306"/>
    </row>
    <row r="17" spans="1:19" ht="15">
      <c r="A17" s="121" t="s">
        <v>216</v>
      </c>
      <c r="B17" s="122" t="s">
        <v>217</v>
      </c>
      <c r="C17" s="2283" t="s">
        <v>2313</v>
      </c>
      <c r="D17" s="108" t="s">
        <v>204</v>
      </c>
      <c r="E17" s="124" t="s">
        <v>205</v>
      </c>
      <c r="F17" s="125"/>
      <c r="G17" s="1362"/>
      <c r="H17" s="970" t="s">
        <v>218</v>
      </c>
      <c r="I17" s="971" t="s">
        <v>2312</v>
      </c>
      <c r="J17" s="1969"/>
      <c r="K17" s="3307" t="s">
        <v>2567</v>
      </c>
      <c r="L17" s="3308"/>
      <c r="M17" s="3309"/>
      <c r="N17" s="3307" t="s">
        <v>2568</v>
      </c>
      <c r="O17" s="3308"/>
      <c r="P17" s="3309"/>
      <c r="R17" s="2284" t="s">
        <v>2311</v>
      </c>
      <c r="S17" s="144"/>
    </row>
    <row r="18" spans="1:19" ht="15">
      <c r="A18" s="117"/>
      <c r="B18" s="128"/>
      <c r="C18" s="129"/>
      <c r="D18" s="2606"/>
      <c r="E18" s="130" t="s">
        <v>220</v>
      </c>
      <c r="F18" s="131" t="s">
        <v>221</v>
      </c>
      <c r="G18" s="1363" t="s">
        <v>222</v>
      </c>
      <c r="H18" s="972" t="s">
        <v>223</v>
      </c>
      <c r="I18" s="973" t="s">
        <v>224</v>
      </c>
      <c r="J18" s="1969"/>
      <c r="K18" s="2569" t="s">
        <v>2569</v>
      </c>
      <c r="L18" s="2570" t="s">
        <v>2570</v>
      </c>
      <c r="M18" s="2571" t="s">
        <v>2571</v>
      </c>
      <c r="N18" s="2569" t="s">
        <v>2569</v>
      </c>
      <c r="O18" s="2570" t="s">
        <v>2570</v>
      </c>
      <c r="P18" s="2571" t="s">
        <v>2571</v>
      </c>
      <c r="R18" s="2285" t="s">
        <v>2309</v>
      </c>
      <c r="S18" s="2285" t="s">
        <v>2310</v>
      </c>
    </row>
    <row r="19" spans="1:19">
      <c r="A19" s="133"/>
      <c r="B19" s="115" t="s">
        <v>225</v>
      </c>
      <c r="C19" s="2976" t="s">
        <v>3115</v>
      </c>
      <c r="D19" s="111">
        <f t="shared" ref="D19:D26" si="1">ROUND($D$3*E19/$E$3,2)</f>
        <v>15557.09</v>
      </c>
      <c r="E19" s="134">
        <f t="shared" ref="E19:E26" si="2">SUM(F19:G19)</f>
        <v>10288.000000000002</v>
      </c>
      <c r="F19" s="135">
        <f>'数据-基础表'!I5</f>
        <v>10288.000000000002</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15557.09</v>
      </c>
      <c r="S19" s="2286">
        <f t="shared" si="5"/>
        <v>10288.000000000002</v>
      </c>
    </row>
    <row r="20" spans="1:19">
      <c r="A20" s="138"/>
      <c r="B20" s="115" t="s">
        <v>226</v>
      </c>
      <c r="C20" s="2976"/>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226</v>
      </c>
      <c r="C21" s="2976"/>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15557.09</v>
      </c>
      <c r="E27" s="143">
        <f>IF(SUM(E19:E26)='数据-基础表'!BA5,SUM(E19:E26),IF(F27="地上面积有误","面积有误","地下面积有误"))</f>
        <v>10288.000000000002</v>
      </c>
      <c r="F27" s="134">
        <f>IF(SUM(F19:F26)=E8,SUM(F19:F26),"地上面积有误")</f>
        <v>10288.000000000002</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15557.09</v>
      </c>
      <c r="S27" s="275">
        <f>IF(SUM(S19:S26)=$E$3,SUM(S19:S26),SUM(S19:S26)&amp;"误差"&amp;ROUND(SUM(S19:S26)-E3,2))</f>
        <v>10288.000000000002</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2320</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2322</v>
      </c>
      <c r="D31" s="1368">
        <f>D27+D30</f>
        <v>15557.09</v>
      </c>
      <c r="E31" s="1368">
        <f>E27+E30</f>
        <v>10288.000000000002</v>
      </c>
      <c r="F31" s="1369">
        <f>F27+F30</f>
        <v>10288.000000000002</v>
      </c>
      <c r="G31" s="1370">
        <f>G27+G30</f>
        <v>0</v>
      </c>
      <c r="H31" s="1969"/>
      <c r="I31" s="1969"/>
      <c r="J31" s="1969"/>
      <c r="K31" s="1969"/>
      <c r="L31" s="1969"/>
    </row>
    <row r="32" spans="1:19">
      <c r="A32" s="1969"/>
      <c r="B32" s="2327" t="s">
        <v>2321</v>
      </c>
      <c r="C32" s="2611"/>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G6" sqref="G6"/>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44435</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40.5">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5"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工业</v>
      </c>
      <c r="B6" s="2322" t="str">
        <f>IF(A6=0,"","经营性")</f>
        <v>经营性</v>
      </c>
      <c r="C6" s="173" t="s">
        <v>981</v>
      </c>
      <c r="D6" s="2293">
        <f>SUMIF(项目基本情况!D$15:I$15,C6,项目基本情况!D$18:I$18)</f>
        <v>0</v>
      </c>
      <c r="E6" s="2294">
        <f>IF(B6="","",SUMIF(项目基本情况!D$15:I$15,C6,项目基本情况!D$17:I$17))</f>
        <v>0</v>
      </c>
      <c r="F6" s="174">
        <f>SUMIF(项目基本情况!D$15:I$15,C6,项目基本情况!D$19:I$19)</f>
        <v>0</v>
      </c>
      <c r="G6" s="175">
        <f>IF(ISERROR(ROUND(POWER(1+H6,D6-F6)*(POWER(1+H6,F6)-1)/(POWER(1+H6,D6)-1),3)),0,ROUND(POWER(1+H6,D6-F6)*(POWER(1+H6,F6)-1)/(POWER(1+H6,D6)-1),3))</f>
        <v>0</v>
      </c>
      <c r="H6" s="2977">
        <v>0.06</v>
      </c>
      <c r="I6" s="2977"/>
      <c r="J6" s="176"/>
      <c r="K6" s="179">
        <f>SUMIF('数据-汇总表'!C$19:C$33,'数据-取费表'!A6,'数据-汇总表'!E$19:E$33)</f>
        <v>10288.000000000002</v>
      </c>
      <c r="L6" s="2978"/>
      <c r="M6" s="177">
        <f t="shared" ref="M6:M14" si="0">ROUND(K6*L6/10000,0)</f>
        <v>0</v>
      </c>
      <c r="N6" s="2979"/>
      <c r="O6" s="177">
        <f>IF($N$5="成新度","——",ROUND(M6*N6,0))</f>
        <v>0</v>
      </c>
      <c r="P6" s="178">
        <f>IF($N$5="成新度","——",M6-O6)</f>
        <v>0</v>
      </c>
      <c r="Q6" s="2980"/>
      <c r="R6" s="179">
        <f>SUMIF('数据-汇总表'!C$19:C$33,A6,'数据-汇总表'!R$19:R$33)</f>
        <v>15557.09</v>
      </c>
      <c r="S6" s="132">
        <f>IF('数据-汇总表'!$I$17="按面积比例",SUMIF('数据-汇总表'!C$19:C$33,A6,'数据-汇总表'!K$19:K$33),SUMIF('数据-汇总表'!C$19:C$33,A6,'数据-汇总表'!N$19:N$33))</f>
        <v>0</v>
      </c>
      <c r="T6" s="2219" t="str">
        <f>IF($T$4="按面积比例",IF(ISERROR(ROUND($M$14*S6/S$16,0)),"0",ROUND($M$14*S6/S$16,0)),"需自行计算录入")</f>
        <v>0</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1"/>
      <c r="AN6" s="2356"/>
      <c r="AO6" s="1985"/>
      <c r="AP6" s="1200">
        <f>ROUND(1-1/(1+H6)^F6,3)</f>
        <v>0</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7"/>
      <c r="I7" s="2977"/>
      <c r="J7" s="176"/>
      <c r="K7" s="179">
        <f>SUMIF('数据-汇总表'!C$19:C$33,'数据-取费表'!A7,'数据-汇总表'!E$19:E$33)</f>
        <v>0</v>
      </c>
      <c r="L7" s="2978"/>
      <c r="M7" s="177">
        <f t="shared" si="0"/>
        <v>0</v>
      </c>
      <c r="N7" s="2979"/>
      <c r="O7" s="177">
        <f t="shared" ref="O7:O14" si="3">IF($N$5="成新度","——",ROUND(M7*N7,0))</f>
        <v>0</v>
      </c>
      <c r="P7" s="178">
        <f t="shared" ref="P7:P14" si="4">IF($N$5="成新度","——",M7-O7)</f>
        <v>0</v>
      </c>
      <c r="Q7" s="2980"/>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2314</v>
      </c>
      <c r="B14" s="2291" t="s">
        <v>1679</v>
      </c>
      <c r="C14" s="2292" t="s">
        <v>2314</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2316</v>
      </c>
      <c r="B15" s="2291" t="s">
        <v>1679</v>
      </c>
      <c r="C15" s="2292" t="s">
        <v>2315</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t="e">
        <f>ROUND(SUMPRODUCT(G6:G13,K6:K13)/SUMPRODUCT((G6:G13&gt;0)*(K6:K13)),3)</f>
        <v>#DIV/0!</v>
      </c>
      <c r="H16" s="203">
        <f>ROUND(SUMPRODUCT(H6:H13,K6:K13)/SUMPRODUCT((H6:H13&gt;0)*(K6:K13)),3)</f>
        <v>0.06</v>
      </c>
      <c r="I16" s="204"/>
      <c r="J16" s="204"/>
      <c r="K16" s="205">
        <f>SUM(K6:K15)</f>
        <v>10288.000000000002</v>
      </c>
      <c r="L16" s="206">
        <f>ROUND(M16*10000/SUM(K6:K14),0)</f>
        <v>0</v>
      </c>
      <c r="M16" s="206">
        <f>SUM(M6:M14)</f>
        <v>0</v>
      </c>
      <c r="N16" s="207" t="e">
        <f>ROUND(SUMPRODUCT(M6:M14,N6:N14)/M16,3)</f>
        <v>#DIV/0!</v>
      </c>
      <c r="O16" s="206">
        <f>SUM(O6:O14)</f>
        <v>0</v>
      </c>
      <c r="P16" s="206">
        <f>SUM(P6:P14)</f>
        <v>0</v>
      </c>
      <c r="Q16" s="208" t="e">
        <f>ROUND(SUMPRODUCT(Q6:Q13,K6:K13)/SUMPRODUCT((Q6:Q13&gt;0)*(K6:K13)),2)</f>
        <v>#DIV/0!</v>
      </c>
      <c r="R16" s="2296">
        <f>SUM(R6:R13)</f>
        <v>15557.09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t="e">
        <f>ROUND(SUMPRODUCT(AP6:AP13,K6:K13)/SUMPRODUCT((AP6:AP13&gt;0)*(K6:K13)),3)</f>
        <v>#DIV/0!</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c r="C19" s="2328" t="s">
        <v>2336</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c r="C20" s="2328" t="s">
        <v>2335</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0</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0</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2338</v>
      </c>
      <c r="B27" s="227"/>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2339</v>
      </c>
      <c r="B28" s="229"/>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c r="C33" s="2329" t="s">
        <v>2894</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c r="C34" s="2329" t="s">
        <v>2895</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c r="C35" s="2329" t="s">
        <v>2896</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c r="C36" s="2329" t="s">
        <v>2897</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c r="C37" s="2329" t="s">
        <v>2898</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c r="C38" s="2329" t="s">
        <v>2898</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2457</v>
      </c>
      <c r="B40" s="2445" t="e">
        <f ca="1">存贷款利率!E2</f>
        <v>#VALUE!</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0</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c r="C42" s="3051">
        <f>IF(B2&lt;DATE(2016,5,1),0,B42)</f>
        <v>0</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0</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c r="C44" s="2329" t="s">
        <v>2899</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c r="C45" s="2331" t="s">
        <v>2900</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c r="C46" s="2331" t="s">
        <v>2901</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5" t="s">
        <v>2902</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c r="C48" s="3026" t="s">
        <v>2903</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c r="C49" s="3026" t="s">
        <v>2904</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0</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c r="C53" s="3027" t="s">
        <v>2905</v>
      </c>
      <c r="D53" s="3028" t="s">
        <v>2906</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0" t="s">
        <v>2907</v>
      </c>
      <c r="B54" s="186"/>
      <c r="C54" s="1979">
        <v>30</v>
      </c>
      <c r="D54" s="3029"/>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0" t="s">
        <v>2908</v>
      </c>
      <c r="B55" s="186"/>
      <c r="C55" s="1979">
        <v>24</v>
      </c>
      <c r="D55" s="3029"/>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0" t="s">
        <v>2909</v>
      </c>
      <c r="B56" s="186"/>
      <c r="C56" s="1979">
        <v>18</v>
      </c>
      <c r="D56" s="3029"/>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0" t="s">
        <v>2910</v>
      </c>
      <c r="B57" s="186"/>
      <c r="C57" s="1979">
        <v>12</v>
      </c>
      <c r="D57" s="3029"/>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0" t="s">
        <v>2911</v>
      </c>
      <c r="B58" s="186"/>
      <c r="C58" s="1979">
        <v>3</v>
      </c>
      <c r="D58" s="3029"/>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0" t="s">
        <v>2912</v>
      </c>
      <c r="B59" s="186"/>
      <c r="C59" s="1979">
        <v>1.5</v>
      </c>
      <c r="D59" s="3029"/>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0" t="s">
        <v>2913</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0" t="s">
        <v>2914</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0" t="s">
        <v>2915</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1" t="s">
        <v>2916</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319" t="s">
        <v>1663</v>
      </c>
      <c r="B1" s="3320"/>
      <c r="C1" s="3320"/>
      <c r="D1" s="3320"/>
      <c r="E1" s="3320"/>
      <c r="F1" s="3320"/>
      <c r="G1" s="3320"/>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2" t="s">
        <v>2923</v>
      </c>
      <c r="D3" s="1994"/>
      <c r="E3" s="1225" t="s">
        <v>1666</v>
      </c>
      <c r="F3" s="1226" t="s">
        <v>1654</v>
      </c>
      <c r="G3" s="3036" t="s">
        <v>2922</v>
      </c>
      <c r="H3" s="1993"/>
      <c r="I3" s="1993"/>
      <c r="J3" s="1993"/>
      <c r="K3" s="1993"/>
      <c r="L3" s="1993"/>
      <c r="M3" s="1993"/>
      <c r="N3" s="1993"/>
      <c r="O3" s="1993"/>
      <c r="P3" s="1993"/>
      <c r="Q3" s="1993"/>
      <c r="R3" s="1993"/>
    </row>
    <row r="4" spans="1:18" ht="41.25">
      <c r="A4" s="1225"/>
      <c r="B4" s="1227" t="s">
        <v>1667</v>
      </c>
      <c r="C4" s="3033" t="s">
        <v>2924</v>
      </c>
      <c r="D4" s="1994"/>
      <c r="E4" s="1228"/>
      <c r="F4" s="1229" t="s">
        <v>1668</v>
      </c>
      <c r="G4" s="3034" t="s">
        <v>2919</v>
      </c>
      <c r="H4" s="1993"/>
      <c r="I4" s="1993"/>
      <c r="J4" s="1993"/>
      <c r="K4" s="1993"/>
      <c r="L4" s="1993"/>
      <c r="M4" s="1993"/>
      <c r="N4" s="1993"/>
      <c r="O4" s="1993"/>
      <c r="P4" s="1993"/>
      <c r="Q4" s="1993"/>
      <c r="R4" s="1993"/>
    </row>
    <row r="5" spans="1:18" ht="41.25">
      <c r="A5" s="1225"/>
      <c r="B5" s="1227" t="s">
        <v>1669</v>
      </c>
      <c r="C5" s="3033" t="s">
        <v>2925</v>
      </c>
      <c r="D5" s="1994"/>
      <c r="E5" s="1228"/>
      <c r="F5" s="1227" t="s">
        <v>2546</v>
      </c>
      <c r="G5" s="3034" t="s">
        <v>2920</v>
      </c>
      <c r="H5" s="1993"/>
      <c r="I5" s="1993"/>
      <c r="J5" s="1993"/>
      <c r="K5" s="1993"/>
      <c r="L5" s="1993"/>
      <c r="M5" s="1993"/>
      <c r="N5" s="1993"/>
      <c r="O5" s="1993"/>
      <c r="P5" s="1993"/>
      <c r="Q5" s="1993"/>
      <c r="R5" s="1993"/>
    </row>
    <row r="6" spans="1:18" ht="54">
      <c r="A6" s="1225"/>
      <c r="B6" s="1227" t="s">
        <v>1655</v>
      </c>
      <c r="C6" s="3034" t="s">
        <v>2919</v>
      </c>
      <c r="D6" s="1994"/>
      <c r="E6" s="1228"/>
      <c r="F6" s="1227" t="s">
        <v>2547</v>
      </c>
      <c r="G6" s="3034" t="s">
        <v>2917</v>
      </c>
      <c r="H6" s="1993"/>
      <c r="I6" s="1993"/>
      <c r="J6" s="1993"/>
      <c r="K6" s="1993"/>
      <c r="L6" s="1993"/>
      <c r="M6" s="1993"/>
      <c r="N6" s="1993"/>
      <c r="O6" s="1993"/>
      <c r="P6" s="1993"/>
      <c r="Q6" s="1993"/>
      <c r="R6" s="1993"/>
    </row>
    <row r="7" spans="1:18" ht="41.25" thickBot="1">
      <c r="A7" s="1225"/>
      <c r="B7" s="1227" t="s">
        <v>2546</v>
      </c>
      <c r="C7" s="3034" t="s">
        <v>2920</v>
      </c>
      <c r="D7" s="1995"/>
      <c r="E7" s="1230"/>
      <c r="F7" s="1231" t="s">
        <v>1670</v>
      </c>
      <c r="G7" s="3037" t="s">
        <v>2921</v>
      </c>
      <c r="H7" s="1993"/>
      <c r="I7" s="1993"/>
      <c r="J7" s="1993"/>
      <c r="K7" s="1993"/>
      <c r="L7" s="1993"/>
      <c r="M7" s="1993"/>
      <c r="N7" s="1993"/>
      <c r="O7" s="1993"/>
      <c r="P7" s="1993"/>
      <c r="Q7" s="1993"/>
      <c r="R7" s="1993"/>
    </row>
    <row r="8" spans="1:18" ht="27">
      <c r="A8" s="1225"/>
      <c r="B8" s="1227" t="s">
        <v>2547</v>
      </c>
      <c r="C8" s="3034" t="s">
        <v>2917</v>
      </c>
      <c r="D8" s="1995"/>
      <c r="E8" s="1995"/>
      <c r="F8" s="1540"/>
      <c r="G8" s="1540"/>
      <c r="H8" s="1993"/>
      <c r="I8" s="1993"/>
      <c r="J8" s="1993"/>
      <c r="K8" s="1993"/>
      <c r="L8" s="1993"/>
      <c r="M8" s="1993"/>
      <c r="N8" s="1993"/>
      <c r="O8" s="1993"/>
      <c r="P8" s="1993"/>
      <c r="Q8" s="1993"/>
      <c r="R8" s="1993"/>
    </row>
    <row r="9" spans="1:18" ht="40.5">
      <c r="A9" s="1225"/>
      <c r="B9" s="1227" t="s">
        <v>1656</v>
      </c>
      <c r="C9" s="3033" t="s">
        <v>2918</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5"/>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2546</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2547</v>
      </c>
      <c r="G20" s="1005" t="str">
        <f>G6</f>
        <v>估价对象所在区域基础设施水平</v>
      </c>
    </row>
    <row r="21" spans="1:7" ht="27">
      <c r="A21" s="2553"/>
      <c r="B21" s="1227" t="s">
        <v>2546</v>
      </c>
      <c r="C21" s="1005" t="str">
        <f>C7</f>
        <v>估价对象所在区域公共配套设施齐备情况</v>
      </c>
      <c r="D21" s="1994"/>
      <c r="E21" s="2550"/>
      <c r="F21" s="1243" t="s">
        <v>1661</v>
      </c>
      <c r="G21" s="3038"/>
    </row>
    <row r="22" spans="1:7" ht="27">
      <c r="A22" s="2553"/>
      <c r="B22" s="1227" t="s">
        <v>2547</v>
      </c>
      <c r="C22" s="1005" t="str">
        <f>C8</f>
        <v>估价对象所在区域基础设施水平</v>
      </c>
      <c r="D22" s="1994"/>
      <c r="E22" s="2550"/>
      <c r="F22" s="1243" t="s">
        <v>1671</v>
      </c>
      <c r="G22" s="2750"/>
    </row>
    <row r="23" spans="1:7" ht="15" thickBot="1">
      <c r="A23" s="2553"/>
      <c r="B23" s="1243" t="s">
        <v>1661</v>
      </c>
      <c r="C23" s="3038"/>
      <c r="E23" s="2551"/>
      <c r="F23" s="1244" t="s">
        <v>1675</v>
      </c>
      <c r="G23" s="3039"/>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7" sqref="D17"/>
    </sheetView>
  </sheetViews>
  <sheetFormatPr defaultColWidth="14.625" defaultRowHeight="13.5"/>
  <cols>
    <col min="1" max="1" width="24.375" customWidth="1"/>
  </cols>
  <sheetData>
    <row r="1" spans="1:10" ht="16.5">
      <c r="A1" s="2996" t="s">
        <v>2844</v>
      </c>
      <c r="B1" s="2996">
        <f>SUM(B14:B23)</f>
        <v>0</v>
      </c>
      <c r="C1" s="2997"/>
      <c r="D1" s="2997"/>
      <c r="E1" s="2997"/>
      <c r="F1" s="2997"/>
    </row>
    <row r="2" spans="1:10" ht="16.5">
      <c r="A2" s="2996" t="s">
        <v>2845</v>
      </c>
      <c r="B2" s="2996">
        <f>SUM(C14:C23)</f>
        <v>4533.33</v>
      </c>
      <c r="C2" s="2997"/>
      <c r="D2" s="2997"/>
      <c r="E2" s="2997"/>
      <c r="F2" s="2997"/>
    </row>
    <row r="3" spans="1:10" ht="16.5">
      <c r="A3" s="2996" t="s">
        <v>2846</v>
      </c>
      <c r="B3" s="2998">
        <f>项目基本情况!D3</f>
        <v>44435</v>
      </c>
      <c r="C3" s="2997"/>
      <c r="D3" s="2997"/>
      <c r="E3" s="2997"/>
      <c r="F3" s="2997"/>
    </row>
    <row r="4" spans="1:10" ht="33">
      <c r="A4" s="2996" t="s">
        <v>2847</v>
      </c>
      <c r="B4" s="2996" t="s">
        <v>2848</v>
      </c>
      <c r="C4" s="2996" t="s">
        <v>2849</v>
      </c>
      <c r="D4" s="2996" t="s">
        <v>2850</v>
      </c>
      <c r="E4" s="2997"/>
      <c r="F4" s="2997"/>
    </row>
    <row r="5" spans="1:10" ht="16.5">
      <c r="A5" s="2996" t="s">
        <v>2851</v>
      </c>
      <c r="B5" s="2996">
        <f>SUM(D14:D23)</f>
        <v>4297597</v>
      </c>
      <c r="C5" s="2996" t="e">
        <f>ROUND(B5*10000/$B$1,0)</f>
        <v>#DIV/0!</v>
      </c>
      <c r="D5" s="2996">
        <f>ROUND(B5/$B$2,0)</f>
        <v>948</v>
      </c>
      <c r="E5" s="2997"/>
      <c r="F5" s="2997"/>
    </row>
    <row r="6" spans="1:10" ht="16.5">
      <c r="A6" s="2996" t="s">
        <v>2852</v>
      </c>
      <c r="B6" s="2996">
        <f>SUM(G14:G23)</f>
        <v>0</v>
      </c>
      <c r="C6" s="2996" t="e">
        <f t="shared" ref="C6:C8" si="0">ROUND(B6*10000/$B$1,0)</f>
        <v>#DIV/0!</v>
      </c>
      <c r="D6" s="2996">
        <f t="shared" ref="D6:D8" si="1">ROUND(B6*10000/$B$2,0)</f>
        <v>0</v>
      </c>
      <c r="E6" s="2997"/>
      <c r="F6" s="2997"/>
    </row>
    <row r="7" spans="1:10" ht="16.5">
      <c r="A7" s="2996" t="s">
        <v>2853</v>
      </c>
      <c r="B7" s="2996">
        <f>SUM(H14:H23)</f>
        <v>0</v>
      </c>
      <c r="C7" s="2996" t="e">
        <f t="shared" si="0"/>
        <v>#DIV/0!</v>
      </c>
      <c r="D7" s="2996">
        <f t="shared" si="1"/>
        <v>0</v>
      </c>
      <c r="E7" s="2997"/>
      <c r="F7" s="2997"/>
    </row>
    <row r="8" spans="1:10" ht="16.5">
      <c r="A8" s="2996" t="s">
        <v>2854</v>
      </c>
      <c r="B8" s="2996">
        <f>SUM(I14:I23)</f>
        <v>0</v>
      </c>
      <c r="C8" s="2996" t="e">
        <f t="shared" si="0"/>
        <v>#DIV/0!</v>
      </c>
      <c r="D8" s="2996">
        <f t="shared" si="1"/>
        <v>0</v>
      </c>
      <c r="E8" s="2997"/>
      <c r="F8" s="2997"/>
    </row>
    <row r="9" spans="1:10" ht="16.5">
      <c r="A9" s="2996" t="s">
        <v>2855</v>
      </c>
      <c r="B9" s="2999"/>
      <c r="C9" s="2997"/>
      <c r="D9" s="2997"/>
      <c r="E9" s="2997"/>
      <c r="F9" s="2997"/>
    </row>
    <row r="10" spans="1:10" ht="16.5">
      <c r="A10" s="2996" t="s">
        <v>2856</v>
      </c>
      <c r="B10" s="2999"/>
      <c r="C10" s="2997"/>
      <c r="D10" s="2997"/>
      <c r="E10" s="2997"/>
      <c r="F10" s="2997"/>
    </row>
    <row r="11" spans="1:10" ht="16.5">
      <c r="A11" s="2996" t="s">
        <v>2873</v>
      </c>
      <c r="B11" s="2999"/>
      <c r="C11" s="2997"/>
      <c r="D11" s="2997"/>
      <c r="E11" s="2997"/>
      <c r="F11" s="2997"/>
    </row>
    <row r="12" spans="1:10" ht="16.5">
      <c r="A12" s="2997"/>
      <c r="B12" s="2997"/>
      <c r="C12" s="2997"/>
      <c r="D12" s="2997"/>
      <c r="E12" s="2997"/>
      <c r="F12" s="2997"/>
    </row>
    <row r="13" spans="1:10" ht="33">
      <c r="A13" s="3002" t="s">
        <v>2872</v>
      </c>
      <c r="B13" s="3000" t="s">
        <v>2844</v>
      </c>
      <c r="C13" s="3000" t="s">
        <v>2845</v>
      </c>
      <c r="D13" s="3000" t="s">
        <v>2857</v>
      </c>
      <c r="E13" s="2996" t="s">
        <v>2871</v>
      </c>
      <c r="F13" s="2996" t="s">
        <v>2850</v>
      </c>
      <c r="G13" s="3000" t="s">
        <v>2858</v>
      </c>
      <c r="H13" s="3000" t="s">
        <v>2859</v>
      </c>
      <c r="I13" s="3000" t="s">
        <v>2860</v>
      </c>
      <c r="J13" s="3222" t="s">
        <v>3151</v>
      </c>
    </row>
    <row r="14" spans="1:10" ht="16.5">
      <c r="A14" s="3003" t="s">
        <v>2870</v>
      </c>
      <c r="B14" s="3000"/>
      <c r="C14" s="3000"/>
      <c r="D14" s="3000"/>
      <c r="E14" s="3000" t="e">
        <f>ROUND(D14*10000/B14,0)</f>
        <v>#DIV/0!</v>
      </c>
      <c r="F14" s="3000"/>
      <c r="G14" s="3000" t="str">
        <f>结果表!C44</f>
        <v>——</v>
      </c>
      <c r="H14" s="3000" t="str">
        <f>结果表!C45</f>
        <v>——</v>
      </c>
      <c r="I14" s="3000" t="str">
        <f>结果表!C46</f>
        <v>——</v>
      </c>
      <c r="J14">
        <f>ROUND(F14*666.67/10000,2)</f>
        <v>0</v>
      </c>
    </row>
    <row r="15" spans="1:10" ht="16.5">
      <c r="A15" s="3003" t="s">
        <v>2861</v>
      </c>
      <c r="B15" s="3000"/>
      <c r="C15" s="3000"/>
      <c r="D15" s="3000"/>
      <c r="E15" s="3000" t="e">
        <f t="shared" ref="E15:E23" si="2">ROUND(D15*10000/B15,0)</f>
        <v>#DIV/0!</v>
      </c>
      <c r="F15" s="3000"/>
      <c r="G15" s="3001"/>
      <c r="H15" s="3001"/>
      <c r="I15" s="3004"/>
      <c r="J15">
        <f t="shared" ref="J15:J16" si="3">ROUND(F15*666.67/10000,2)</f>
        <v>0</v>
      </c>
    </row>
    <row r="16" spans="1:10" ht="16.5">
      <c r="A16" s="3003" t="s">
        <v>2862</v>
      </c>
      <c r="B16" s="3000"/>
      <c r="C16" s="3000"/>
      <c r="D16" s="3000"/>
      <c r="E16" s="3000" t="e">
        <f t="shared" si="2"/>
        <v>#DIV/0!</v>
      </c>
      <c r="F16" s="3000"/>
      <c r="G16" s="3001"/>
      <c r="H16" s="3001"/>
      <c r="I16" s="3004"/>
      <c r="J16">
        <f t="shared" si="3"/>
        <v>0</v>
      </c>
    </row>
    <row r="17" spans="1:10" ht="16.5">
      <c r="A17" s="3003" t="s">
        <v>2863</v>
      </c>
      <c r="B17" s="3000"/>
      <c r="C17" s="3000">
        <f>'成本逼近法（051）'!G1</f>
        <v>4533.33</v>
      </c>
      <c r="D17" s="3000">
        <f>'成本逼近法（051）'!B2</f>
        <v>4297597</v>
      </c>
      <c r="E17" s="3000" t="e">
        <f t="shared" si="2"/>
        <v>#DIV/0!</v>
      </c>
      <c r="F17" s="3000">
        <f>ROUND(D17/C17,0)</f>
        <v>948</v>
      </c>
      <c r="G17" s="3001"/>
      <c r="H17" s="3001"/>
      <c r="I17" s="3004"/>
      <c r="J17">
        <f>ROUND(F17*666.67/10000,2)</f>
        <v>63.2</v>
      </c>
    </row>
    <row r="18" spans="1:10" ht="16.5">
      <c r="A18" s="3003" t="s">
        <v>2864</v>
      </c>
      <c r="B18" s="3004"/>
      <c r="C18" s="3004"/>
      <c r="D18" s="3004"/>
      <c r="E18" s="3000" t="e">
        <f t="shared" si="2"/>
        <v>#DIV/0!</v>
      </c>
      <c r="F18" s="3000" t="e">
        <f t="shared" ref="F18:F23" si="4">ROUND(D18*10000/C18,0)</f>
        <v>#DIV/0!</v>
      </c>
      <c r="G18" s="3004"/>
      <c r="H18" s="3004"/>
      <c r="I18" s="3004"/>
    </row>
    <row r="19" spans="1:10" ht="16.5">
      <c r="A19" s="3003" t="s">
        <v>2865</v>
      </c>
      <c r="B19" s="3004"/>
      <c r="C19" s="3004"/>
      <c r="D19" s="3004"/>
      <c r="E19" s="3000" t="e">
        <f t="shared" si="2"/>
        <v>#DIV/0!</v>
      </c>
      <c r="F19" s="3000" t="e">
        <f t="shared" si="4"/>
        <v>#DIV/0!</v>
      </c>
      <c r="G19" s="3004"/>
      <c r="H19" s="3004"/>
      <c r="I19" s="3004"/>
    </row>
    <row r="20" spans="1:10" ht="16.5">
      <c r="A20" s="3003" t="s">
        <v>2866</v>
      </c>
      <c r="B20" s="3004"/>
      <c r="C20" s="3004"/>
      <c r="D20" s="3004"/>
      <c r="E20" s="3000" t="e">
        <f t="shared" si="2"/>
        <v>#DIV/0!</v>
      </c>
      <c r="F20" s="3000" t="e">
        <f t="shared" si="4"/>
        <v>#DIV/0!</v>
      </c>
      <c r="G20" s="3004"/>
      <c r="H20" s="3004"/>
      <c r="I20" s="3004"/>
    </row>
    <row r="21" spans="1:10" ht="16.5">
      <c r="A21" s="3003" t="s">
        <v>2867</v>
      </c>
      <c r="B21" s="3004"/>
      <c r="C21" s="3004"/>
      <c r="D21" s="3004"/>
      <c r="E21" s="3000" t="e">
        <f t="shared" si="2"/>
        <v>#DIV/0!</v>
      </c>
      <c r="F21" s="3000" t="e">
        <f t="shared" si="4"/>
        <v>#DIV/0!</v>
      </c>
      <c r="G21" s="3004"/>
      <c r="H21" s="3004"/>
      <c r="I21" s="3004"/>
    </row>
    <row r="22" spans="1:10" ht="16.5">
      <c r="A22" s="3003" t="s">
        <v>2868</v>
      </c>
      <c r="B22" s="3004"/>
      <c r="C22" s="3004"/>
      <c r="D22" s="3004"/>
      <c r="E22" s="3000" t="e">
        <f t="shared" si="2"/>
        <v>#DIV/0!</v>
      </c>
      <c r="F22" s="3000" t="e">
        <f t="shared" si="4"/>
        <v>#DIV/0!</v>
      </c>
      <c r="G22" s="3004"/>
      <c r="H22" s="3004"/>
      <c r="I22" s="3004"/>
    </row>
    <row r="23" spans="1:10" ht="16.5">
      <c r="A23" s="3003" t="s">
        <v>2869</v>
      </c>
      <c r="B23" s="3004"/>
      <c r="C23" s="3004"/>
      <c r="D23" s="3004"/>
      <c r="E23" s="2996" t="e">
        <f t="shared" si="2"/>
        <v>#DIV/0!</v>
      </c>
      <c r="F23" s="2996" t="e">
        <f t="shared" si="4"/>
        <v>#DIV/0!</v>
      </c>
      <c r="G23" s="3004"/>
      <c r="H23" s="3004"/>
      <c r="I23" s="3004"/>
    </row>
  </sheetData>
  <sheetProtection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9" sqref="F29"/>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2055</v>
      </c>
      <c r="B1" s="1762"/>
      <c r="C1" s="1790" t="s">
        <v>2056</v>
      </c>
      <c r="D1" s="1791" t="s">
        <v>3130</v>
      </c>
      <c r="E1" s="1790" t="s">
        <v>2057</v>
      </c>
      <c r="F1" s="1792" t="s">
        <v>3131</v>
      </c>
      <c r="G1" s="311"/>
      <c r="H1" s="311"/>
      <c r="I1" s="311"/>
      <c r="J1" s="2014"/>
      <c r="K1" s="2014"/>
      <c r="L1" s="2014"/>
      <c r="M1" s="2014"/>
      <c r="N1" s="2014"/>
      <c r="O1" s="2014"/>
      <c r="P1" s="2014"/>
      <c r="Q1" s="2014"/>
      <c r="R1" s="2014"/>
      <c r="S1" s="2014"/>
      <c r="T1" s="2014"/>
      <c r="U1" s="2014"/>
      <c r="V1" s="2014"/>
    </row>
    <row r="2" spans="1:22" ht="21.75" customHeight="1" thickBot="1">
      <c r="A2" s="3366" t="str">
        <f>项目基本情况!K2</f>
        <v>出让国有建设用地使用权</v>
      </c>
      <c r="B2" s="3367"/>
      <c r="C2" s="3368"/>
      <c r="D2" s="3368"/>
      <c r="E2" s="3368"/>
      <c r="F2" s="3368"/>
      <c r="G2" s="3367"/>
      <c r="H2" s="3367"/>
      <c r="I2" s="3369"/>
      <c r="J2" s="2015"/>
      <c r="K2" s="2014"/>
      <c r="L2" s="2014"/>
      <c r="M2" s="2014"/>
      <c r="N2" s="2014"/>
      <c r="O2" s="2014"/>
      <c r="P2" s="2014"/>
      <c r="Q2" s="2014"/>
      <c r="R2" s="2014"/>
      <c r="S2" s="2014"/>
      <c r="T2" s="2014"/>
      <c r="U2" s="2014"/>
      <c r="V2" s="2014"/>
    </row>
    <row r="3" spans="1:22" ht="14.25">
      <c r="A3" s="3377" t="s">
        <v>298</v>
      </c>
      <c r="B3" s="3378"/>
      <c r="C3" s="3378"/>
      <c r="D3" s="3378"/>
      <c r="E3" s="3378"/>
      <c r="F3" s="3378"/>
      <c r="G3" s="3378"/>
      <c r="H3" s="3378"/>
      <c r="I3" s="3378"/>
      <c r="J3" s="2015"/>
      <c r="K3" s="2014"/>
      <c r="L3" s="2014"/>
      <c r="M3" s="2014"/>
      <c r="N3" s="2014"/>
      <c r="O3" s="2014"/>
      <c r="P3" s="2014"/>
      <c r="Q3" s="2014"/>
      <c r="R3" s="2014"/>
      <c r="S3" s="2014"/>
      <c r="T3" s="2014"/>
      <c r="U3" s="2014"/>
      <c r="V3" s="2014"/>
    </row>
    <row r="4" spans="1:22" ht="14.25">
      <c r="A4" s="258" t="s">
        <v>299</v>
      </c>
      <c r="B4" s="259" t="s">
        <v>300</v>
      </c>
      <c r="C4" s="260" t="s">
        <v>3129</v>
      </c>
      <c r="D4" s="260" t="s">
        <v>3129</v>
      </c>
      <c r="E4" s="3341" t="s">
        <v>301</v>
      </c>
      <c r="F4" s="3383"/>
      <c r="G4" s="3383"/>
      <c r="H4" s="3383"/>
      <c r="I4" s="3342"/>
      <c r="J4" s="2015"/>
      <c r="K4" s="2014"/>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基准地价系数修正法</v>
      </c>
      <c r="N4" s="2014"/>
      <c r="O4" s="2014"/>
      <c r="P4" s="2014"/>
      <c r="Q4" s="2014"/>
      <c r="R4" s="2014"/>
      <c r="S4" s="2014"/>
      <c r="T4" s="2014"/>
      <c r="U4" s="2014"/>
      <c r="V4" s="2014"/>
    </row>
    <row r="5" spans="1:22" ht="14.25">
      <c r="A5" s="3370" t="s">
        <v>302</v>
      </c>
      <c r="B5" s="3371">
        <v>25</v>
      </c>
      <c r="C5" s="3379"/>
      <c r="D5" s="3382"/>
      <c r="E5" s="261" t="s">
        <v>303</v>
      </c>
      <c r="F5" s="262"/>
      <c r="G5" s="262"/>
      <c r="H5" s="262"/>
      <c r="I5" s="263"/>
      <c r="J5" s="2015"/>
      <c r="K5" s="2014"/>
      <c r="L5" s="2014"/>
      <c r="M5" s="2014"/>
      <c r="N5" s="2014"/>
      <c r="O5" s="2014"/>
      <c r="P5" s="2014"/>
      <c r="Q5" s="2014"/>
      <c r="R5" s="2014"/>
      <c r="S5" s="2014"/>
      <c r="T5" s="2014"/>
      <c r="U5" s="2014"/>
      <c r="V5" s="2014"/>
    </row>
    <row r="6" spans="1:22" ht="14.25">
      <c r="A6" s="3370"/>
      <c r="B6" s="3371"/>
      <c r="C6" s="3380"/>
      <c r="D6" s="3382"/>
      <c r="E6" s="261" t="s">
        <v>304</v>
      </c>
      <c r="F6" s="262"/>
      <c r="G6" s="262"/>
      <c r="H6" s="262"/>
      <c r="I6" s="263"/>
      <c r="J6" s="2015"/>
      <c r="K6" s="2014"/>
      <c r="L6" s="2014"/>
      <c r="M6" s="2014"/>
      <c r="N6" s="2014"/>
      <c r="O6" s="2014"/>
      <c r="P6" s="2014"/>
      <c r="Q6" s="2014"/>
      <c r="R6" s="2014"/>
      <c r="S6" s="2014"/>
      <c r="T6" s="2014"/>
      <c r="U6" s="2014"/>
      <c r="V6" s="2014"/>
    </row>
    <row r="7" spans="1:22" ht="14.25">
      <c r="A7" s="3370"/>
      <c r="B7" s="3371"/>
      <c r="C7" s="3381"/>
      <c r="D7" s="3382"/>
      <c r="E7" s="261" t="s">
        <v>305</v>
      </c>
      <c r="F7" s="262"/>
      <c r="G7" s="262"/>
      <c r="H7" s="262"/>
      <c r="I7" s="263"/>
      <c r="J7" s="2015"/>
      <c r="K7" s="2014"/>
      <c r="L7" s="2014"/>
      <c r="M7" s="2014"/>
      <c r="N7" s="2014"/>
      <c r="O7" s="2014"/>
      <c r="P7" s="2014"/>
      <c r="Q7" s="2014"/>
      <c r="R7" s="2014"/>
      <c r="S7" s="2014"/>
      <c r="T7" s="2014"/>
      <c r="U7" s="2014"/>
      <c r="V7" s="2014"/>
    </row>
    <row r="8" spans="1:22" ht="14.25">
      <c r="A8" s="3370" t="s">
        <v>306</v>
      </c>
      <c r="B8" s="3371">
        <v>15</v>
      </c>
      <c r="C8" s="3379"/>
      <c r="D8" s="3382"/>
      <c r="E8" s="261" t="s">
        <v>307</v>
      </c>
      <c r="F8" s="262"/>
      <c r="G8" s="262"/>
      <c r="H8" s="262"/>
      <c r="I8" s="263"/>
      <c r="J8" s="2015"/>
      <c r="K8" s="2014"/>
      <c r="L8" s="2014"/>
      <c r="M8" s="2014"/>
      <c r="N8" s="2014"/>
      <c r="O8" s="2014"/>
      <c r="P8" s="2014"/>
      <c r="Q8" s="2014"/>
      <c r="R8" s="2014"/>
      <c r="S8" s="2014"/>
      <c r="T8" s="2014"/>
      <c r="U8" s="2014"/>
      <c r="V8" s="2014"/>
    </row>
    <row r="9" spans="1:22" ht="14.25">
      <c r="A9" s="3370"/>
      <c r="B9" s="3371"/>
      <c r="C9" s="3381"/>
      <c r="D9" s="3382"/>
      <c r="E9" s="261" t="s">
        <v>308</v>
      </c>
      <c r="F9" s="262"/>
      <c r="G9" s="262"/>
      <c r="H9" s="262"/>
      <c r="I9" s="263"/>
      <c r="J9" s="2015"/>
      <c r="K9" s="2014"/>
      <c r="L9" s="2014"/>
      <c r="M9" s="2014"/>
      <c r="N9" s="2014"/>
      <c r="O9" s="2014"/>
      <c r="P9" s="2014"/>
      <c r="Q9" s="2014"/>
      <c r="R9" s="2014"/>
      <c r="S9" s="2014"/>
      <c r="T9" s="2014"/>
      <c r="U9" s="2014"/>
      <c r="V9" s="2014"/>
    </row>
    <row r="10" spans="1:22" ht="14.25">
      <c r="A10" s="3370" t="s">
        <v>309</v>
      </c>
      <c r="B10" s="3371">
        <v>15</v>
      </c>
      <c r="C10" s="3379"/>
      <c r="D10" s="3382"/>
      <c r="E10" s="261" t="s">
        <v>310</v>
      </c>
      <c r="F10" s="262"/>
      <c r="G10" s="262"/>
      <c r="H10" s="262"/>
      <c r="I10" s="263"/>
      <c r="J10" s="2015"/>
      <c r="K10" s="2014"/>
      <c r="L10" s="2014"/>
      <c r="M10" s="2014"/>
      <c r="N10" s="2014"/>
      <c r="O10" s="2014"/>
      <c r="P10" s="2014"/>
      <c r="Q10" s="2014"/>
      <c r="R10" s="2014"/>
      <c r="S10" s="2014"/>
      <c r="T10" s="2014"/>
      <c r="U10" s="2014"/>
      <c r="V10" s="2014"/>
    </row>
    <row r="11" spans="1:22" ht="14.25">
      <c r="A11" s="3370"/>
      <c r="B11" s="3371"/>
      <c r="C11" s="3381"/>
      <c r="D11" s="3382"/>
      <c r="E11" s="261" t="s">
        <v>311</v>
      </c>
      <c r="F11" s="262"/>
      <c r="G11" s="262"/>
      <c r="H11" s="262"/>
      <c r="I11" s="263"/>
      <c r="J11" s="2015"/>
      <c r="K11" s="2014"/>
      <c r="L11" s="2014"/>
      <c r="M11" s="2014"/>
      <c r="N11" s="2014"/>
      <c r="O11" s="2014"/>
      <c r="P11" s="2014"/>
      <c r="Q11" s="2014"/>
      <c r="R11" s="2014"/>
      <c r="S11" s="2014"/>
      <c r="T11" s="2014"/>
      <c r="U11" s="2014"/>
      <c r="V11" s="2014"/>
    </row>
    <row r="12" spans="1:22" ht="14.25">
      <c r="A12" s="3370" t="s">
        <v>312</v>
      </c>
      <c r="B12" s="3371">
        <v>15</v>
      </c>
      <c r="C12" s="3379"/>
      <c r="D12" s="3382"/>
      <c r="E12" s="261" t="s">
        <v>313</v>
      </c>
      <c r="F12" s="262"/>
      <c r="G12" s="262"/>
      <c r="H12" s="262"/>
      <c r="I12" s="263"/>
      <c r="J12" s="2015"/>
      <c r="K12" s="2014"/>
      <c r="L12" s="2014"/>
      <c r="M12" s="2014"/>
      <c r="N12" s="2014"/>
      <c r="O12" s="2014"/>
      <c r="P12" s="2014"/>
      <c r="Q12" s="2014"/>
      <c r="R12" s="2014"/>
      <c r="S12" s="2014"/>
      <c r="T12" s="2014"/>
      <c r="U12" s="2014"/>
      <c r="V12" s="2014"/>
    </row>
    <row r="13" spans="1:22" ht="14.25">
      <c r="A13" s="3370"/>
      <c r="B13" s="3371"/>
      <c r="C13" s="3381"/>
      <c r="D13" s="3382"/>
      <c r="E13" s="261" t="s">
        <v>314</v>
      </c>
      <c r="F13" s="262"/>
      <c r="G13" s="262"/>
      <c r="H13" s="262"/>
      <c r="I13" s="263"/>
      <c r="J13" s="2015"/>
      <c r="K13" s="2014"/>
      <c r="L13" s="2014"/>
      <c r="M13" s="2014"/>
      <c r="N13" s="2014"/>
      <c r="O13" s="2014"/>
      <c r="P13" s="2014"/>
      <c r="Q13" s="2014"/>
      <c r="R13" s="2014"/>
      <c r="S13" s="2014"/>
      <c r="T13" s="2014"/>
      <c r="U13" s="2014"/>
      <c r="V13" s="2014"/>
    </row>
    <row r="14" spans="1:22" ht="14.25">
      <c r="A14" s="3370" t="s">
        <v>315</v>
      </c>
      <c r="B14" s="3371">
        <v>30</v>
      </c>
      <c r="C14" s="3379">
        <v>1</v>
      </c>
      <c r="D14" s="3382">
        <v>1</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70"/>
      <c r="B15" s="3371"/>
      <c r="C15" s="3380"/>
      <c r="D15" s="3382"/>
      <c r="E15" s="261" t="s">
        <v>317</v>
      </c>
      <c r="F15" s="262"/>
      <c r="G15" s="262"/>
      <c r="H15" s="262"/>
      <c r="I15" s="263"/>
      <c r="J15" s="2015"/>
      <c r="K15" s="2014"/>
      <c r="L15" s="2014"/>
      <c r="M15" s="2014"/>
      <c r="N15" s="2014"/>
      <c r="O15" s="2014"/>
      <c r="P15" s="2014"/>
      <c r="Q15" s="2014"/>
      <c r="R15" s="2014"/>
      <c r="S15" s="2014"/>
      <c r="T15" s="2014"/>
      <c r="U15" s="2014"/>
      <c r="V15" s="2014"/>
    </row>
    <row r="16" spans="1:22" ht="14.25">
      <c r="A16" s="3370"/>
      <c r="B16" s="3371"/>
      <c r="C16" s="3381"/>
      <c r="D16" s="3382"/>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1</v>
      </c>
      <c r="D17" s="265">
        <f>SUM(D5:D16)</f>
        <v>1</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t="e">
        <f ca="1">SUMIF(INDIRECT("'"&amp;C4&amp;"'"&amp;"!A:A"),结果表!B19,INDIRECT("'"&amp;C4&amp;"'"&amp;"!B:B"))</f>
        <v>#REF!</v>
      </c>
      <c r="D19" s="271" t="e">
        <f ca="1">SUMIF(INDIRECT("'"&amp;D4&amp;"'"&amp;"!A:A"),结果表!B19,INDIRECT("'"&amp;D4&amp;"'"&amp;"!B:B"))</f>
        <v>#REF!</v>
      </c>
      <c r="E19" s="268" t="s">
        <v>323</v>
      </c>
      <c r="F19" s="269" t="s">
        <v>322</v>
      </c>
      <c r="G19" s="272" t="e">
        <f ca="1">ROUND(C19*$C$18+D19*$D$18,0)</f>
        <v>#REF!</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t="e">
        <f ca="1">SUMIF(INDIRECT("'"&amp;C4&amp;"'"&amp;"!A:A"),结果表!B20,INDIRECT("'"&amp;C4&amp;"'"&amp;"!B:B"))</f>
        <v>#REF!</v>
      </c>
      <c r="D20" s="277" t="e">
        <f ca="1">SUMIF(INDIRECT("'"&amp;D4&amp;"'"&amp;"!A:A"),结果表!B20,INDIRECT("'"&amp;D4&amp;"'"&amp;"!B:B"))</f>
        <v>#REF!</v>
      </c>
      <c r="E20" s="274"/>
      <c r="F20" s="275" t="s">
        <v>325</v>
      </c>
      <c r="G20" s="278" t="e">
        <f ca="1">ROUND(C20*$C$18+D20*$D$18,0)</f>
        <v>#REF!</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t="e">
        <f ca="1">SUMIF(INDIRECT("'"&amp;C4&amp;"'"&amp;"!A:A"),结果表!B21,INDIRECT("'"&amp;C4&amp;"'"&amp;"!B:B"))</f>
        <v>#REF!</v>
      </c>
      <c r="D21" s="151" t="e">
        <f ca="1">SUMIF(INDIRECT("'"&amp;D4&amp;"'"&amp;"!A:A"),结果表!B21,INDIRECT("'"&amp;D4&amp;"'"&amp;"!B:B"))</f>
        <v>#REF!</v>
      </c>
      <c r="E21" s="274"/>
      <c r="F21" s="280" t="s">
        <v>327</v>
      </c>
      <c r="G21" s="282" t="e">
        <f ca="1">ROUND(C21*$C$18+D21*$D$18,0)</f>
        <v>#REF!</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t="e">
        <f ca="1">IF(C19&lt;D19,D19/C19-1,C19/D19-1)</f>
        <v>#REF!</v>
      </c>
      <c r="E22" s="284"/>
      <c r="F22" s="285"/>
      <c r="G22" s="286" t="e">
        <f ca="1">ROUND(G19/('数据-汇总表'!D3/666.67),0)</f>
        <v>#REF!</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43"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85"/>
      <c r="B25" s="1317" t="s">
        <v>331</v>
      </c>
      <c r="C25" s="290">
        <f>IF(B30=0,0,C30)</f>
        <v>0</v>
      </c>
      <c r="D25" s="291"/>
      <c r="E25" s="311"/>
      <c r="F25" s="311"/>
      <c r="G25" s="311"/>
      <c r="H25" s="311"/>
      <c r="I25" s="311"/>
      <c r="J25" s="2014"/>
      <c r="K25" s="1251" t="e">
        <f ca="1">项目基本情况!B16&amp;"国有建设用地使用权价格："&amp;O38&amp;"万元"</f>
        <v>#REF!</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e">
        <f ca="1">"大写金额：人民币"&amp;NUMBERSTRING(INT(O38*10000),2)&amp;"元整"</f>
        <v>#REF!</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e">
        <f ca="1">"单位面积地价："&amp;M38&amp;"元/平方米"</f>
        <v>#REF!</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e">
        <f ca="1">"楼面地价："&amp;N38&amp;"元/平方米"</f>
        <v>#REF!</v>
      </c>
      <c r="L28" s="1248"/>
      <c r="M28" s="1248"/>
      <c r="N28" s="1248"/>
      <c r="O28" s="1247"/>
      <c r="P28" s="2014"/>
      <c r="V28" s="2014"/>
    </row>
    <row r="29" spans="1:26" ht="18">
      <c r="A29" s="293"/>
      <c r="B29" s="294"/>
      <c r="C29" s="294"/>
      <c r="D29" s="295"/>
      <c r="E29" s="311"/>
      <c r="F29" s="311"/>
      <c r="G29" s="311"/>
      <c r="H29" s="311"/>
      <c r="I29" s="311"/>
      <c r="J29" s="2014"/>
      <c r="K29" s="1254" t="str">
        <f>IF(OR(项目基本情况!E8="抵押价格",项目基本情况!E8="已注销及未注销"),"抵押价格："&amp;O39&amp;"万元","——")</f>
        <v>——</v>
      </c>
      <c r="L29" s="1248"/>
      <c r="M29" s="1248"/>
      <c r="N29" s="1248"/>
      <c r="O29" s="1247"/>
      <c r="P29" s="2014"/>
      <c r="V29" s="2014"/>
    </row>
    <row r="30" spans="1:26" ht="18.75" thickBot="1">
      <c r="A30" s="3081" t="s">
        <v>336</v>
      </c>
      <c r="B30" s="309"/>
      <c r="C30" s="309"/>
      <c r="D30" s="310"/>
      <c r="E30" s="3082" t="s">
        <v>2969</v>
      </c>
      <c r="F30" s="311"/>
      <c r="G30" s="311"/>
      <c r="H30" s="311"/>
      <c r="I30" s="311"/>
      <c r="J30" s="2014"/>
      <c r="K30" s="1254" t="str">
        <f>IF(K29="——","——","大写金额：人民币"&amp;NUMBERSTRING(INT(O39*10000),2)&amp;"元整")</f>
        <v>——</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抵押担保权已注销时的抵押价格：——万元</v>
      </c>
      <c r="L31" s="2429"/>
      <c r="M31" s="2429"/>
      <c r="N31" s="2429"/>
      <c r="O31" s="2430"/>
      <c r="P31" s="2014"/>
      <c r="V31" s="2014"/>
    </row>
    <row r="32" spans="1:26" ht="18.75" thickBot="1">
      <c r="A32" s="268" t="s">
        <v>337</v>
      </c>
      <c r="B32" s="1378" t="s">
        <v>1688</v>
      </c>
      <c r="C32" s="1379" t="e">
        <f ca="1">G19-C24</f>
        <v>#REF!</v>
      </c>
      <c r="D32" s="1380" t="s">
        <v>1689</v>
      </c>
      <c r="E32" s="311"/>
      <c r="F32" s="311"/>
      <c r="G32" s="311"/>
      <c r="H32" s="311"/>
      <c r="I32" s="311"/>
      <c r="J32" s="2014"/>
      <c r="K32" s="2428" t="e">
        <f>IF(K31="——","——","大写金额：人民币"&amp;NUMBERSTRING(INT(O40*10000),2)&amp;"元整")</f>
        <v>#VALUE!</v>
      </c>
      <c r="L32" s="2431"/>
      <c r="M32" s="2431"/>
      <c r="N32" s="2431"/>
      <c r="O32" s="2432"/>
      <c r="P32" s="2014"/>
      <c r="V32" s="2014"/>
    </row>
    <row r="33" spans="1:26" ht="18.75" thickBot="1">
      <c r="A33" s="298" t="s">
        <v>340</v>
      </c>
      <c r="B33" s="1381" t="s">
        <v>1690</v>
      </c>
      <c r="C33" s="264" t="e">
        <f ca="1">ROUND(C32*10000/'数据-汇总表'!E3,0)</f>
        <v>#REF!</v>
      </c>
      <c r="D33" s="1382" t="s">
        <v>1691</v>
      </c>
      <c r="E33" s="3343"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1692</v>
      </c>
      <c r="C34" s="264" t="e">
        <f ca="1">ROUND(C32*10000/'数据-汇总表'!D3,0)</f>
        <v>#REF!</v>
      </c>
      <c r="D34" s="1384" t="s">
        <v>1691</v>
      </c>
      <c r="E34" s="3344"/>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t="e">
        <f ca="1">ROUND(C32/('数据-汇总表'!D3/666.67),0)</f>
        <v>#REF!</v>
      </c>
      <c r="D35" s="1387" t="s">
        <v>1693</v>
      </c>
      <c r="E35" s="3345"/>
      <c r="F35" s="301" t="s">
        <v>342</v>
      </c>
      <c r="G35" s="982"/>
      <c r="H35" s="981" t="s">
        <v>343</v>
      </c>
      <c r="I35" s="311"/>
      <c r="J35" s="2014"/>
      <c r="K35" s="3349" t="s">
        <v>350</v>
      </c>
      <c r="L35" s="3349" t="s">
        <v>351</v>
      </c>
      <c r="M35" s="1260" t="s">
        <v>352</v>
      </c>
      <c r="N35" s="3349" t="s">
        <v>353</v>
      </c>
      <c r="O35" s="3349" t="s">
        <v>354</v>
      </c>
      <c r="P35" s="2014"/>
      <c r="V35" s="2014"/>
    </row>
    <row r="36" spans="1:26" ht="16.5" customHeight="1">
      <c r="A36" s="303" t="s">
        <v>344</v>
      </c>
      <c r="B36" s="304" t="s">
        <v>333</v>
      </c>
      <c r="C36" s="305" t="s">
        <v>345</v>
      </c>
      <c r="D36" s="305" t="s">
        <v>346</v>
      </c>
      <c r="E36" s="306" t="s">
        <v>347</v>
      </c>
      <c r="F36" s="311"/>
      <c r="G36" s="311"/>
      <c r="H36" s="311"/>
      <c r="I36" s="311"/>
      <c r="J36" s="2016"/>
      <c r="K36" s="3350"/>
      <c r="L36" s="3350"/>
      <c r="M36" s="1262" t="s">
        <v>355</v>
      </c>
      <c r="N36" s="3350"/>
      <c r="O36" s="3350"/>
      <c r="P36" s="2014"/>
      <c r="V36" s="2014"/>
    </row>
    <row r="37" spans="1:26" ht="16.5" customHeight="1" thickBot="1">
      <c r="A37" s="1256" t="s">
        <v>348</v>
      </c>
      <c r="B37" s="307"/>
      <c r="C37" s="294"/>
      <c r="D37" s="294"/>
      <c r="E37" s="295"/>
      <c r="F37" s="311"/>
      <c r="G37" s="311"/>
      <c r="H37" s="311"/>
      <c r="I37" s="311"/>
      <c r="J37" s="2016"/>
      <c r="K37" s="3351"/>
      <c r="L37" s="3351"/>
      <c r="M37" s="1263"/>
      <c r="N37" s="3351"/>
      <c r="O37" s="3351"/>
      <c r="P37" s="2014"/>
      <c r="V37" s="2014"/>
    </row>
    <row r="38" spans="1:26" ht="16.5" customHeight="1" thickBot="1">
      <c r="A38" s="1256" t="s">
        <v>349</v>
      </c>
      <c r="B38" s="307"/>
      <c r="C38" s="294"/>
      <c r="D38" s="294"/>
      <c r="E38" s="295"/>
      <c r="F38" s="311"/>
      <c r="G38" s="311"/>
      <c r="H38" s="311"/>
      <c r="I38" s="311"/>
      <c r="J38" s="2016"/>
      <c r="K38" s="1264">
        <f>'数据-汇总表'!D3</f>
        <v>15557.09</v>
      </c>
      <c r="L38" s="1265">
        <f>'数据-汇总表'!E3</f>
        <v>10288.000000000002</v>
      </c>
      <c r="M38" s="1265" t="e">
        <f ca="1">C34</f>
        <v>#REF!</v>
      </c>
      <c r="N38" s="1265" t="e">
        <f ca="1">C33</f>
        <v>#REF!</v>
      </c>
      <c r="O38" s="1266" t="e">
        <f ca="1">C32</f>
        <v>#REF!</v>
      </c>
      <c r="P38" s="2014"/>
      <c r="V38" s="2014"/>
    </row>
    <row r="39" spans="1:26" ht="16.5" customHeight="1" thickBot="1">
      <c r="A39" s="1261"/>
      <c r="B39" s="308"/>
      <c r="C39" s="309"/>
      <c r="D39" s="309"/>
      <c r="E39" s="310"/>
      <c r="F39" s="311"/>
      <c r="G39" s="311"/>
      <c r="H39" s="311"/>
      <c r="I39" s="311"/>
      <c r="J39" s="2016"/>
      <c r="K39" s="3326" t="str">
        <f>MID(A44,3,LEN(A44)-2)</f>
        <v/>
      </c>
      <c r="L39" s="3327"/>
      <c r="M39" s="3327"/>
      <c r="N39" s="3328"/>
      <c r="O39" s="1389" t="str">
        <f>C44</f>
        <v>——</v>
      </c>
      <c r="P39" s="2014"/>
      <c r="V39" s="2014"/>
    </row>
    <row r="40" spans="1:26" ht="19.5" thickBot="1">
      <c r="A40" s="104" t="s">
        <v>873</v>
      </c>
      <c r="B40" s="311"/>
      <c r="C40" s="311"/>
      <c r="D40" s="311"/>
      <c r="E40" s="311"/>
      <c r="F40" s="311"/>
      <c r="G40" s="311"/>
      <c r="H40" s="311"/>
      <c r="I40" s="311"/>
      <c r="J40" s="2016"/>
      <c r="K40" s="3326" t="str">
        <f t="shared" ref="K40:K41" si="0">MID(A45,3,LEN(A45)-2)</f>
        <v/>
      </c>
      <c r="L40" s="3327"/>
      <c r="M40" s="3327"/>
      <c r="N40" s="3328"/>
      <c r="O40" s="1389" t="str">
        <f>C45</f>
        <v>——</v>
      </c>
      <c r="P40" s="2014"/>
      <c r="V40" s="2014"/>
    </row>
    <row r="41" spans="1:26" ht="16.5" thickBot="1">
      <c r="A41" s="312" t="s">
        <v>356</v>
      </c>
      <c r="B41" s="313"/>
      <c r="C41" s="314" t="s">
        <v>357</v>
      </c>
      <c r="D41" s="315" t="s">
        <v>358</v>
      </c>
      <c r="E41" s="315" t="s">
        <v>359</v>
      </c>
      <c r="F41" s="316" t="s">
        <v>360</v>
      </c>
      <c r="G41" s="311"/>
      <c r="H41" s="311"/>
      <c r="I41" s="311"/>
      <c r="J41" s="2016"/>
      <c r="K41" s="3326" t="str">
        <f t="shared" si="0"/>
        <v/>
      </c>
      <c r="L41" s="3327"/>
      <c r="M41" s="3327"/>
      <c r="N41" s="3328"/>
      <c r="O41" s="1389" t="str">
        <f>C46</f>
        <v>——</v>
      </c>
      <c r="P41" s="2014"/>
      <c r="V41" s="2014"/>
    </row>
    <row r="42" spans="1:26" ht="29.25">
      <c r="A42" s="3386" t="s">
        <v>2067</v>
      </c>
      <c r="B42" s="3387"/>
      <c r="C42" s="264" t="e">
        <f ca="1">C32</f>
        <v>#REF!</v>
      </c>
      <c r="D42" s="317" t="e">
        <f ca="1">C33</f>
        <v>#REF!</v>
      </c>
      <c r="E42" s="317" t="e">
        <f ca="1">C34</f>
        <v>#REF!</v>
      </c>
      <c r="F42" s="318" t="e">
        <f ca="1">C35</f>
        <v>#REF!</v>
      </c>
      <c r="G42" s="311"/>
      <c r="H42" s="311"/>
      <c r="I42" s="319"/>
      <c r="J42" s="2016"/>
      <c r="K42" s="1267" t="s">
        <v>361</v>
      </c>
      <c r="L42" s="2033" t="s">
        <v>362</v>
      </c>
      <c r="M42" s="1268" t="s">
        <v>363</v>
      </c>
      <c r="N42" s="2034" t="s">
        <v>364</v>
      </c>
      <c r="O42" s="2035" t="s">
        <v>365</v>
      </c>
      <c r="P42" s="2014"/>
      <c r="V42" s="2014"/>
    </row>
    <row r="43" spans="1:26" ht="18">
      <c r="A43" s="3396" t="s">
        <v>2730</v>
      </c>
      <c r="B43" s="3397"/>
      <c r="C43" s="264">
        <f>IF(H33="正常操作",G33+G34+G35,G34+G35)</f>
        <v>0</v>
      </c>
      <c r="D43" s="317" t="s">
        <v>43</v>
      </c>
      <c r="E43" s="317" t="s">
        <v>44</v>
      </c>
      <c r="F43" s="318" t="s">
        <v>44</v>
      </c>
      <c r="G43" s="2822" t="s">
        <v>952</v>
      </c>
      <c r="H43" s="311"/>
      <c r="I43" s="319"/>
      <c r="J43" s="2016"/>
      <c r="K43" s="1269" t="str">
        <f>C4</f>
        <v>成本逼近法1</v>
      </c>
      <c r="L43" s="1270" t="e">
        <f ca="1">IF(L42="估价结果/万元",C19,C20)</f>
        <v>#REF!</v>
      </c>
      <c r="M43" s="1271">
        <f>C18</f>
        <v>0.5</v>
      </c>
      <c r="N43" s="1272" t="e">
        <f ca="1">IF(N42="测算结果/万元",G19,G20)</f>
        <v>#REF!</v>
      </c>
      <c r="O43" s="1273" t="e">
        <f ca="1">IF(O42="最终结果/万元",C32,C33)</f>
        <v>#REF!</v>
      </c>
      <c r="P43" s="2014"/>
      <c r="V43" s="2014"/>
    </row>
    <row r="44" spans="1:26" ht="18.75" thickBot="1">
      <c r="A44" s="3386" t="str">
        <f>IF(OR(项目基本情况!E8="抵押价格",项目基本情况!E8="已注销及未注销"),"3.抵押价格","——")</f>
        <v>——</v>
      </c>
      <c r="B44" s="3387"/>
      <c r="C44" s="264" t="str">
        <f>IF(A44="——","——",C42-C43)</f>
        <v>——</v>
      </c>
      <c r="D44" s="317" t="e">
        <f>ROUND(C44*10000/'数据-汇总表'!E3,0)</f>
        <v>#VALUE!</v>
      </c>
      <c r="E44" s="317" t="e">
        <f>ROUND(C44*10000/'数据-汇总表'!D3,0)</f>
        <v>#VALUE!</v>
      </c>
      <c r="F44" s="318" t="e">
        <f>ROUND(C44/('数据-汇总表'!D3/666.67),0)</f>
        <v>#VALUE!</v>
      </c>
      <c r="G44" s="311"/>
      <c r="H44" s="311"/>
      <c r="I44" s="319"/>
      <c r="J44" s="2016"/>
      <c r="K44" s="1274" t="str">
        <f>D4</f>
        <v>成本逼近法1</v>
      </c>
      <c r="L44" s="1275" t="e">
        <f ca="1">IF(L42="估价结果/万元",D19,D20)</f>
        <v>#REF!</v>
      </c>
      <c r="M44" s="1276">
        <f>D18</f>
        <v>0.5</v>
      </c>
      <c r="N44" s="1277"/>
      <c r="O44" s="1278"/>
      <c r="P44" s="2014"/>
      <c r="V44" s="2014"/>
    </row>
    <row r="45" spans="1:26" ht="15">
      <c r="A45" s="3391" t="str">
        <f>IF(项目基本情况!E8="已注销及未注销","4.抵押担保权已注销时的抵押价格",IF(项目基本情况!E8="已注销","3.抵押担保权已注销时的抵押价格","——"))</f>
        <v>——</v>
      </c>
      <c r="B45" s="3392"/>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88" t="str">
        <f>IF(项目基本情况!E9="抵押净值",IF(A45="——","4.抵押净值","5.抵押净值"),"——")</f>
        <v>——</v>
      </c>
      <c r="B46" s="3389"/>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54" t="s">
        <v>374</v>
      </c>
      <c r="B63" s="3355"/>
      <c r="C63" s="3356"/>
      <c r="D63" s="341" t="e">
        <f ca="1">ROUND(C42*F63,0)</f>
        <v>#REF!</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93" t="s">
        <v>378</v>
      </c>
      <c r="B64" s="3394"/>
      <c r="C64" s="3394"/>
      <c r="D64" s="3394"/>
      <c r="E64" s="3394"/>
      <c r="F64" s="3394"/>
      <c r="G64" s="3395"/>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90" t="s">
        <v>386</v>
      </c>
      <c r="B66" s="3361"/>
      <c r="C66" s="3361"/>
      <c r="D66" s="261" t="e">
        <f ca="1">IF(H66="情况1",0,IF(H66="情况2",D70,IF(H66="情况3",D71,IF(H66="情况4",D72))))</f>
        <v>#REF!</v>
      </c>
      <c r="E66" s="993" t="str">
        <f>IF(H66="情况4","(销售额-原购置价)×税（费）率","销售额×税（费）率")</f>
        <v>销售额×税（费）率</v>
      </c>
      <c r="F66" s="350">
        <f>IF(H66="情况1","免征",'数据-取费表'!B41)</f>
        <v>0</v>
      </c>
      <c r="G66" s="351" t="s">
        <v>387</v>
      </c>
      <c r="H66" s="191" t="s">
        <v>388</v>
      </c>
      <c r="I66" s="1284"/>
      <c r="J66" s="2020"/>
      <c r="K66" s="1287">
        <v>1</v>
      </c>
      <c r="L66" s="3330" t="s">
        <v>385</v>
      </c>
      <c r="M66" s="3331"/>
      <c r="N66" s="2423"/>
      <c r="O66" s="2424"/>
      <c r="P66" s="2425"/>
      <c r="Q66" s="2014"/>
      <c r="R66" s="2014"/>
      <c r="S66" s="2014"/>
      <c r="T66" s="2014"/>
      <c r="U66" s="2014"/>
      <c r="V66" s="2014"/>
    </row>
    <row r="67" spans="1:22" ht="25.5" customHeight="1">
      <c r="A67" s="352" t="s">
        <v>390</v>
      </c>
      <c r="B67" s="3373" t="s">
        <v>391</v>
      </c>
      <c r="C67" s="3373"/>
      <c r="D67" s="353">
        <v>0</v>
      </c>
      <c r="E67" s="41" t="s">
        <v>392</v>
      </c>
      <c r="F67" s="62" t="s">
        <v>21</v>
      </c>
      <c r="G67" s="3357"/>
      <c r="H67" s="311"/>
      <c r="I67" s="1288"/>
      <c r="J67" s="2021"/>
      <c r="K67" s="1962">
        <v>2</v>
      </c>
      <c r="L67" s="3329" t="s">
        <v>389</v>
      </c>
      <c r="M67" s="3329"/>
      <c r="N67" s="1321">
        <f>'数据-取费表'!B2</f>
        <v>44435</v>
      </c>
      <c r="O67" s="1321"/>
      <c r="P67" s="1321"/>
      <c r="Q67" s="2014"/>
      <c r="R67" s="2014"/>
      <c r="S67" s="2014"/>
      <c r="T67" s="2014"/>
      <c r="U67" s="2014"/>
      <c r="V67" s="2014"/>
    </row>
    <row r="68" spans="1:22" ht="25.5" customHeight="1">
      <c r="A68" s="354"/>
      <c r="B68" s="3373" t="s">
        <v>394</v>
      </c>
      <c r="C68" s="3373"/>
      <c r="D68" s="355"/>
      <c r="E68" s="77"/>
      <c r="F68" s="356"/>
      <c r="G68" s="3358"/>
      <c r="H68" s="311"/>
      <c r="I68" s="1288"/>
      <c r="J68" s="2021"/>
      <c r="K68" s="1962">
        <v>3</v>
      </c>
      <c r="L68" s="3329" t="s">
        <v>393</v>
      </c>
      <c r="M68" s="3329"/>
      <c r="N68" s="1289" t="e">
        <f ca="1">C42</f>
        <v>#REF!</v>
      </c>
      <c r="O68" s="1289"/>
      <c r="P68" s="1289"/>
      <c r="Q68" s="2014"/>
      <c r="R68" s="2014"/>
      <c r="S68" s="2014"/>
      <c r="T68" s="2014"/>
      <c r="U68" s="2014"/>
      <c r="V68" s="2014"/>
    </row>
    <row r="69" spans="1:22" ht="12" customHeight="1">
      <c r="A69" s="357"/>
      <c r="B69" s="3373" t="s">
        <v>395</v>
      </c>
      <c r="C69" s="3373"/>
      <c r="D69" s="358"/>
      <c r="E69" s="73"/>
      <c r="F69" s="356"/>
      <c r="G69" s="3359"/>
      <c r="H69" s="311"/>
      <c r="I69" s="1288"/>
      <c r="J69" s="2021"/>
      <c r="K69" s="1290">
        <v>4</v>
      </c>
      <c r="L69" s="3335" t="s">
        <v>2883</v>
      </c>
      <c r="M69" s="3336"/>
      <c r="N69" s="1291" t="str">
        <f>C44</f>
        <v>——</v>
      </c>
      <c r="O69" s="1291"/>
      <c r="P69" s="1291"/>
      <c r="Q69" s="2014"/>
      <c r="R69" s="2014"/>
      <c r="S69" s="2014"/>
      <c r="T69" s="2014"/>
      <c r="U69" s="2014"/>
      <c r="V69" s="2014"/>
    </row>
    <row r="70" spans="1:22" ht="24" customHeight="1">
      <c r="A70" s="359" t="s">
        <v>396</v>
      </c>
      <c r="B70" s="3373" t="s">
        <v>397</v>
      </c>
      <c r="C70" s="3373"/>
      <c r="D70" s="358" t="e">
        <f ca="1">ROUND(D63*'数据-取费表'!B41/(1+'数据-取费表'!C42),0)</f>
        <v>#REF!</v>
      </c>
      <c r="E70" s="17" t="s">
        <v>398</v>
      </c>
      <c r="F70" s="360">
        <f>'数据-取费表'!B41</f>
        <v>0</v>
      </c>
      <c r="G70" s="361"/>
      <c r="H70" s="311"/>
      <c r="I70" s="1288"/>
      <c r="J70" s="2021"/>
      <c r="K70" s="3013"/>
      <c r="L70" s="3014"/>
      <c r="M70" s="3014"/>
      <c r="N70" s="3015" t="s">
        <v>2888</v>
      </c>
      <c r="O70" s="3014"/>
      <c r="P70" s="3016"/>
      <c r="Q70" s="2014"/>
      <c r="R70" s="2014"/>
      <c r="S70" s="2014"/>
      <c r="T70" s="2014"/>
      <c r="U70" s="2014"/>
      <c r="V70" s="2014"/>
    </row>
    <row r="71" spans="1:22" ht="12" customHeight="1">
      <c r="A71" s="359" t="s">
        <v>404</v>
      </c>
      <c r="B71" s="3372" t="s">
        <v>405</v>
      </c>
      <c r="C71" s="3384"/>
      <c r="D71" s="358" t="e">
        <f ca="1">ROUND(D63*'数据-取费表'!B41/(1+'数据-取费表'!C42),0)</f>
        <v>#REF!</v>
      </c>
      <c r="E71" s="17" t="s">
        <v>398</v>
      </c>
      <c r="F71" s="360">
        <f>'数据-取费表'!B41</f>
        <v>0</v>
      </c>
      <c r="G71" s="361"/>
      <c r="H71" s="311"/>
      <c r="I71" s="1288"/>
      <c r="J71" s="2021"/>
      <c r="K71" s="3012" t="s">
        <v>399</v>
      </c>
      <c r="L71" s="3337" t="s">
        <v>400</v>
      </c>
      <c r="M71" s="3337"/>
      <c r="N71" s="3012" t="s">
        <v>401</v>
      </c>
      <c r="O71" s="3012" t="s">
        <v>402</v>
      </c>
      <c r="P71" s="3012" t="s">
        <v>403</v>
      </c>
      <c r="Q71" s="2014"/>
      <c r="R71" s="2014"/>
      <c r="S71" s="2014"/>
      <c r="T71" s="2014"/>
      <c r="U71" s="2014"/>
      <c r="V71" s="2014"/>
    </row>
    <row r="72" spans="1:22" ht="12" customHeight="1">
      <c r="A72" s="359" t="s">
        <v>407</v>
      </c>
      <c r="B72" s="3372" t="s">
        <v>408</v>
      </c>
      <c r="C72" s="3384"/>
      <c r="D72" s="358" t="e">
        <f ca="1">C86</f>
        <v>#REF!</v>
      </c>
      <c r="E72" s="73" t="s">
        <v>409</v>
      </c>
      <c r="F72" s="360">
        <f>'数据-取费表'!B41</f>
        <v>0</v>
      </c>
      <c r="G72" s="361"/>
      <c r="H72" s="1294"/>
      <c r="I72" s="1288"/>
      <c r="J72" s="2021"/>
      <c r="K72" s="1962">
        <v>1</v>
      </c>
      <c r="L72" s="3334" t="s">
        <v>406</v>
      </c>
      <c r="M72" s="3334"/>
      <c r="N72" s="1292" t="e">
        <f ca="1">D66</f>
        <v>#REF!</v>
      </c>
      <c r="O72" s="1845" t="str">
        <f>E66</f>
        <v>销售额×税（费）率</v>
      </c>
      <c r="P72" s="1293">
        <f>F66</f>
        <v>0</v>
      </c>
      <c r="Q72" s="2014"/>
      <c r="R72" s="2014"/>
      <c r="S72" s="2014"/>
      <c r="T72" s="2014"/>
      <c r="U72" s="2014"/>
      <c r="V72" s="2014"/>
    </row>
    <row r="73" spans="1:22" ht="24" customHeight="1">
      <c r="A73" s="3360" t="s">
        <v>411</v>
      </c>
      <c r="B73" s="3361"/>
      <c r="C73" s="3361"/>
      <c r="D73" s="362">
        <f>IF(H73="个人住宅",0,ROUND(D63*I73,0))</f>
        <v>0</v>
      </c>
      <c r="E73" s="17" t="s">
        <v>412</v>
      </c>
      <c r="F73" s="360" t="str">
        <f>IF(H73="正常",I73,"免征")</f>
        <v>免征</v>
      </c>
      <c r="G73" s="361"/>
      <c r="H73" s="191" t="s">
        <v>2455</v>
      </c>
      <c r="I73" s="360">
        <f>'数据-取费表'!B49</f>
        <v>0</v>
      </c>
      <c r="J73" s="2021"/>
      <c r="K73" s="1962">
        <v>2</v>
      </c>
      <c r="L73" s="3334" t="s">
        <v>410</v>
      </c>
      <c r="M73" s="3334"/>
      <c r="N73" s="1292">
        <f t="shared" ref="N73:P74" si="1">D73</f>
        <v>0</v>
      </c>
      <c r="O73" s="1845" t="str">
        <f t="shared" si="1"/>
        <v>销售额×税（费）率</v>
      </c>
      <c r="P73" s="1293" t="str">
        <f t="shared" si="1"/>
        <v>免征</v>
      </c>
      <c r="Q73" s="2014"/>
      <c r="R73" s="2014"/>
      <c r="S73" s="2014"/>
      <c r="T73" s="2014"/>
      <c r="U73" s="2014"/>
      <c r="V73" s="2014"/>
    </row>
    <row r="74" spans="1:22" ht="24.75">
      <c r="A74" s="3360" t="s">
        <v>415</v>
      </c>
      <c r="B74" s="3361"/>
      <c r="C74" s="3361"/>
      <c r="D74" s="362" t="e">
        <f ca="1">IF(H74="个人住宅",D75,D76)</f>
        <v>#REF!</v>
      </c>
      <c r="E74" s="17" t="s">
        <v>416</v>
      </c>
      <c r="F74" s="360" t="str">
        <f>IF(H74="正常",F76,"免征")</f>
        <v>——</v>
      </c>
      <c r="G74" s="983" t="s">
        <v>417</v>
      </c>
      <c r="H74" s="363" t="s">
        <v>413</v>
      </c>
      <c r="I74" s="42"/>
      <c r="J74" s="2021"/>
      <c r="K74" s="1962">
        <v>3</v>
      </c>
      <c r="L74" s="3334" t="s">
        <v>414</v>
      </c>
      <c r="M74" s="3334"/>
      <c r="N74" s="1292" t="e">
        <f t="shared" ca="1" si="1"/>
        <v>#REF!</v>
      </c>
      <c r="O74" s="1845" t="str">
        <f t="shared" si="1"/>
        <v>增值额×税（费）率</v>
      </c>
      <c r="P74" s="1295" t="str">
        <f t="shared" si="1"/>
        <v>——</v>
      </c>
      <c r="Q74" s="2014"/>
      <c r="R74" s="2014"/>
      <c r="S74" s="2014"/>
      <c r="T74" s="2014"/>
      <c r="U74" s="2014"/>
      <c r="V74" s="2014"/>
    </row>
    <row r="75" spans="1:22" ht="24">
      <c r="A75" s="359" t="s">
        <v>418</v>
      </c>
      <c r="B75" s="3341" t="s">
        <v>419</v>
      </c>
      <c r="C75" s="3342"/>
      <c r="D75" s="364">
        <v>0</v>
      </c>
      <c r="E75" s="41" t="s">
        <v>420</v>
      </c>
      <c r="F75" s="365"/>
      <c r="G75" s="361"/>
      <c r="H75" s="42"/>
      <c r="I75" s="42"/>
      <c r="J75" s="2021"/>
      <c r="K75" s="3005">
        <f>IF(H77="非个人房产","",4)</f>
        <v>4</v>
      </c>
      <c r="L75" s="3334" t="str">
        <f>IF(H77="非个人房产","——","个人所得税")</f>
        <v>个人所得税</v>
      </c>
      <c r="M75" s="3334"/>
      <c r="N75" s="1296" t="e">
        <f ca="1">D77</f>
        <v>#REF!</v>
      </c>
      <c r="O75" s="1858" t="str">
        <f>E77</f>
        <v>销售额×税（费）率</v>
      </c>
      <c r="P75" s="1297">
        <f>F77</f>
        <v>0.01</v>
      </c>
      <c r="Q75" s="2014"/>
      <c r="R75" s="2014"/>
      <c r="S75" s="2014"/>
      <c r="T75" s="2014"/>
      <c r="U75" s="2014"/>
      <c r="V75" s="2014"/>
    </row>
    <row r="76" spans="1:22" ht="24.75">
      <c r="A76" s="359" t="s">
        <v>396</v>
      </c>
      <c r="B76" s="3341" t="s">
        <v>422</v>
      </c>
      <c r="C76" s="3383"/>
      <c r="D76" s="362" t="e">
        <f ca="1">IF(H76="转让取得",C99,C115)</f>
        <v>#REF!</v>
      </c>
      <c r="E76" s="17" t="s">
        <v>423</v>
      </c>
      <c r="F76" s="53" t="s">
        <v>21</v>
      </c>
      <c r="G76" s="361"/>
      <c r="H76" s="363" t="s">
        <v>424</v>
      </c>
      <c r="I76" s="42"/>
      <c r="J76" s="2021"/>
      <c r="K76" s="3005" t="str">
        <f>IF(项目基本情况!K6="上海银行",IF(K75="",4,K75+1),"")</f>
        <v/>
      </c>
      <c r="L76" s="3322" t="str">
        <f>IF(项目基本情况!K6="上海银行","其他处置费用","")</f>
        <v/>
      </c>
      <c r="M76" s="3323"/>
      <c r="N76" s="1292" t="str">
        <f>IF(项目基本情况!K6="上海银行",N89,"")</f>
        <v/>
      </c>
      <c r="O76" s="3324" t="str">
        <f>IF(项目基本情况!K6="上海银行","包含处置中涉及的律师、诉讼、拍卖、评估等费用","")</f>
        <v/>
      </c>
      <c r="P76" s="3325"/>
      <c r="Q76" s="2014"/>
      <c r="R76" s="2014"/>
      <c r="S76" s="2014"/>
      <c r="T76" s="2014"/>
      <c r="U76" s="2014"/>
      <c r="V76" s="2014"/>
    </row>
    <row r="77" spans="1:22" ht="26.25" thickBot="1">
      <c r="A77" s="3352" t="s">
        <v>426</v>
      </c>
      <c r="B77" s="3353"/>
      <c r="C77" s="3353"/>
      <c r="D77" s="366" t="e">
        <f ca="1">IF(H77="非个人房产","——",IF(H77="个人住宅",0,ROUND(D63*I77,0)))</f>
        <v>#REF!</v>
      </c>
      <c r="E77" s="367" t="str">
        <f>IF(H77="非个人房产","——","销售额×税（费）率")</f>
        <v>销售额×税（费）率</v>
      </c>
      <c r="F77" s="368">
        <f>IF(H77="非个人房产","——",IF(H77="个人住宅","免征",I77))</f>
        <v>0.01</v>
      </c>
      <c r="G77" s="984" t="s">
        <v>417</v>
      </c>
      <c r="H77" s="363" t="s">
        <v>2884</v>
      </c>
      <c r="I77" s="369">
        <v>0.01</v>
      </c>
      <c r="J77" s="2021"/>
      <c r="K77" s="3348">
        <f>IF(AND(K75="",K76=""),4,IF(项目基本情况!K6="上海银行",K76+1,K75+1))</f>
        <v>5</v>
      </c>
      <c r="L77" s="3334" t="s">
        <v>2885</v>
      </c>
      <c r="M77" s="3011" t="s">
        <v>421</v>
      </c>
      <c r="N77" s="1298"/>
      <c r="O77" s="1299">
        <f ca="1">SUMIF(N72:N76,"&lt;9e307")</f>
        <v>0</v>
      </c>
      <c r="P77" s="1300"/>
      <c r="Q77" s="3009" t="e">
        <f ca="1">O77/N69</f>
        <v>#VALUE!</v>
      </c>
      <c r="R77" s="2014"/>
      <c r="S77" s="2014"/>
      <c r="T77" s="2014"/>
      <c r="U77" s="2014"/>
      <c r="V77" s="2014"/>
    </row>
    <row r="78" spans="1:22" ht="12" customHeight="1">
      <c r="A78" s="1301"/>
      <c r="B78" s="311"/>
      <c r="C78" s="311"/>
      <c r="D78" s="311"/>
      <c r="E78" s="42"/>
      <c r="F78" s="42"/>
      <c r="G78" s="42"/>
      <c r="H78" s="1003"/>
      <c r="I78" s="311"/>
      <c r="J78" s="2021"/>
      <c r="K78" s="3348"/>
      <c r="L78" s="3334"/>
      <c r="M78" s="3011" t="s">
        <v>425</v>
      </c>
      <c r="N78" s="1298"/>
      <c r="O78" s="1299" t="str">
        <f ca="1">NUMBERSTRING(INT(O77*10000),2)&amp;"元整"</f>
        <v>零元整</v>
      </c>
      <c r="P78" s="1300"/>
      <c r="Q78" s="2014"/>
      <c r="R78" s="2014"/>
      <c r="S78" s="2014"/>
      <c r="T78" s="2014"/>
      <c r="U78" s="2014"/>
      <c r="V78" s="2014"/>
    </row>
    <row r="79" spans="1:22" ht="13.5" thickBot="1">
      <c r="A79" s="3338" t="s">
        <v>427</v>
      </c>
      <c r="B79" s="3338"/>
      <c r="C79" s="3338"/>
      <c r="D79" s="3338"/>
      <c r="E79" s="3338"/>
      <c r="F79" s="42"/>
      <c r="G79" s="42"/>
      <c r="H79" s="1003"/>
      <c r="I79" s="311"/>
      <c r="J79" s="2021"/>
      <c r="K79" s="3332">
        <f>K77+1</f>
        <v>6</v>
      </c>
      <c r="L79" s="3334" t="s">
        <v>2886</v>
      </c>
      <c r="M79" s="3011" t="s">
        <v>421</v>
      </c>
      <c r="N79" s="1298"/>
      <c r="O79" s="1299" t="e">
        <f ca="1">N69-O77</f>
        <v>#VALUE!</v>
      </c>
      <c r="P79" s="1300"/>
      <c r="Q79" s="2014"/>
      <c r="R79" s="2014"/>
      <c r="S79" s="2014"/>
      <c r="T79" s="2014"/>
      <c r="U79" s="2014"/>
      <c r="V79" s="2014"/>
    </row>
    <row r="80" spans="1:22" ht="12.75">
      <c r="A80" s="3339" t="s">
        <v>428</v>
      </c>
      <c r="B80" s="3340"/>
      <c r="C80" s="994"/>
      <c r="D80" s="994" t="s">
        <v>429</v>
      </c>
      <c r="E80" s="370" t="s">
        <v>430</v>
      </c>
      <c r="F80" s="42"/>
      <c r="G80" s="42"/>
      <c r="H80" s="1003"/>
      <c r="I80" s="311"/>
      <c r="J80" s="2014"/>
      <c r="K80" s="3333"/>
      <c r="L80" s="3334"/>
      <c r="M80" s="3011" t="s">
        <v>425</v>
      </c>
      <c r="N80" s="1298"/>
      <c r="O80" s="1299" t="e">
        <f ca="1">NUMBERSTRING(INT(O79*10000),2)&amp;"元整"</f>
        <v>#VALUE!</v>
      </c>
      <c r="P80" s="1300"/>
      <c r="Q80" s="2014"/>
      <c r="R80" s="2014"/>
      <c r="S80" s="2014"/>
      <c r="T80" s="2014"/>
      <c r="U80" s="2014"/>
      <c r="V80" s="2014"/>
    </row>
    <row r="81" spans="1:26" ht="13.5" thickBot="1">
      <c r="A81" s="381" t="s">
        <v>1823</v>
      </c>
      <c r="B81" s="371" t="s">
        <v>431</v>
      </c>
      <c r="C81" s="372" t="e">
        <f ca="1">ROUND((C82+C83)/(1+'数据-取费表'!C42),0)</f>
        <v>#REF!</v>
      </c>
      <c r="D81" s="373"/>
      <c r="E81" s="374"/>
      <c r="F81" s="42"/>
      <c r="G81" s="42"/>
      <c r="H81" s="1003"/>
      <c r="I81" s="311"/>
      <c r="J81" s="2014"/>
      <c r="K81" s="3005">
        <f>K79+1</f>
        <v>7</v>
      </c>
      <c r="L81" s="3346" t="s">
        <v>2887</v>
      </c>
      <c r="M81" s="3347"/>
      <c r="N81" s="1302"/>
      <c r="O81" s="1303" t="e">
        <f ca="1">ROUND(O79*10000/'数据-汇总表'!E3,0)</f>
        <v>#VALUE!</v>
      </c>
      <c r="P81" s="1304"/>
      <c r="Q81" s="2014"/>
      <c r="R81" s="2014"/>
      <c r="S81" s="2014"/>
      <c r="T81" s="2014"/>
      <c r="U81" s="2014"/>
      <c r="V81" s="2014"/>
    </row>
    <row r="82" spans="1:26" ht="13.5" thickTop="1">
      <c r="A82" s="375" t="s">
        <v>1824</v>
      </c>
      <c r="B82" s="376" t="s">
        <v>432</v>
      </c>
      <c r="C82" s="377" t="e">
        <f ca="1">D63</f>
        <v>#REF!</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321" t="s">
        <v>2874</v>
      </c>
      <c r="L83" s="3017" t="s">
        <v>2875</v>
      </c>
      <c r="M83" s="3007" t="e">
        <f>IF(N69&gt;10000,N69*0.5%,IF(AND(N69&gt;1000,N69&lt;=10000),N69*1%,IF(AND(N69&gt;100,N69&lt;=1000),N69*3%,IF(AND(N69&gt;10,N69&lt;=100),N69*5%,N69*8%))))</f>
        <v>#VALUE!</v>
      </c>
      <c r="N83" s="53" t="e">
        <f>ROUND(M83,1)</f>
        <v>#VALUE!</v>
      </c>
      <c r="O83" s="3010"/>
      <c r="P83" s="2014"/>
      <c r="Q83" s="2014"/>
      <c r="R83" s="2014"/>
      <c r="S83" s="2014"/>
      <c r="T83" s="2014"/>
      <c r="U83" s="2014"/>
      <c r="V83" s="2014"/>
    </row>
    <row r="84" spans="1:26" ht="12.75">
      <c r="A84" s="381" t="s">
        <v>1826</v>
      </c>
      <c r="B84" s="382" t="s">
        <v>434</v>
      </c>
      <c r="C84" s="383">
        <v>2000</v>
      </c>
      <c r="D84" s="384" t="s">
        <v>19</v>
      </c>
      <c r="E84" s="3052" t="s">
        <v>2942</v>
      </c>
      <c r="F84" s="42"/>
      <c r="G84" s="42"/>
      <c r="H84" s="1003"/>
      <c r="I84" s="311"/>
      <c r="J84" s="2014"/>
      <c r="K84" s="3321"/>
      <c r="L84" s="3017" t="s">
        <v>2876</v>
      </c>
      <c r="M84" s="300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4" t="s">
        <v>2877</v>
      </c>
      <c r="P84" s="2014"/>
      <c r="Q84" s="2014"/>
      <c r="R84" s="2014"/>
      <c r="S84" s="2014"/>
      <c r="T84" s="2014"/>
      <c r="U84" s="2014"/>
      <c r="V84" s="2014"/>
    </row>
    <row r="85" spans="1:26" ht="12.75">
      <c r="A85" s="381" t="s">
        <v>1827</v>
      </c>
      <c r="B85" s="382" t="s">
        <v>435</v>
      </c>
      <c r="C85" s="385" t="e">
        <f ca="1">C81-C84</f>
        <v>#REF!</v>
      </c>
      <c r="D85" s="378" t="s">
        <v>19</v>
      </c>
      <c r="E85" s="379"/>
      <c r="F85" s="42"/>
      <c r="G85" s="42"/>
      <c r="H85" s="1003"/>
      <c r="I85" s="311"/>
      <c r="J85" s="2014"/>
      <c r="K85" s="3321"/>
      <c r="L85" s="3017" t="s">
        <v>2878</v>
      </c>
      <c r="M85" s="3007" t="e">
        <f>IF(N69&gt;1000,N69*0.1%,IF(AND(N69&gt;500,N69&lt;=1000),N69*0.5%,IF(AND(N69&gt;50,N69&lt;=500),N69*1%,IF(AND(N69&gt;1,N69&lt;=50),N69*1.5%))))</f>
        <v>#VALUE!</v>
      </c>
      <c r="N85" s="53" t="e">
        <f t="shared" si="2"/>
        <v>#VALUE!</v>
      </c>
      <c r="O85" s="2014" t="s">
        <v>2877</v>
      </c>
      <c r="P85" s="2014"/>
      <c r="Q85" s="2014"/>
      <c r="R85" s="2014"/>
      <c r="S85" s="2014"/>
      <c r="T85" s="2014"/>
      <c r="U85" s="2014"/>
      <c r="V85" s="2014"/>
    </row>
    <row r="86" spans="1:26" ht="13.5" thickBot="1">
      <c r="A86" s="386" t="s">
        <v>1828</v>
      </c>
      <c r="B86" s="387" t="s">
        <v>436</v>
      </c>
      <c r="C86" s="388" t="e">
        <f ca="1">IF(C85&lt;=0,0,ROUND(C85*D86,0))</f>
        <v>#REF!</v>
      </c>
      <c r="D86" s="389">
        <f>'数据-取费表'!B41</f>
        <v>0</v>
      </c>
      <c r="E86" s="390"/>
      <c r="F86" s="42"/>
      <c r="G86" s="42"/>
      <c r="H86" s="1003"/>
      <c r="I86" s="311"/>
      <c r="J86" s="2014"/>
      <c r="K86" s="3321"/>
      <c r="L86" s="3017" t="s">
        <v>2879</v>
      </c>
      <c r="M86" s="3007" t="e">
        <f>N69*0.5%</f>
        <v>#VALUE!</v>
      </c>
      <c r="N86" s="53" t="e">
        <f>IF(M86&gt;0.5,0.5,ROUND(M86,0))</f>
        <v>#VALUE!</v>
      </c>
      <c r="O86" s="2014" t="s">
        <v>2880</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21"/>
      <c r="L87" s="3017" t="s">
        <v>2881</v>
      </c>
      <c r="M87" s="300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10"/>
      <c r="P87" s="311"/>
      <c r="Q87" s="2014"/>
      <c r="R87" s="2014"/>
      <c r="S87" s="2014"/>
      <c r="T87" s="2014"/>
      <c r="U87" s="2014"/>
      <c r="V87" s="2014"/>
      <c r="W87" s="292"/>
      <c r="X87" s="292"/>
      <c r="Y87" s="292"/>
      <c r="Z87" s="292"/>
    </row>
    <row r="88" spans="1:26" s="1310" customFormat="1" ht="15" thickBot="1">
      <c r="A88" s="3375" t="s">
        <v>437</v>
      </c>
      <c r="B88" s="3376"/>
      <c r="C88" s="3376"/>
      <c r="D88" s="3376"/>
      <c r="E88" s="3376"/>
      <c r="F88" s="3376"/>
      <c r="G88" s="3376"/>
      <c r="H88" s="3376"/>
      <c r="I88" s="1311"/>
      <c r="J88" s="2022"/>
      <c r="K88" s="3321"/>
      <c r="L88" s="3017" t="s">
        <v>2882</v>
      </c>
      <c r="M88" s="3007" t="e">
        <f>IF(N69&gt;10000,N69*0.5%,IF(AND(N69&gt;5000,N69&lt;=10000),N69*1%,IF(AND(N69&gt;1000,N69&lt;=5000),N69*2%,IF(AND(N69&gt;200,N69&lt;=1000),N69*3%,N69*5%))))</f>
        <v>#VALUE!</v>
      </c>
      <c r="N88" s="53" t="e">
        <f>ROUND(M88,1)</f>
        <v>#VALUE!</v>
      </c>
      <c r="O88" s="3010"/>
      <c r="P88" s="11"/>
      <c r="Q88" s="2019"/>
      <c r="R88" s="2019"/>
      <c r="S88" s="2019"/>
      <c r="T88" s="2019"/>
      <c r="U88" s="2019"/>
      <c r="V88" s="2019"/>
      <c r="W88" s="2023"/>
      <c r="X88" s="2023"/>
      <c r="Y88" s="2023"/>
      <c r="Z88" s="2023"/>
    </row>
    <row r="89" spans="1:26" s="1310" customFormat="1" ht="14.25">
      <c r="A89" s="3339" t="s">
        <v>428</v>
      </c>
      <c r="B89" s="3340"/>
      <c r="C89" s="994"/>
      <c r="D89" s="994" t="s">
        <v>429</v>
      </c>
      <c r="E89" s="391" t="s">
        <v>438</v>
      </c>
      <c r="F89" s="392"/>
      <c r="G89" s="392"/>
      <c r="H89" s="393"/>
      <c r="I89" s="1312"/>
      <c r="J89" s="2024"/>
      <c r="K89" s="3321"/>
      <c r="L89" s="3017" t="s">
        <v>27</v>
      </c>
      <c r="M89" s="3008"/>
      <c r="N89" s="53" t="e">
        <f>ROUND(SUM(N83:N88),0)</f>
        <v>#VALUE!</v>
      </c>
      <c r="O89" s="3018" t="e">
        <f>N89/N69</f>
        <v>#VALUE!</v>
      </c>
      <c r="P89" s="2019"/>
      <c r="Q89" s="2019"/>
      <c r="R89" s="2019"/>
      <c r="S89" s="2019"/>
      <c r="T89" s="2019"/>
      <c r="U89" s="2019"/>
      <c r="V89" s="2019"/>
      <c r="W89" s="2023"/>
      <c r="X89" s="2023"/>
      <c r="Y89" s="2023"/>
      <c r="Z89" s="2023"/>
    </row>
    <row r="90" spans="1:26" s="1310" customFormat="1" ht="14.25">
      <c r="A90" s="381" t="s">
        <v>1823</v>
      </c>
      <c r="B90" s="382" t="s">
        <v>439</v>
      </c>
      <c r="C90" s="385" t="e">
        <f ca="1">ROUND(D63/(1+'数据-取费表'!C42),0)</f>
        <v>#REF!</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t="e">
        <f ca="1">C92+C96</f>
        <v>#REF!</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2500</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72" t="s">
        <v>447</v>
      </c>
      <c r="F94" s="3373"/>
      <c r="G94" s="3373"/>
      <c r="H94" s="3374"/>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0</v>
      </c>
      <c r="D95" s="402">
        <f>'数据-取费表'!B48+'数据-取费表'!B49</f>
        <v>0</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t="e">
        <f ca="1">ROUND(D63*D96/(1+'数据-取费表'!C42),0)</f>
        <v>#REF!</v>
      </c>
      <c r="D96" s="406">
        <f>'数据-取费表'!B43</f>
        <v>0</v>
      </c>
      <c r="E96" s="3362" t="s">
        <v>2428</v>
      </c>
      <c r="F96" s="3363"/>
      <c r="G96" s="3363"/>
      <c r="H96" s="3364"/>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t="e">
        <f ca="1">C90-C91</f>
        <v>#REF!</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t="e">
        <f ca="1">IF(C97&lt;=0,0,C97/C91)</f>
        <v>#REF!</v>
      </c>
      <c r="D98" s="378" t="s">
        <v>19</v>
      </c>
      <c r="E98" s="26" t="e">
        <f ca="1">IF(C98&gt;=200%,"增值额超过扣除项目金额200%",IF(C98&gt;=100%,"增值额超过扣除项目金额100%，未超过200%",IF(C98&gt;=50%,"增值额超过扣除项目金额50%，未超过100%",IF(C98&lt;50%,"增值额未超过扣除项目金额50%"))))</f>
        <v>#REF!</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t="e">
        <f ca="1">ROUND(IF(C97&lt;=0,0,IF(C98&gt;=200%,C97*60%-C91*35%,IF(C98&gt;=100%,C97*50%-C91*15%,IF(C98&gt;=50%,C97*40%-C91*5%,IF(C98&lt;50%,C97*30%,0))))),0)</f>
        <v>#REF!</v>
      </c>
      <c r="D99" s="409" t="s">
        <v>19</v>
      </c>
      <c r="E99" s="41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75" t="s">
        <v>454</v>
      </c>
      <c r="B101" s="3376"/>
      <c r="C101" s="3376"/>
      <c r="D101" s="3376"/>
      <c r="E101" s="3376"/>
      <c r="F101" s="3376"/>
      <c r="G101" s="3376"/>
      <c r="H101" s="3376"/>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39" t="s">
        <v>428</v>
      </c>
      <c r="B102" s="3340"/>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t="e">
        <f ca="1">ROUND(D63/(1+'数据-取费表'!C42),0)</f>
        <v>#REF!</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t="e">
        <f ca="1">IF(H106="仅含出让金",C105+C108+C109+C110+C111+C112,C105+C109+C110+C111+C112)</f>
        <v>#REF!</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555</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0</v>
      </c>
      <c r="D107" s="406">
        <f>'数据-取费表'!B48+'数据-取费表'!B49</f>
        <v>0</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65" t="s">
        <v>462</v>
      </c>
      <c r="F109" s="3363"/>
      <c r="G109" s="3363"/>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61</v>
      </c>
      <c r="D110" s="406">
        <v>0.1</v>
      </c>
      <c r="E110" s="3365" t="s">
        <v>464</v>
      </c>
      <c r="F110" s="3363"/>
      <c r="G110" s="3363"/>
      <c r="H110" s="3364"/>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t="e">
        <f ca="1">ROUND(D63*D111/(1+'数据-取费表'!C42),0)</f>
        <v>#REF!</v>
      </c>
      <c r="D111" s="406">
        <f>'数据-取费表'!B43</f>
        <v>0</v>
      </c>
      <c r="E111" s="3362" t="s">
        <v>2428</v>
      </c>
      <c r="F111" s="3363"/>
      <c r="G111" s="3363"/>
      <c r="H111" s="3364"/>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65" t="s">
        <v>2453</v>
      </c>
      <c r="F112" s="3363"/>
      <c r="G112" s="3363"/>
      <c r="H112" s="3364"/>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t="e">
        <f ca="1">ROUND(C103-C104,0)</f>
        <v>#REF!</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t="e">
        <f ca="1">IF(C113&lt;=0,0,C113/C104)</f>
        <v>#REF!</v>
      </c>
      <c r="D114" s="378" t="s">
        <v>19</v>
      </c>
      <c r="E114" s="26" t="e">
        <f ca="1">IF(C114&gt;=200%,"增值额超过扣除项目金额200%",IF(C114&gt;=100%,"增值额超过扣除项目金额100%，未超过200%",IF(C114&gt;=50%,"增值额超过扣除项目金额50%，未超过100%",IF(C114&lt;50%,"增值额未超过扣除项目金额50%"))))</f>
        <v>#REF!</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t="e">
        <f ca="1">ROUND(IF(C113&lt;=0,0,IF(C114&gt;=200%,C113*60%-C104*35%,IF(C114&gt;=100%,C113*50%-C104*15%,IF(C114&gt;=50%,C113*40%-C104*5%,IF(C114&lt;50%,C113*30%,0))))),0)</f>
        <v>#REF!</v>
      </c>
      <c r="D115" s="409" t="s">
        <v>19</v>
      </c>
      <c r="E115" s="41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F25" sqref="F25"/>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7</v>
      </c>
    </row>
    <row r="2" spans="1:31" s="2027" customFormat="1" ht="18" customHeight="1">
      <c r="A2" s="2087" t="s">
        <v>467</v>
      </c>
      <c r="B2" s="2091" t="e">
        <f ca="1">C36</f>
        <v>#VALUE!</v>
      </c>
      <c r="C2" s="2090"/>
      <c r="D2" s="2090"/>
      <c r="E2" s="2090"/>
      <c r="F2" s="2090"/>
      <c r="G2" s="2090"/>
      <c r="H2" s="2090"/>
      <c r="I2" s="2090"/>
      <c r="J2" s="2090"/>
      <c r="K2" s="2090"/>
    </row>
    <row r="3" spans="1:31" s="2027" customFormat="1" ht="18" customHeight="1">
      <c r="A3" s="2092" t="s">
        <v>1684</v>
      </c>
      <c r="B3" s="2093" t="e">
        <f ca="1">ROUND(B2*10000/IF(B1="",'数据-汇总表'!E3,INDIRECT("'数据-取费表'!K"&amp;$K$1)),0)</f>
        <v>#VALUE!</v>
      </c>
      <c r="C3" s="2090"/>
      <c r="D3" s="2090"/>
      <c r="E3" s="2090"/>
      <c r="F3" s="2090"/>
      <c r="G3" s="2090"/>
      <c r="H3" s="2090"/>
      <c r="I3" s="2090"/>
      <c r="J3" s="2090"/>
      <c r="K3" s="2090"/>
    </row>
    <row r="4" spans="1:31" s="2027" customFormat="1" ht="18" customHeight="1">
      <c r="A4" s="426" t="s">
        <v>468</v>
      </c>
      <c r="B4" s="427" t="e">
        <f ca="1">ROUND(B2*10000/IF(B1="",'数据-汇总表'!D3,INDIRECT("'数据-取费表'!R"&amp;$K$1)),0)</f>
        <v>#VALUE!</v>
      </c>
      <c r="C4" s="428"/>
      <c r="D4" s="422"/>
      <c r="E4" s="422"/>
      <c r="F4" s="422"/>
      <c r="G4" s="422"/>
      <c r="H4" s="422"/>
      <c r="I4" s="422"/>
      <c r="J4" s="422"/>
      <c r="K4" s="422"/>
    </row>
    <row r="5" spans="1:31" s="2027" customFormat="1" ht="18" customHeight="1" thickBot="1">
      <c r="A5" s="429"/>
      <c r="B5" s="430" t="e">
        <f ca="1">ROUND(B2/(IF(B1="",'数据-汇总表'!D3,INDIRECT("'数据-取费表'!R"&amp;$K$1))/666.67),0)</f>
        <v>#VALUE!</v>
      </c>
      <c r="C5" s="431" t="s">
        <v>469</v>
      </c>
      <c r="D5" s="422"/>
      <c r="E5" s="422"/>
      <c r="F5" s="422"/>
      <c r="G5" s="422"/>
      <c r="H5" s="422"/>
      <c r="I5" s="422"/>
      <c r="J5" s="422"/>
      <c r="K5" s="422"/>
    </row>
    <row r="6" spans="1:31" s="2097" customFormat="1" ht="16.5" customHeight="1">
      <c r="A6" s="2784" t="s">
        <v>1842</v>
      </c>
      <c r="B6" s="2785"/>
      <c r="C6" s="2786">
        <f>SUM(C10:K10)</f>
        <v>0</v>
      </c>
      <c r="D6" s="2785"/>
      <c r="E6" s="2785"/>
      <c r="F6" s="2785"/>
      <c r="G6" s="2785"/>
      <c r="H6" s="2785"/>
      <c r="I6" s="2785"/>
      <c r="J6" s="2785"/>
      <c r="K6" s="2787"/>
    </row>
    <row r="7" spans="1:31" s="2099" customFormat="1" ht="15">
      <c r="A7" s="2788" t="s">
        <v>470</v>
      </c>
      <c r="B7" s="2789"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1"/>
      <c r="D10" s="2981"/>
      <c r="E10" s="2981"/>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0</v>
      </c>
      <c r="D13" s="2800"/>
      <c r="E13" s="2801"/>
      <c r="F13" s="2802"/>
      <c r="G13" s="2768"/>
      <c r="H13" s="2769"/>
      <c r="I13" s="2769"/>
      <c r="J13" s="2769"/>
      <c r="K13" s="2770"/>
    </row>
    <row r="14" spans="1:31" s="2102" customFormat="1" ht="13.5" customHeight="1">
      <c r="A14" s="2798" t="s">
        <v>1849</v>
      </c>
      <c r="B14" s="2799" t="s">
        <v>480</v>
      </c>
      <c r="C14" s="53">
        <f ca="1">ROUND(C13*F14,0)</f>
        <v>0</v>
      </c>
      <c r="D14" s="2800"/>
      <c r="E14" s="2801"/>
      <c r="F14" s="2803">
        <f>'数据-取费表'!B33</f>
        <v>0</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0</v>
      </c>
      <c r="D15" s="2800"/>
      <c r="E15" s="2801"/>
      <c r="F15" s="2803">
        <f>'数据-取费表'!B34</f>
        <v>0</v>
      </c>
      <c r="G15" s="2768" t="s">
        <v>483</v>
      </c>
      <c r="H15" s="2769"/>
      <c r="I15" s="2769"/>
      <c r="J15" s="2769"/>
      <c r="K15" s="2770"/>
    </row>
    <row r="16" spans="1:31" s="2103" customFormat="1" ht="13.5" customHeight="1">
      <c r="A16" s="2798" t="s">
        <v>1851</v>
      </c>
      <c r="B16" s="2799" t="s">
        <v>484</v>
      </c>
      <c r="C16" s="53">
        <f ca="1">ROUND(D16*E16/10000,0)</f>
        <v>0</v>
      </c>
      <c r="D16" s="2800">
        <f ca="1">IF(B1="",'数据-汇总表'!E3,INDIRECT("'数据-取费表'!K"&amp;$K$1)+INDIRECT("'数据-取费表'!S"&amp;$K$1))</f>
        <v>10288.000000000002</v>
      </c>
      <c r="E16" s="53">
        <f>'数据-取费表'!B35</f>
        <v>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0</v>
      </c>
      <c r="D17" s="475"/>
      <c r="E17" s="2804"/>
      <c r="F17" s="2805">
        <f>'数据-取费表'!B36</f>
        <v>0</v>
      </c>
      <c r="G17" s="261" t="s">
        <v>486</v>
      </c>
      <c r="H17" s="2771"/>
      <c r="I17" s="2771"/>
      <c r="J17" s="2771"/>
      <c r="K17" s="279"/>
    </row>
    <row r="18" spans="1:14" s="2102" customFormat="1" ht="13.5" customHeight="1">
      <c r="A18" s="2806" t="s">
        <v>1853</v>
      </c>
      <c r="B18" s="2807" t="s">
        <v>487</v>
      </c>
      <c r="C18" s="2808">
        <f ca="1">SUM(C13:C17)</f>
        <v>0</v>
      </c>
      <c r="D18" s="2809"/>
      <c r="E18" s="468"/>
      <c r="F18" s="468"/>
      <c r="G18" s="2772" t="s">
        <v>2430</v>
      </c>
      <c r="H18" s="2773"/>
      <c r="I18" s="2773"/>
      <c r="J18" s="2773"/>
      <c r="K18" s="2774"/>
    </row>
    <row r="19" spans="1:14" s="2102" customFormat="1" ht="13.5" customHeight="1">
      <c r="A19" s="2806" t="s">
        <v>1854</v>
      </c>
      <c r="B19" s="2807" t="s">
        <v>488</v>
      </c>
      <c r="C19" s="2764">
        <f ca="1">ROUND(D19*E19/10000,0)</f>
        <v>0</v>
      </c>
      <c r="D19" s="2810">
        <f ca="1">D16</f>
        <v>10288.000000000002</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0</v>
      </c>
      <c r="D20" s="2810"/>
      <c r="E20" s="2764"/>
      <c r="F20" s="2811"/>
      <c r="G20" s="3040"/>
      <c r="H20" s="2766"/>
      <c r="I20" s="2767" t="s">
        <v>2651</v>
      </c>
      <c r="J20" s="2773"/>
      <c r="K20" s="2774"/>
    </row>
    <row r="21" spans="1:14" s="2102" customFormat="1" ht="13.5" customHeight="1">
      <c r="A21" s="2798" t="s">
        <v>1856</v>
      </c>
      <c r="B21" s="2799" t="s">
        <v>491</v>
      </c>
      <c r="C21" s="53">
        <f ca="1">ROUND(D21*E21/10000,0)</f>
        <v>0</v>
      </c>
      <c r="D21" s="2800">
        <f ca="1">IF(B1="",'数据-汇总表'!E5,IF(INDIRECT("'数据-取费表'!c"&amp;$K$1)="住宅",INDIRECT("'数据-取费表'!k"&amp;$K$1),0))</f>
        <v>0</v>
      </c>
      <c r="E21" s="53">
        <f>'数据-取费表'!B27</f>
        <v>0</v>
      </c>
      <c r="F21" s="2803"/>
      <c r="G21" s="26"/>
      <c r="H21" s="51"/>
      <c r="I21" s="51"/>
      <c r="J21" s="51"/>
      <c r="K21" s="2775"/>
    </row>
    <row r="22" spans="1:14" s="2102" customFormat="1" ht="13.5" customHeight="1">
      <c r="A22" s="2798" t="s">
        <v>1857</v>
      </c>
      <c r="B22" s="2799" t="s">
        <v>492</v>
      </c>
      <c r="C22" s="53">
        <f ca="1">ROUND(D22*E22/10000,0)</f>
        <v>0</v>
      </c>
      <c r="D22" s="2800">
        <f ca="1">IF(B1="",'数据-汇总表'!E6,IF(INDIRECT("'数据-取费表'!c"&amp;$K$1)="住宅",INDIRECT("'数据-取费表'!s"&amp;$K$1),INDIRECT("'数据-取费表'!k"&amp;$K$1)+INDIRECT("'数据-取费表'!s"&amp;$K$1)))</f>
        <v>10288.000000000002</v>
      </c>
      <c r="E22" s="53">
        <f>'数据-取费表'!B28</f>
        <v>0</v>
      </c>
      <c r="F22" s="2803"/>
      <c r="G22" s="26"/>
      <c r="H22" s="51"/>
      <c r="I22" s="51"/>
      <c r="J22" s="51"/>
      <c r="K22" s="2775"/>
    </row>
    <row r="23" spans="1:14" s="2102" customFormat="1" ht="13.5" customHeight="1">
      <c r="A23" s="2806" t="s">
        <v>1858</v>
      </c>
      <c r="B23" s="2987" t="s">
        <v>2834</v>
      </c>
      <c r="C23" s="2808">
        <f ca="1">ROUND((C18+C19+C20)*F23,0)</f>
        <v>0</v>
      </c>
      <c r="D23" s="468"/>
      <c r="E23" s="468"/>
      <c r="F23" s="2812">
        <f>'数据-取费表'!B37</f>
        <v>0</v>
      </c>
      <c r="G23" s="2768" t="s">
        <v>2431</v>
      </c>
      <c r="H23" s="2769"/>
      <c r="I23" s="2769"/>
      <c r="J23" s="2769"/>
      <c r="K23" s="2770"/>
      <c r="L23" s="2104"/>
      <c r="M23" s="2104"/>
      <c r="N23" s="2104"/>
    </row>
    <row r="24" spans="1:14" s="2102" customFormat="1" ht="13.5" customHeight="1">
      <c r="A24" s="2806" t="s">
        <v>1859</v>
      </c>
      <c r="B24" s="2987" t="s">
        <v>2837</v>
      </c>
      <c r="C24" s="2808">
        <f>ROUND(C6*F24,0)</f>
        <v>0</v>
      </c>
      <c r="D24" s="475"/>
      <c r="E24" s="473"/>
      <c r="F24" s="2812">
        <f>'数据-取费表'!B38</f>
        <v>0</v>
      </c>
      <c r="G24" s="2777" t="s">
        <v>499</v>
      </c>
      <c r="H24" s="2771"/>
      <c r="I24" s="2771"/>
      <c r="J24" s="2771"/>
      <c r="K24" s="279"/>
      <c r="L24" s="2104"/>
      <c r="M24" s="2104"/>
      <c r="N24" s="2104"/>
    </row>
    <row r="25" spans="1:14" s="2105" customFormat="1" ht="13.5" customHeight="1">
      <c r="A25" s="2806" t="s">
        <v>1860</v>
      </c>
      <c r="B25" s="2987" t="s">
        <v>2835</v>
      </c>
      <c r="C25" s="467">
        <f>ROUND(F25/(1+'数据-取费表'!C42),4)</f>
        <v>0</v>
      </c>
      <c r="D25" s="462" t="s">
        <v>2829</v>
      </c>
      <c r="E25" s="469"/>
      <c r="F25" s="2812">
        <f>IF(项目基本情况!B8="出让",0,'数据-取费表'!B48+'数据-取费表'!B49)</f>
        <v>0</v>
      </c>
      <c r="G25" s="2776" t="s">
        <v>2289</v>
      </c>
      <c r="H25" s="2769"/>
      <c r="I25" s="2769"/>
      <c r="J25" s="2769"/>
      <c r="K25" s="2770"/>
    </row>
    <row r="26" spans="1:14" s="2104" customFormat="1" ht="13.5" customHeight="1">
      <c r="A26" s="2806" t="s">
        <v>1861</v>
      </c>
      <c r="B26" s="2988" t="s">
        <v>2836</v>
      </c>
      <c r="C26" s="2813" t="e">
        <f ca="1">C28</f>
        <v>#VALUE!</v>
      </c>
      <c r="D26" s="467" t="e">
        <f ca="1">C27</f>
        <v>#VALUE!</v>
      </c>
      <c r="E26" s="469" t="s">
        <v>495</v>
      </c>
      <c r="F26" s="471" t="e">
        <f ca="1">'数据-取费表'!B40</f>
        <v>#VALUE!</v>
      </c>
      <c r="G26" s="2537" t="str">
        <f>IF('数据-取费表'!B22&lt;=1,"单利计息。","复利计息。")&amp;"后续开发成本、管理费用及销售费用产生的利息。"</f>
        <v>单利计息。后续开发成本、管理费用及销售费用产生的利息。</v>
      </c>
      <c r="H26" s="2773"/>
      <c r="I26" s="2773"/>
      <c r="J26" s="2773"/>
      <c r="K26" s="2774"/>
    </row>
    <row r="27" spans="1:14" s="2106" customFormat="1" ht="13.5" customHeight="1">
      <c r="A27" s="803" t="s">
        <v>1856</v>
      </c>
      <c r="B27" s="2814" t="s">
        <v>496</v>
      </c>
      <c r="C27" s="2815" t="e">
        <f ca="1">ROUND(IF('数据-取费表'!B22&lt;=1,(1+C25)*F26*'数据-取费表'!B24,(1+C25)*(POWER((1+F26),'数据-取费表'!B24)-1)),4)</f>
        <v>#VALUE!</v>
      </c>
      <c r="D27" s="472"/>
      <c r="E27" s="473"/>
      <c r="F27" s="474"/>
      <c r="G27" s="2537" t="str">
        <f>IF('数据-取费表'!B22&lt;=1,"（1+取得税费率/(1+5%)）×年利率×建设期","（1+取得税费率）/(1+5%)×((1+年利率)^建设期-1)")</f>
        <v>（1+取得税费率/(1+5%)）×年利率×建设期</v>
      </c>
      <c r="H27" s="2771"/>
      <c r="I27" s="2771"/>
      <c r="J27" s="2771"/>
      <c r="K27" s="279"/>
    </row>
    <row r="28" spans="1:14" s="2106" customFormat="1" ht="13.5" customHeight="1">
      <c r="A28" s="803" t="s">
        <v>1857</v>
      </c>
      <c r="B28" s="2814" t="s">
        <v>2838</v>
      </c>
      <c r="C28" s="2816" t="e">
        <f ca="1">ROUND(IF('数据-取费表'!B22&lt;=1,(C18+C19+C20+C23+C24)*F26*'数据-取费表'!B24/2,(C18+C19+C20+C23+C24)*(POWER((1+F26),'数据-取费表'!B24/2)-1)),0)</f>
        <v>#VALUE!</v>
      </c>
      <c r="D28" s="472"/>
      <c r="E28" s="473"/>
      <c r="F28" s="474"/>
      <c r="G28" s="2537" t="str">
        <f>IF('数据-取费表'!B22&lt;=1,"（1）-（4）项×年利率×建设期÷2","（1）-（4）项×((1+年利率)^(建设期÷2)-1)")</f>
        <v>（1）-（4）项×年利率×建设期÷2</v>
      </c>
      <c r="H28" s="2771"/>
      <c r="I28" s="2771"/>
      <c r="J28" s="2771"/>
      <c r="K28" s="279"/>
    </row>
    <row r="29" spans="1:14" s="2106" customFormat="1" ht="13.5" customHeight="1">
      <c r="A29" s="2817" t="s">
        <v>1862</v>
      </c>
      <c r="B29" s="2807" t="s">
        <v>497</v>
      </c>
      <c r="C29" s="2808">
        <f>ROUND(C6*F29/(1+'数据-取费表'!C42),0)</f>
        <v>0</v>
      </c>
      <c r="D29" s="468"/>
      <c r="E29" s="468"/>
      <c r="F29" s="2989">
        <f>'数据-取费表'!B41</f>
        <v>0</v>
      </c>
      <c r="G29" s="2777" t="s">
        <v>498</v>
      </c>
      <c r="H29" s="2769"/>
      <c r="I29" s="2769"/>
      <c r="J29" s="2769"/>
      <c r="K29" s="2770"/>
    </row>
    <row r="30" spans="1:14" s="2107" customFormat="1" ht="13.5" customHeight="1">
      <c r="A30" s="1621" t="s">
        <v>1863</v>
      </c>
      <c r="B30" s="2818" t="s">
        <v>500</v>
      </c>
      <c r="C30" s="2813" t="e">
        <f ca="1">C31</f>
        <v>#VALUE!</v>
      </c>
      <c r="D30" s="477" t="e">
        <f ca="1">C32</f>
        <v>#VALUE!</v>
      </c>
      <c r="E30" s="469" t="s">
        <v>495</v>
      </c>
      <c r="F30" s="471"/>
      <c r="G30" s="2776" t="s">
        <v>2973</v>
      </c>
      <c r="H30" s="2769"/>
      <c r="I30" s="2769"/>
      <c r="J30" s="2769"/>
      <c r="K30" s="2770"/>
    </row>
    <row r="31" spans="1:14" s="2106" customFormat="1" ht="13.5" customHeight="1">
      <c r="A31" s="803" t="s">
        <v>1856</v>
      </c>
      <c r="B31" s="2814"/>
      <c r="C31" s="450" t="e">
        <f ca="1">C18+C19+C20+C23+C24+C26+C29</f>
        <v>#VALUE!</v>
      </c>
      <c r="D31" s="472"/>
      <c r="E31" s="473"/>
      <c r="F31" s="474"/>
      <c r="G31" s="261"/>
      <c r="H31" s="2771"/>
      <c r="I31" s="2771"/>
      <c r="J31" s="2771"/>
      <c r="K31" s="279"/>
    </row>
    <row r="32" spans="1:14" s="2106" customFormat="1" ht="13.5" customHeight="1">
      <c r="A32" s="803" t="s">
        <v>1857</v>
      </c>
      <c r="B32" s="2814"/>
      <c r="C32" s="53" t="e">
        <f ca="1">ROUND(C25+D26,4)</f>
        <v>#VALUE!</v>
      </c>
      <c r="D32" s="472"/>
      <c r="E32" s="473"/>
      <c r="F32" s="474"/>
      <c r="G32" s="261"/>
      <c r="H32" s="2771"/>
      <c r="I32" s="2771"/>
      <c r="J32" s="2771"/>
      <c r="K32" s="279"/>
    </row>
    <row r="33" spans="1:11" s="2108" customFormat="1" ht="13.5" customHeight="1">
      <c r="A33" s="2986" t="s">
        <v>2833</v>
      </c>
      <c r="B33" s="2984" t="s">
        <v>2831</v>
      </c>
      <c r="C33" s="478" t="e">
        <f ca="1">C35</f>
        <v>#DIV/0!</v>
      </c>
      <c r="D33" s="467" t="e">
        <f ca="1">C34</f>
        <v>#DIV/0!</v>
      </c>
      <c r="E33" s="469" t="s">
        <v>495</v>
      </c>
      <c r="F33" s="479" t="e">
        <f ca="1">IF(B1="",'数据-取费表'!Q16,INDIRECT("'数据-取费表'!q"&amp;$K$1))</f>
        <v>#DIV/0!</v>
      </c>
      <c r="G33" s="2772"/>
      <c r="H33" s="2773"/>
      <c r="I33" s="2773"/>
      <c r="J33" s="2773"/>
      <c r="K33" s="2774"/>
    </row>
    <row r="34" spans="1:11" s="2109" customFormat="1" ht="13.5" customHeight="1">
      <c r="A34" s="375" t="s">
        <v>1856</v>
      </c>
      <c r="B34" s="2819" t="s">
        <v>501</v>
      </c>
      <c r="C34" s="472" t="e">
        <f ca="1">ROUND((1+C25)*F33,4)</f>
        <v>#DIV/0!</v>
      </c>
      <c r="D34" s="472"/>
      <c r="E34" s="473"/>
      <c r="F34" s="480"/>
      <c r="G34" s="261" t="s">
        <v>2290</v>
      </c>
      <c r="H34" s="2771"/>
      <c r="I34" s="2771"/>
      <c r="J34" s="2771"/>
      <c r="K34" s="279"/>
    </row>
    <row r="35" spans="1:11" s="2109" customFormat="1" ht="13.5" customHeight="1" thickBot="1">
      <c r="A35" s="1622" t="s">
        <v>1857</v>
      </c>
      <c r="B35" s="2985" t="s">
        <v>2839</v>
      </c>
      <c r="C35" s="1614" t="e">
        <f ca="1">ROUND((C18+C19+C20+C23+C24)*F33,0)</f>
        <v>#DIV/0!</v>
      </c>
      <c r="D35" s="1615"/>
      <c r="E35" s="2820"/>
      <c r="F35" s="1616"/>
      <c r="G35" s="2778"/>
      <c r="H35" s="2779"/>
      <c r="I35" s="2779"/>
      <c r="J35" s="2779"/>
      <c r="K35" s="2780"/>
    </row>
    <row r="36" spans="1:11" s="2071" customFormat="1" ht="13.5" customHeight="1" thickBot="1">
      <c r="A36" s="284" t="s">
        <v>1844</v>
      </c>
      <c r="B36" s="2782"/>
      <c r="C36" s="2821" t="e">
        <f ca="1">ROUND((C6-C30-C33)/(1+D30+D33),0)</f>
        <v>#VALUE!</v>
      </c>
      <c r="D36" s="2782"/>
      <c r="E36" s="2782"/>
      <c r="F36" s="2782"/>
      <c r="G36" s="2781" t="s">
        <v>2840</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F25" sqref="F25"/>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7</v>
      </c>
    </row>
    <row r="2" spans="1:41" s="2027" customFormat="1" ht="18" customHeight="1">
      <c r="A2" s="423" t="s">
        <v>467</v>
      </c>
      <c r="B2" s="424" t="e">
        <f ca="1">C32</f>
        <v>#VALUE!</v>
      </c>
      <c r="C2" s="2090"/>
      <c r="D2" s="2090"/>
      <c r="E2" s="2090"/>
      <c r="F2" s="2090"/>
      <c r="G2" s="2090"/>
      <c r="H2" s="2090"/>
      <c r="I2" s="2090"/>
      <c r="J2" s="2090"/>
      <c r="K2" s="2090"/>
    </row>
    <row r="3" spans="1:41" s="2027" customFormat="1" ht="18" customHeight="1">
      <c r="A3" s="1376" t="s">
        <v>1684</v>
      </c>
      <c r="B3" s="425" t="e">
        <f ca="1">ROUND(B2*10000/IF(B1="",'数据-汇总表'!E3,INDIRECT("'数据-取费表'!K"&amp;$K$1)),0)</f>
        <v>#VALUE!</v>
      </c>
      <c r="C3" s="2090"/>
      <c r="D3" s="2090"/>
      <c r="E3" s="2090"/>
      <c r="F3" s="2090"/>
      <c r="G3" s="2090"/>
      <c r="H3" s="2090"/>
      <c r="I3" s="2090"/>
      <c r="J3" s="2090"/>
      <c r="K3" s="2090"/>
    </row>
    <row r="4" spans="1:41" s="2027" customFormat="1" ht="18" customHeight="1">
      <c r="A4" s="426" t="s">
        <v>468</v>
      </c>
      <c r="B4" s="427" t="e">
        <f ca="1">ROUND(B2*10000/IF(B1="",'数据-汇总表'!D3,INDIRECT("'数据-取费表'!R"&amp;$K$1)),0)</f>
        <v>#VALUE!</v>
      </c>
      <c r="C4" s="2047"/>
      <c r="D4" s="2090"/>
      <c r="E4" s="2090"/>
      <c r="F4" s="2090"/>
      <c r="G4" s="2090"/>
      <c r="H4" s="2090"/>
      <c r="I4" s="2090"/>
      <c r="J4" s="2090"/>
      <c r="K4" s="2090"/>
    </row>
    <row r="5" spans="1:41" s="2027" customFormat="1" ht="18" customHeight="1" thickBot="1">
      <c r="A5" s="429"/>
      <c r="B5" s="430" t="e">
        <f ca="1">ROUND(B2/(IF(B1="",'数据-汇总表'!D3,INDIRECT("'数据-取费表'!R"&amp;$K$1))/666.67),0)</f>
        <v>#VALUE!</v>
      </c>
      <c r="C5" s="431" t="s">
        <v>469</v>
      </c>
      <c r="D5" s="2090"/>
      <c r="E5" s="2090"/>
      <c r="F5" s="2090"/>
      <c r="G5" s="2090"/>
      <c r="H5" s="2090"/>
      <c r="I5" s="2090"/>
      <c r="J5" s="2090"/>
      <c r="K5" s="2090"/>
    </row>
    <row r="6" spans="1:41" s="2097" customFormat="1" ht="16.5" customHeight="1">
      <c r="A6" s="432" t="s">
        <v>2652</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0</v>
      </c>
      <c r="D13" s="451"/>
      <c r="E13" s="365"/>
      <c r="F13" s="452"/>
      <c r="G13" s="444"/>
      <c r="H13" s="447"/>
      <c r="I13" s="447"/>
      <c r="J13" s="447"/>
      <c r="K13" s="448"/>
    </row>
    <row r="14" spans="1:41" s="2102" customFormat="1" ht="13.5" customHeight="1">
      <c r="A14" s="1619" t="s">
        <v>1849</v>
      </c>
      <c r="B14" s="449" t="s">
        <v>480</v>
      </c>
      <c r="C14" s="53">
        <f ca="1">ROUND(C13*F14,0)</f>
        <v>0</v>
      </c>
      <c r="D14" s="451"/>
      <c r="E14" s="365"/>
      <c r="F14" s="453">
        <f>'数据-取费表'!B33</f>
        <v>0</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3" customFormat="1" ht="13.5" customHeight="1">
      <c r="A16" s="1619" t="s">
        <v>1851</v>
      </c>
      <c r="B16" s="449" t="s">
        <v>484</v>
      </c>
      <c r="C16" s="53">
        <f ca="1">ROUND(D16*E16/10000,0)</f>
        <v>0</v>
      </c>
      <c r="D16" s="451">
        <f ca="1">IF(B1="",'数据-汇总表'!E3,INDIRECT("'数据-取费表'!K"&amp;$K$1)+INDIRECT("'数据-取费表'!S"&amp;$K$1))</f>
        <v>10288.000000000002</v>
      </c>
      <c r="E16" s="53">
        <f>'数据-取费表'!B35</f>
        <v>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0</v>
      </c>
      <c r="D17" s="455"/>
      <c r="E17" s="454"/>
      <c r="F17" s="456">
        <f>'数据-取费表'!B36</f>
        <v>0</v>
      </c>
      <c r="G17" s="444" t="s">
        <v>502</v>
      </c>
      <c r="H17" s="457"/>
      <c r="I17" s="457"/>
      <c r="J17" s="457"/>
      <c r="K17" s="458"/>
    </row>
    <row r="18" spans="1:14" s="2105" customFormat="1" ht="13.5" customHeight="1">
      <c r="A18" s="1620" t="s">
        <v>1853</v>
      </c>
      <c r="B18" s="459" t="s">
        <v>487</v>
      </c>
      <c r="C18" s="460">
        <f ca="1">SUM(C13:C17)</f>
        <v>0</v>
      </c>
      <c r="D18" s="461"/>
      <c r="E18" s="462"/>
      <c r="F18" s="462"/>
      <c r="G18" s="1323" t="s">
        <v>2432</v>
      </c>
      <c r="H18" s="447"/>
      <c r="I18" s="447"/>
      <c r="J18" s="447"/>
      <c r="K18" s="448"/>
    </row>
    <row r="19" spans="1:14" s="2105" customFormat="1" ht="13.5" customHeight="1">
      <c r="A19" s="1620" t="s">
        <v>1854</v>
      </c>
      <c r="B19" s="459" t="s">
        <v>493</v>
      </c>
      <c r="C19" s="460">
        <f ca="1">ROUND(C18*F19,0)</f>
        <v>0</v>
      </c>
      <c r="D19" s="462"/>
      <c r="E19" s="462"/>
      <c r="F19" s="466">
        <f>'数据-取费表'!B37</f>
        <v>0</v>
      </c>
      <c r="G19" s="444" t="s">
        <v>503</v>
      </c>
      <c r="H19" s="447"/>
      <c r="I19" s="447"/>
      <c r="J19" s="447"/>
      <c r="K19" s="448"/>
      <c r="L19" s="2107"/>
      <c r="M19" s="2107"/>
      <c r="N19" s="2107"/>
    </row>
    <row r="20" spans="1:14" s="2105" customFormat="1" ht="13.5" customHeight="1">
      <c r="A20" s="1620" t="s">
        <v>1855</v>
      </c>
      <c r="B20" s="459" t="s">
        <v>504</v>
      </c>
      <c r="C20" s="2982">
        <f>F20</f>
        <v>0</v>
      </c>
      <c r="D20" s="469" t="s">
        <v>505</v>
      </c>
      <c r="E20" s="469"/>
      <c r="F20" s="486">
        <f>'数据-取费表'!B38</f>
        <v>0</v>
      </c>
      <c r="G20" s="1323" t="s">
        <v>506</v>
      </c>
      <c r="H20" s="447"/>
      <c r="I20" s="447"/>
      <c r="J20" s="447"/>
      <c r="K20" s="448"/>
      <c r="L20" s="2107"/>
      <c r="M20" s="2107"/>
      <c r="N20" s="2107"/>
    </row>
    <row r="21" spans="1:14" s="2107" customFormat="1" ht="13.5" customHeight="1">
      <c r="A21" s="1620" t="s">
        <v>1858</v>
      </c>
      <c r="B21" s="461" t="s">
        <v>494</v>
      </c>
      <c r="C21" s="470" t="e">
        <f ca="1">C22</f>
        <v>#VALUE!</v>
      </c>
      <c r="D21" s="467" t="e">
        <f ca="1">C23</f>
        <v>#VALUE!</v>
      </c>
      <c r="E21" s="469" t="s">
        <v>507</v>
      </c>
      <c r="F21" s="471" t="e">
        <f ca="1">'数据-取费表'!B40</f>
        <v>#VALUE!</v>
      </c>
      <c r="G21" s="1323" t="str">
        <f>IF('数据-取费表'!B22&lt;=1,"单利计息。","复利计息。")&amp;"建造成本、管理费用及销售费用产生的利息。"</f>
        <v>单利计息。建造成本、管理费用及销售费用产生的利息。</v>
      </c>
      <c r="H21" s="447"/>
      <c r="I21" s="447"/>
      <c r="J21" s="447"/>
      <c r="K21" s="448"/>
      <c r="L21" s="2104" t="s">
        <v>2454</v>
      </c>
    </row>
    <row r="22" spans="1:14" s="2106" customFormat="1" ht="13.5" customHeight="1">
      <c r="A22" s="1619" t="s">
        <v>1848</v>
      </c>
      <c r="B22" s="1324" t="s">
        <v>2435</v>
      </c>
      <c r="C22" s="487" t="e">
        <f ca="1">ROUND(IF('数据-取费表'!B22&lt;=1,(C18+C19)*F21*'数据-取费表'!B20/2,(C18+C19)*(POWER((1+F21),'数据-取费表'!B20/2)-1)),0)</f>
        <v>#VALUE!</v>
      </c>
      <c r="D22" s="472"/>
      <c r="E22" s="473"/>
      <c r="F22" s="474"/>
      <c r="G22" s="2532" t="str">
        <f>IF('数据-取费表'!B22&lt;=1,"((1)+(2))×年利率×建设期÷2","((1)+(2))×((1+年利率)^(建设期÷2)-1)")</f>
        <v>((1)+(2))×年利率×建设期÷2</v>
      </c>
      <c r="H22" s="457"/>
      <c r="I22" s="457"/>
      <c r="J22" s="457"/>
      <c r="K22" s="458"/>
    </row>
    <row r="23" spans="1:14" s="2106" customFormat="1" ht="13.5" customHeight="1">
      <c r="A23" s="1619" t="s">
        <v>1849</v>
      </c>
      <c r="B23" s="1324" t="s">
        <v>508</v>
      </c>
      <c r="C23" s="488" t="e">
        <f ca="1">ROUND(IF('数据-取费表'!B22&lt;=1,F20*F21*'数据-取费表'!B20/2,F20*(POWER((1+F21),'数据-取费表'!B20/2)-1)),4)</f>
        <v>#VALUE!</v>
      </c>
      <c r="D23" s="472"/>
      <c r="E23" s="473"/>
      <c r="F23" s="474"/>
      <c r="G23" s="2532" t="str">
        <f>IF('数据-取费表'!B22&lt;=1,"销售费用率×年利率×建设期÷2","销售费用率×((1+年利率)^(建设期÷2)-1)")</f>
        <v>销售费用率×年利率×建设期÷2</v>
      </c>
      <c r="H23" s="457"/>
      <c r="I23" s="457"/>
      <c r="J23" s="457"/>
      <c r="K23" s="458"/>
    </row>
    <row r="24" spans="1:14" s="2106" customFormat="1" ht="13.5" customHeight="1">
      <c r="A24" s="1620" t="s">
        <v>1859</v>
      </c>
      <c r="B24" s="2984" t="s">
        <v>2832</v>
      </c>
      <c r="C24" s="478" t="e">
        <f ca="1">C25</f>
        <v>#DIV/0!</v>
      </c>
      <c r="D24" s="489" t="e">
        <f ca="1">C26</f>
        <v>#DIV/0!</v>
      </c>
      <c r="E24" s="469" t="s">
        <v>507</v>
      </c>
      <c r="F24" s="479" t="e">
        <f ca="1">IF(B1="",'数据-取费表'!Q16,INDIRECT("'数据-取费表'!q"&amp;$K$1))</f>
        <v>#DIV/0!</v>
      </c>
      <c r="G24" s="444"/>
      <c r="H24" s="447"/>
      <c r="I24" s="447"/>
      <c r="J24" s="447"/>
      <c r="K24" s="448"/>
    </row>
    <row r="25" spans="1:14" s="2106" customFormat="1" ht="13.5" customHeight="1">
      <c r="A25" s="1619" t="s">
        <v>1848</v>
      </c>
      <c r="B25" s="1324" t="s">
        <v>2436</v>
      </c>
      <c r="C25" s="490" t="e">
        <f ca="1">ROUND((C18+C19)*F24,0)</f>
        <v>#DIV/0!</v>
      </c>
      <c r="D25" s="472"/>
      <c r="E25" s="473"/>
      <c r="F25" s="480"/>
      <c r="G25" s="1322" t="s">
        <v>2433</v>
      </c>
      <c r="H25" s="457"/>
      <c r="I25" s="457"/>
      <c r="J25" s="457"/>
      <c r="K25" s="458"/>
    </row>
    <row r="26" spans="1:14" s="2106" customFormat="1" ht="13.5" customHeight="1">
      <c r="A26" s="1619" t="s">
        <v>1849</v>
      </c>
      <c r="B26" s="1324" t="s">
        <v>509</v>
      </c>
      <c r="C26" s="491" t="e">
        <f ca="1">ROUND(F20*F24,4)</f>
        <v>#DIV/0!</v>
      </c>
      <c r="D26" s="472"/>
      <c r="E26" s="481"/>
      <c r="F26" s="480"/>
      <c r="G26" s="1322" t="s">
        <v>510</v>
      </c>
      <c r="H26" s="457"/>
      <c r="I26" s="457"/>
      <c r="J26" s="457"/>
      <c r="K26" s="458"/>
    </row>
    <row r="27" spans="1:14" s="2106" customFormat="1" ht="13.5" customHeight="1">
      <c r="A27" s="1623" t="s">
        <v>1867</v>
      </c>
      <c r="B27" s="459" t="s">
        <v>511</v>
      </c>
      <c r="C27" s="2983">
        <f>ROUND(F27/(1+'数据-取费表'!C42),4)</f>
        <v>0</v>
      </c>
      <c r="D27" s="462" t="s">
        <v>2830</v>
      </c>
      <c r="E27" s="462"/>
      <c r="F27" s="466">
        <f>'数据-取费表'!B41</f>
        <v>0</v>
      </c>
      <c r="G27" s="1946" t="s">
        <v>2291</v>
      </c>
      <c r="H27" s="447"/>
      <c r="I27" s="447"/>
      <c r="J27" s="447"/>
      <c r="K27" s="448"/>
    </row>
    <row r="28" spans="1:14" s="2107" customFormat="1" ht="13.5" customHeight="1">
      <c r="A28" s="1623" t="s">
        <v>1868</v>
      </c>
      <c r="B28" s="476" t="s">
        <v>512</v>
      </c>
      <c r="C28" s="470" t="e">
        <f ca="1">ROUND((C18+C19+C21+C24)/(1-C20-D21-D24-C27),0)</f>
        <v>#VALUE!</v>
      </c>
      <c r="D28" s="477"/>
      <c r="E28" s="469"/>
      <c r="F28" s="471"/>
      <c r="G28" s="1323" t="s">
        <v>2434</v>
      </c>
      <c r="H28" s="447"/>
      <c r="I28" s="447"/>
      <c r="J28" s="447"/>
      <c r="K28" s="448"/>
    </row>
    <row r="29" spans="1:14" s="2107" customFormat="1" ht="13.5" customHeight="1">
      <c r="A29" s="1623" t="s">
        <v>1869</v>
      </c>
      <c r="B29" s="476" t="s">
        <v>513</v>
      </c>
      <c r="C29" s="492" t="e">
        <f ca="1">IF(B1="",'数据-取费表'!N16,INDIRECT("'数据-取费表'!N"&amp;$K$1))</f>
        <v>#DIV/0!</v>
      </c>
      <c r="D29" s="493"/>
      <c r="E29" s="494"/>
      <c r="F29" s="495"/>
      <c r="G29" s="444"/>
      <c r="H29" s="447"/>
      <c r="I29" s="447"/>
      <c r="J29" s="447"/>
      <c r="K29" s="448"/>
    </row>
    <row r="30" spans="1:14" s="2107" customFormat="1" ht="13.5" customHeight="1">
      <c r="A30" s="443">
        <v>2</v>
      </c>
      <c r="B30" s="476" t="s">
        <v>514</v>
      </c>
      <c r="C30" s="497" t="e">
        <f ca="1">ROUND(C28*C29,0)</f>
        <v>#VALUE!</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0</v>
      </c>
      <c r="G31" s="1328"/>
      <c r="H31" s="1328"/>
      <c r="I31" s="1328"/>
      <c r="J31" s="1329"/>
      <c r="K31" s="1330"/>
    </row>
    <row r="32" spans="1:14" s="2071" customFormat="1" ht="13.5" customHeight="1" thickBot="1">
      <c r="A32" s="482" t="s">
        <v>1866</v>
      </c>
      <c r="B32" s="483"/>
      <c r="C32" s="484" t="e">
        <f ca="1">IF('数据-取费表'!B20&lt;=1,(C6-C30-C31)/(1+F21*'数据-取费表'!B20+F24)/(1+'数据-取费表'!B48+'数据-取费表'!B49),(C6-C30-C31)/(1+(POWER((1+F21),'数据-取费表'!B20)-1)+F24)/(1+'数据-取费表'!B48+'数据-取费表'!B49))</f>
        <v>#VALUE!</v>
      </c>
      <c r="D32" s="483"/>
      <c r="E32" s="483"/>
      <c r="F32" s="483"/>
      <c r="G32" s="2448" t="s">
        <v>2974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33" t="str">
        <f>项目基本情况!B1</f>
        <v>出让国有建设用地使用权预评估</v>
      </c>
      <c r="C37" s="3233"/>
      <c r="D37" s="3233"/>
      <c r="E37" s="3233"/>
      <c r="F37" s="3233"/>
      <c r="G37" s="3233"/>
      <c r="H37" s="3233"/>
      <c r="I37" s="3233"/>
    </row>
    <row r="38" spans="1:9">
      <c r="A38" s="1642"/>
      <c r="B38" s="1642"/>
    </row>
    <row r="39" spans="1:9">
      <c r="A39" s="1640" t="s">
        <v>1901</v>
      </c>
      <c r="B39" s="1640" t="s">
        <v>2046</v>
      </c>
    </row>
    <row r="40" spans="1:9">
      <c r="A40" s="1640"/>
      <c r="B40" s="1640">
        <f>项目基本情况!B5</f>
        <v>0</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ht="12.75">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F25" sqref="F25"/>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t="e">
        <f>F68</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t="e">
        <f>ROUND(B2*10000/'数据-汇总表'!E3,0)</f>
        <v>#DIV/0!</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t="e">
        <f>IF(B48="单位面积地价",C50,ROUND(B2*10000/'数据-汇总表'!D3,0))</f>
        <v>#DIV/0!</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420" t="s">
        <v>522</v>
      </c>
      <c r="D6" s="3421"/>
      <c r="E6" s="3420" t="s">
        <v>523</v>
      </c>
      <c r="F6" s="3421"/>
      <c r="G6" s="3420" t="s">
        <v>524</v>
      </c>
      <c r="H6" s="3421"/>
      <c r="I6" s="3420" t="s">
        <v>525</v>
      </c>
      <c r="J6" s="3421"/>
      <c r="K6" s="514" t="s">
        <v>526</v>
      </c>
      <c r="L6" s="2119"/>
      <c r="M6" s="2118"/>
      <c r="N6" s="2118"/>
      <c r="O6" s="2120"/>
      <c r="P6" s="3422" t="s">
        <v>527</v>
      </c>
      <c r="Q6" s="3423"/>
      <c r="R6" s="3408" t="s">
        <v>523</v>
      </c>
      <c r="S6" s="3409"/>
      <c r="T6" s="3408" t="s">
        <v>524</v>
      </c>
      <c r="U6" s="3409"/>
      <c r="V6" s="3428" t="s">
        <v>525</v>
      </c>
      <c r="W6" s="3428"/>
      <c r="X6" s="1554"/>
      <c r="Y6" s="3408" t="s">
        <v>527</v>
      </c>
      <c r="Z6" s="3409"/>
      <c r="AA6" s="3403" t="s">
        <v>523</v>
      </c>
      <c r="AB6" s="3404" t="s">
        <v>524</v>
      </c>
      <c r="AC6" s="3403" t="s">
        <v>525</v>
      </c>
    </row>
    <row r="7" spans="1:30" ht="20.25">
      <c r="A7" s="515"/>
      <c r="B7" s="516"/>
      <c r="C7" s="3431" t="s">
        <v>2931</v>
      </c>
      <c r="D7" s="3432"/>
      <c r="E7" s="3431" t="s">
        <v>2932</v>
      </c>
      <c r="F7" s="3432"/>
      <c r="G7" s="3431" t="s">
        <v>2933</v>
      </c>
      <c r="H7" s="3432"/>
      <c r="I7" s="3431" t="s">
        <v>2934</v>
      </c>
      <c r="J7" s="3432"/>
      <c r="K7" s="514"/>
      <c r="L7" s="2119"/>
      <c r="M7" s="2118"/>
      <c r="N7" s="2118"/>
      <c r="O7" s="2120"/>
      <c r="P7" s="3424"/>
      <c r="Q7" s="3425"/>
      <c r="R7" s="3410"/>
      <c r="S7" s="3411"/>
      <c r="T7" s="3410"/>
      <c r="U7" s="3411"/>
      <c r="V7" s="3428"/>
      <c r="W7" s="3428"/>
      <c r="X7" s="1554"/>
      <c r="Y7" s="3410"/>
      <c r="Z7" s="3411"/>
      <c r="AA7" s="3404"/>
      <c r="AB7" s="3404"/>
      <c r="AC7" s="3404"/>
    </row>
    <row r="8" spans="1:30" ht="21" thickBot="1">
      <c r="A8" s="515"/>
      <c r="B8" s="516"/>
      <c r="C8" s="3433" t="s">
        <v>2935</v>
      </c>
      <c r="D8" s="3434"/>
      <c r="E8" s="3433" t="s">
        <v>2935</v>
      </c>
      <c r="F8" s="3434"/>
      <c r="G8" s="3429" t="s">
        <v>2935</v>
      </c>
      <c r="H8" s="3430"/>
      <c r="I8" s="3429" t="s">
        <v>2935</v>
      </c>
      <c r="J8" s="3430"/>
      <c r="K8" s="514" t="s">
        <v>528</v>
      </c>
      <c r="L8" s="2119"/>
      <c r="M8" s="2118"/>
      <c r="N8" s="2118"/>
      <c r="O8" s="2120"/>
      <c r="P8" s="3426"/>
      <c r="Q8" s="3427"/>
      <c r="R8" s="3410"/>
      <c r="S8" s="3411"/>
      <c r="T8" s="3412"/>
      <c r="U8" s="3413"/>
      <c r="V8" s="3428"/>
      <c r="W8" s="3428"/>
      <c r="X8" s="1554"/>
      <c r="Y8" s="3412"/>
      <c r="Z8" s="3413"/>
      <c r="AA8" s="3405"/>
      <c r="AB8" s="3405"/>
      <c r="AC8" s="3405"/>
    </row>
    <row r="9" spans="1:30" s="1216" customFormat="1" ht="21" thickBot="1">
      <c r="A9" s="2868"/>
      <c r="B9" s="2875" t="s">
        <v>529</v>
      </c>
      <c r="C9" s="2867">
        <f>'数据-取费表'!B2</f>
        <v>44435</v>
      </c>
      <c r="D9" s="520">
        <v>100</v>
      </c>
      <c r="E9" s="521"/>
      <c r="F9" s="522">
        <f>SUMIF(72:72,YEAR(E9)&amp;"-"&amp;INT((MONTH(E9)+2)/3),73:73)</f>
        <v>0</v>
      </c>
      <c r="G9" s="523"/>
      <c r="H9" s="520">
        <f>SUMIF(72:72,YEAR(G9)&amp;"-"&amp;INT((MONTH(G9)+2)/3),73:73)</f>
        <v>0</v>
      </c>
      <c r="I9" s="523"/>
      <c r="J9" s="520">
        <f>SUMIF(72:72,YEAR(I9)&amp;"-"&amp;INT((MONTH(I9)+2)/3),73:73)</f>
        <v>0</v>
      </c>
      <c r="K9" s="524"/>
      <c r="L9" s="2121"/>
      <c r="M9" s="2118"/>
      <c r="N9" s="2118"/>
      <c r="O9" s="2122"/>
      <c r="P9" s="3406" t="s">
        <v>530</v>
      </c>
      <c r="Q9" s="3415"/>
      <c r="R9" s="1555" t="s">
        <v>8</v>
      </c>
      <c r="S9" s="1556">
        <f t="shared" ref="S9:S17" si="0">F9</f>
        <v>0</v>
      </c>
      <c r="T9" s="1555" t="s">
        <v>8</v>
      </c>
      <c r="U9" s="1556">
        <f t="shared" ref="U9:U17" si="1">H9</f>
        <v>0</v>
      </c>
      <c r="V9" s="1555" t="s">
        <v>8</v>
      </c>
      <c r="W9" s="1556">
        <f t="shared" ref="W9:W17" si="2">J9</f>
        <v>0</v>
      </c>
      <c r="X9" s="1557"/>
      <c r="Y9" s="3406" t="s">
        <v>530</v>
      </c>
      <c r="Z9" s="3407"/>
      <c r="AA9" s="1558" t="e">
        <f>D9/F9</f>
        <v>#DIV/0!</v>
      </c>
      <c r="AB9" s="1558" t="e">
        <f>D9/H9</f>
        <v>#DIV/0!</v>
      </c>
      <c r="AC9" s="1558" t="e">
        <f>D9/J9</f>
        <v>#DIV/0!</v>
      </c>
    </row>
    <row r="10" spans="1:30" s="1216" customFormat="1" ht="21" thickBot="1">
      <c r="A10" s="2869"/>
      <c r="B10" s="2876"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21"/>
      <c r="M10" s="2118"/>
      <c r="N10" s="2118"/>
      <c r="O10" s="2122"/>
      <c r="P10" s="3406" t="s">
        <v>533</v>
      </c>
      <c r="Q10" s="3407"/>
      <c r="R10" s="1555" t="s">
        <v>8</v>
      </c>
      <c r="S10" s="1556">
        <f t="shared" si="0"/>
        <v>0</v>
      </c>
      <c r="T10" s="1555" t="s">
        <v>8</v>
      </c>
      <c r="U10" s="1556">
        <f t="shared" si="1"/>
        <v>0</v>
      </c>
      <c r="V10" s="1555" t="s">
        <v>8</v>
      </c>
      <c r="W10" s="1556">
        <f t="shared" si="2"/>
        <v>0</v>
      </c>
      <c r="X10" s="1557"/>
      <c r="Y10" s="3406" t="s">
        <v>533</v>
      </c>
      <c r="Z10" s="3407"/>
      <c r="AA10" s="1558" t="e">
        <f t="shared" ref="AA10:AA47" si="3">D10/F10</f>
        <v>#DIV/0!</v>
      </c>
      <c r="AB10" s="1558" t="e">
        <f t="shared" ref="AB10:AB47" si="4">D10/H10</f>
        <v>#DIV/0!</v>
      </c>
      <c r="AC10" s="1558" t="e">
        <f t="shared" ref="AC10:AC47" si="5">D10/J10</f>
        <v>#DIV/0!</v>
      </c>
    </row>
    <row r="11" spans="1:30" s="1216" customFormat="1" ht="20.25">
      <c r="A11" s="2870"/>
      <c r="B11" s="2877" t="s">
        <v>2756</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414" t="s">
        <v>535</v>
      </c>
      <c r="Q11" s="1147" t="str">
        <f t="shared" ref="Q11:Q17" si="6">B11</f>
        <v>用途</v>
      </c>
      <c r="R11" s="1555" t="s">
        <v>8</v>
      </c>
      <c r="S11" s="1556">
        <f t="shared" si="0"/>
        <v>100</v>
      </c>
      <c r="T11" s="1555" t="s">
        <v>8</v>
      </c>
      <c r="U11" s="1556">
        <f t="shared" si="1"/>
        <v>100</v>
      </c>
      <c r="V11" s="1555" t="s">
        <v>8</v>
      </c>
      <c r="W11" s="1556">
        <f t="shared" si="2"/>
        <v>100</v>
      </c>
      <c r="X11" s="1557"/>
      <c r="Y11" s="3371" t="s">
        <v>536</v>
      </c>
      <c r="Z11" s="1146" t="str">
        <f t="shared" ref="Z11:Z17" si="7">Q11</f>
        <v>用途</v>
      </c>
      <c r="AA11" s="1558">
        <f t="shared" si="3"/>
        <v>1</v>
      </c>
      <c r="AB11" s="1558">
        <f t="shared" si="4"/>
        <v>1</v>
      </c>
      <c r="AC11" s="1558">
        <f t="shared" si="5"/>
        <v>1</v>
      </c>
    </row>
    <row r="12" spans="1:30" s="1334" customFormat="1" ht="27">
      <c r="A12" s="2871"/>
      <c r="B12" s="2876" t="s">
        <v>2757</v>
      </c>
      <c r="C12" s="910"/>
      <c r="D12" s="255">
        <v>100</v>
      </c>
      <c r="E12" s="529"/>
      <c r="F12" s="255" t="e">
        <f>ROUND(100/'数据-取费表'!G16,0)</f>
        <v>#DIV/0!</v>
      </c>
      <c r="G12" s="530"/>
      <c r="H12" s="255" t="e">
        <f>ROUND(100/'数据-取费表'!G16,0)</f>
        <v>#DIV/0!</v>
      </c>
      <c r="I12" s="530"/>
      <c r="J12" s="255" t="e">
        <f>ROUND(100/'数据-取费表'!G16,0)</f>
        <v>#DIV/0!</v>
      </c>
      <c r="K12" s="531"/>
      <c r="L12" s="2124"/>
      <c r="M12" s="2118"/>
      <c r="N12" s="2118"/>
      <c r="O12" s="2125"/>
      <c r="P12" s="3414"/>
      <c r="Q12" s="1147" t="str">
        <f t="shared" si="6"/>
        <v>土地使用年限（年）</v>
      </c>
      <c r="R12" s="1555" t="s">
        <v>8</v>
      </c>
      <c r="S12" s="1556" t="e">
        <f t="shared" si="0"/>
        <v>#DIV/0!</v>
      </c>
      <c r="T12" s="1555" t="s">
        <v>8</v>
      </c>
      <c r="U12" s="1556" t="e">
        <f t="shared" si="1"/>
        <v>#DIV/0!</v>
      </c>
      <c r="V12" s="1555" t="s">
        <v>8</v>
      </c>
      <c r="W12" s="1556" t="e">
        <f t="shared" si="2"/>
        <v>#DIV/0!</v>
      </c>
      <c r="X12" s="1557"/>
      <c r="Y12" s="3371"/>
      <c r="Z12" s="1146" t="str">
        <f t="shared" si="7"/>
        <v>土地使用年限（年）</v>
      </c>
      <c r="AA12" s="1558" t="e">
        <f t="shared" si="3"/>
        <v>#DIV/0!</v>
      </c>
      <c r="AB12" s="1558" t="e">
        <f t="shared" si="4"/>
        <v>#DIV/0!</v>
      </c>
      <c r="AC12" s="1558" t="e">
        <f t="shared" si="5"/>
        <v>#DIV/0!</v>
      </c>
    </row>
    <row r="13" spans="1:30" ht="20.25">
      <c r="A13" s="2872"/>
      <c r="B13" s="2876" t="s">
        <v>2758</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26"/>
      <c r="M13" s="2118"/>
      <c r="N13" s="2118"/>
      <c r="O13" s="2127"/>
      <c r="P13" s="3414"/>
      <c r="Q13" s="1147" t="str">
        <f t="shared" si="6"/>
        <v>容积率</v>
      </c>
      <c r="R13" s="1555" t="s">
        <v>8</v>
      </c>
      <c r="S13" s="1556" t="e">
        <f t="shared" si="0"/>
        <v>#N/A</v>
      </c>
      <c r="T13" s="1555" t="s">
        <v>8</v>
      </c>
      <c r="U13" s="1556" t="e">
        <f t="shared" si="1"/>
        <v>#N/A</v>
      </c>
      <c r="V13" s="1555" t="s">
        <v>8</v>
      </c>
      <c r="W13" s="1556" t="e">
        <f t="shared" si="2"/>
        <v>#N/A</v>
      </c>
      <c r="X13" s="1557"/>
      <c r="Y13" s="3371"/>
      <c r="Z13" s="1146" t="str">
        <f t="shared" si="7"/>
        <v>容积率</v>
      </c>
      <c r="AA13" s="1558" t="e">
        <f t="shared" si="3"/>
        <v>#N/A</v>
      </c>
      <c r="AB13" s="1558" t="e">
        <f t="shared" si="4"/>
        <v>#N/A</v>
      </c>
      <c r="AC13" s="1558" t="e">
        <f t="shared" si="5"/>
        <v>#N/A</v>
      </c>
    </row>
    <row r="14" spans="1:30" s="1216" customFormat="1" ht="20.25">
      <c r="A14" s="2869"/>
      <c r="B14" s="2878" t="s">
        <v>2759</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414"/>
      <c r="Q14" s="1147" t="str">
        <f t="shared" si="6"/>
        <v>配建</v>
      </c>
      <c r="R14" s="1555" t="s">
        <v>8</v>
      </c>
      <c r="S14" s="1556">
        <f t="shared" si="0"/>
        <v>100</v>
      </c>
      <c r="T14" s="1555" t="s">
        <v>8</v>
      </c>
      <c r="U14" s="1556">
        <f t="shared" si="1"/>
        <v>100</v>
      </c>
      <c r="V14" s="1555" t="s">
        <v>8</v>
      </c>
      <c r="W14" s="1556">
        <f t="shared" si="2"/>
        <v>100</v>
      </c>
      <c r="X14" s="1557"/>
      <c r="Y14" s="3371"/>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414"/>
      <c r="Q15" s="1147">
        <f t="shared" si="6"/>
        <v>111</v>
      </c>
      <c r="R15" s="1555" t="s">
        <v>8</v>
      </c>
      <c r="S15" s="1556">
        <f t="shared" si="0"/>
        <v>100</v>
      </c>
      <c r="T15" s="1555" t="s">
        <v>8</v>
      </c>
      <c r="U15" s="1556">
        <f t="shared" si="1"/>
        <v>100</v>
      </c>
      <c r="V15" s="1555" t="s">
        <v>8</v>
      </c>
      <c r="W15" s="1556">
        <f t="shared" si="2"/>
        <v>100</v>
      </c>
      <c r="X15" s="1557"/>
      <c r="Y15" s="3371"/>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414"/>
      <c r="Q16" s="1147">
        <f t="shared" si="6"/>
        <v>111</v>
      </c>
      <c r="R16" s="1555" t="s">
        <v>8</v>
      </c>
      <c r="S16" s="1556">
        <f t="shared" si="0"/>
        <v>100</v>
      </c>
      <c r="T16" s="1555" t="s">
        <v>8</v>
      </c>
      <c r="U16" s="1556">
        <f t="shared" si="1"/>
        <v>100</v>
      </c>
      <c r="V16" s="1555" t="s">
        <v>8</v>
      </c>
      <c r="W16" s="1556">
        <f t="shared" si="2"/>
        <v>100</v>
      </c>
      <c r="X16" s="1557"/>
      <c r="Y16" s="3371"/>
      <c r="Z16" s="1146">
        <f t="shared" si="7"/>
        <v>111</v>
      </c>
      <c r="AA16" s="1558">
        <f>D16/F16</f>
        <v>1</v>
      </c>
      <c r="AB16" s="1558">
        <f>D16/H16</f>
        <v>1</v>
      </c>
      <c r="AC16" s="1558">
        <f>D16/J16</f>
        <v>1</v>
      </c>
    </row>
    <row r="17" spans="1:29" ht="99.75">
      <c r="A17" s="2866"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416" t="s">
        <v>540</v>
      </c>
      <c r="Q17" s="1559" t="str">
        <f t="shared" si="6"/>
        <v>居住社区成熟度</v>
      </c>
      <c r="R17" s="1560" t="s">
        <v>8</v>
      </c>
      <c r="S17" s="1561">
        <f t="shared" si="0"/>
        <v>100</v>
      </c>
      <c r="T17" s="1560" t="s">
        <v>8</v>
      </c>
      <c r="U17" s="1561">
        <f t="shared" si="1"/>
        <v>100</v>
      </c>
      <c r="V17" s="1560" t="s">
        <v>8</v>
      </c>
      <c r="W17" s="1561">
        <f t="shared" si="2"/>
        <v>100</v>
      </c>
      <c r="X17" s="1554"/>
      <c r="Y17" s="3416" t="s">
        <v>540</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8"/>
      <c r="M18" s="2118"/>
      <c r="N18" s="2118"/>
      <c r="O18" s="2127"/>
      <c r="P18" s="3417"/>
      <c r="Q18" s="1559"/>
      <c r="R18" s="1560"/>
      <c r="S18" s="1561"/>
      <c r="T18" s="1560"/>
      <c r="U18" s="1561"/>
      <c r="V18" s="1560"/>
      <c r="W18" s="1561"/>
      <c r="X18" s="1554"/>
      <c r="Y18" s="3417"/>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417"/>
      <c r="Q19" s="1559" t="str">
        <f>B19</f>
        <v>商业繁华度</v>
      </c>
      <c r="R19" s="1560" t="s">
        <v>8</v>
      </c>
      <c r="S19" s="1561">
        <f>F19</f>
        <v>100</v>
      </c>
      <c r="T19" s="1560" t="s">
        <v>8</v>
      </c>
      <c r="U19" s="1561">
        <f>H19</f>
        <v>100</v>
      </c>
      <c r="V19" s="1560" t="s">
        <v>8</v>
      </c>
      <c r="W19" s="1561">
        <f>J19</f>
        <v>100</v>
      </c>
      <c r="X19" s="1554"/>
      <c r="Y19" s="3417"/>
      <c r="Z19" s="1562" t="str">
        <f>Q19</f>
        <v>商业繁华度</v>
      </c>
      <c r="AA19" s="1563">
        <f t="shared" si="3"/>
        <v>1</v>
      </c>
      <c r="AB19" s="1563">
        <f t="shared" si="4"/>
        <v>1</v>
      </c>
      <c r="AC19" s="1563">
        <f t="shared" si="5"/>
        <v>1</v>
      </c>
    </row>
    <row r="20" spans="1:29" ht="20.25">
      <c r="A20" s="532"/>
      <c r="B20" s="566"/>
      <c r="C20" s="567"/>
      <c r="D20" s="563"/>
      <c r="E20" s="569"/>
      <c r="F20" s="559"/>
      <c r="G20" s="568"/>
      <c r="H20" s="555"/>
      <c r="I20" s="569"/>
      <c r="J20" s="555"/>
      <c r="K20" s="531"/>
      <c r="L20" s="2128"/>
      <c r="M20" s="2118"/>
      <c r="N20" s="2118"/>
      <c r="O20" s="2127"/>
      <c r="P20" s="3417"/>
      <c r="Q20" s="1559"/>
      <c r="R20" s="1560"/>
      <c r="S20" s="1561"/>
      <c r="T20" s="1560"/>
      <c r="U20" s="1561"/>
      <c r="V20" s="1560"/>
      <c r="W20" s="1561"/>
      <c r="X20" s="1554"/>
      <c r="Y20" s="3417"/>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17"/>
      <c r="Q21" s="1559" t="str">
        <f>B21</f>
        <v>办公集聚程度</v>
      </c>
      <c r="R21" s="1560" t="s">
        <v>8</v>
      </c>
      <c r="S21" s="1561">
        <f>F21</f>
        <v>100</v>
      </c>
      <c r="T21" s="1560" t="s">
        <v>8</v>
      </c>
      <c r="U21" s="1561">
        <f>H21</f>
        <v>100</v>
      </c>
      <c r="V21" s="1560" t="s">
        <v>8</v>
      </c>
      <c r="W21" s="1561">
        <f>J21</f>
        <v>100</v>
      </c>
      <c r="X21" s="1554"/>
      <c r="Y21" s="3417"/>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417"/>
      <c r="Q22" s="1559"/>
      <c r="R22" s="1560"/>
      <c r="S22" s="1561"/>
      <c r="T22" s="1560"/>
      <c r="U22" s="1561"/>
      <c r="V22" s="1560"/>
      <c r="W22" s="1561"/>
      <c r="X22" s="1554"/>
      <c r="Y22" s="3417"/>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8"/>
      <c r="M23" s="2118"/>
      <c r="N23" s="2118"/>
      <c r="O23" s="2127"/>
      <c r="P23" s="3417"/>
      <c r="Q23" s="1559" t="str">
        <f>B23</f>
        <v>交通便捷度</v>
      </c>
      <c r="R23" s="1560" t="s">
        <v>8</v>
      </c>
      <c r="S23" s="1561">
        <f>F23</f>
        <v>100</v>
      </c>
      <c r="T23" s="1560" t="s">
        <v>8</v>
      </c>
      <c r="U23" s="1561">
        <f>H23</f>
        <v>100</v>
      </c>
      <c r="V23" s="1560" t="s">
        <v>8</v>
      </c>
      <c r="W23" s="1561">
        <f>J23</f>
        <v>100</v>
      </c>
      <c r="X23" s="1554"/>
      <c r="Y23" s="3417"/>
      <c r="Z23" s="1562" t="str">
        <f>Q23</f>
        <v>交通便捷度</v>
      </c>
      <c r="AA23" s="1563">
        <f t="shared" si="3"/>
        <v>1</v>
      </c>
      <c r="AB23" s="1563">
        <f t="shared" si="4"/>
        <v>1</v>
      </c>
      <c r="AC23" s="1563">
        <f t="shared" si="5"/>
        <v>1</v>
      </c>
    </row>
    <row r="24" spans="1:29" ht="20.25">
      <c r="A24" s="532"/>
      <c r="B24" s="578"/>
      <c r="C24" s="554"/>
      <c r="D24" s="557"/>
      <c r="E24" s="558"/>
      <c r="F24" s="555"/>
      <c r="G24" s="556"/>
      <c r="H24" s="555"/>
      <c r="I24" s="558"/>
      <c r="J24" s="555"/>
      <c r="K24" s="531"/>
      <c r="L24" s="2128"/>
      <c r="M24" s="2118"/>
      <c r="N24" s="2118"/>
      <c r="O24" s="2127"/>
      <c r="P24" s="3417"/>
      <c r="Q24" s="1559"/>
      <c r="R24" s="1560"/>
      <c r="S24" s="1561"/>
      <c r="T24" s="1560"/>
      <c r="U24" s="1561"/>
      <c r="V24" s="1560"/>
      <c r="W24" s="1561"/>
      <c r="X24" s="1554"/>
      <c r="Y24" s="3417"/>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417"/>
      <c r="Q25" s="1559" t="str">
        <f t="shared" ref="Q25:Q39" si="8">B25</f>
        <v>区域土地利用方向</v>
      </c>
      <c r="R25" s="1560" t="s">
        <v>8</v>
      </c>
      <c r="S25" s="1561">
        <f>F25</f>
        <v>100</v>
      </c>
      <c r="T25" s="1560" t="s">
        <v>8</v>
      </c>
      <c r="U25" s="1561">
        <f>H25</f>
        <v>100</v>
      </c>
      <c r="V25" s="1560" t="s">
        <v>8</v>
      </c>
      <c r="W25" s="1561">
        <f>J25</f>
        <v>100</v>
      </c>
      <c r="X25" s="1554"/>
      <c r="Y25" s="3417"/>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417"/>
      <c r="Q26" s="1559"/>
      <c r="R26" s="1560"/>
      <c r="S26" s="1561"/>
      <c r="T26" s="1560"/>
      <c r="U26" s="1561"/>
      <c r="V26" s="1560"/>
      <c r="W26" s="1561"/>
      <c r="X26" s="1554"/>
      <c r="Y26" s="3417"/>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8"/>
      <c r="M27" s="2118"/>
      <c r="N27" s="2118"/>
      <c r="O27" s="2127"/>
      <c r="P27" s="3417"/>
      <c r="Q27" s="1559" t="str">
        <f t="shared" si="8"/>
        <v>自然及人文环境状况</v>
      </c>
      <c r="R27" s="1560" t="s">
        <v>8</v>
      </c>
      <c r="S27" s="1561">
        <f>F27</f>
        <v>100</v>
      </c>
      <c r="T27" s="1560" t="s">
        <v>8</v>
      </c>
      <c r="U27" s="1561">
        <f>H27</f>
        <v>100</v>
      </c>
      <c r="V27" s="1560" t="s">
        <v>8</v>
      </c>
      <c r="W27" s="1561">
        <f>J27</f>
        <v>100</v>
      </c>
      <c r="X27" s="1554"/>
      <c r="Y27" s="3417"/>
      <c r="Z27" s="1562" t="str">
        <f>Q27</f>
        <v>自然及人文环境状况</v>
      </c>
      <c r="AA27" s="1563">
        <f t="shared" si="3"/>
        <v>1</v>
      </c>
      <c r="AB27" s="1563">
        <f t="shared" si="4"/>
        <v>1</v>
      </c>
      <c r="AC27" s="1563">
        <f t="shared" si="5"/>
        <v>1</v>
      </c>
    </row>
    <row r="28" spans="1:29" ht="20.25">
      <c r="A28" s="515"/>
      <c r="B28" s="566"/>
      <c r="C28" s="554"/>
      <c r="D28" s="557"/>
      <c r="E28" s="576"/>
      <c r="F28" s="555"/>
      <c r="G28" s="554"/>
      <c r="H28" s="555"/>
      <c r="I28" s="576"/>
      <c r="J28" s="555"/>
      <c r="K28" s="531"/>
      <c r="L28" s="2128"/>
      <c r="M28" s="2118"/>
      <c r="N28" s="2118"/>
      <c r="O28" s="2127"/>
      <c r="P28" s="3417"/>
      <c r="Q28" s="1559"/>
      <c r="R28" s="1560"/>
      <c r="S28" s="1561"/>
      <c r="T28" s="1560"/>
      <c r="U28" s="1561"/>
      <c r="V28" s="1560"/>
      <c r="W28" s="1561"/>
      <c r="X28" s="1554"/>
      <c r="Y28" s="3417"/>
      <c r="Z28" s="1562"/>
      <c r="AA28" s="1563">
        <v>1</v>
      </c>
      <c r="AB28" s="1563">
        <v>1</v>
      </c>
      <c r="AC28" s="1563">
        <v>1</v>
      </c>
    </row>
    <row r="29" spans="1:29" s="1216" customFormat="1" ht="42.75">
      <c r="A29" s="577"/>
      <c r="B29" s="2556"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1"/>
      <c r="M29" s="2118"/>
      <c r="N29" s="2118"/>
      <c r="O29" s="2123"/>
      <c r="P29" s="3417"/>
      <c r="Q29" s="1147" t="str">
        <f t="shared" si="8"/>
        <v>公共配套设施</v>
      </c>
      <c r="R29" s="1555" t="s">
        <v>8</v>
      </c>
      <c r="S29" s="1556">
        <f>F29</f>
        <v>100</v>
      </c>
      <c r="T29" s="1555" t="s">
        <v>8</v>
      </c>
      <c r="U29" s="1556">
        <f>H29</f>
        <v>100</v>
      </c>
      <c r="V29" s="1555" t="s">
        <v>8</v>
      </c>
      <c r="W29" s="1556">
        <f>J29</f>
        <v>100</v>
      </c>
      <c r="X29" s="1557"/>
      <c r="Y29" s="3417"/>
      <c r="Z29" s="1146" t="str">
        <f>Q29</f>
        <v>公共配套设施</v>
      </c>
      <c r="AA29" s="1563">
        <f>D29/F29</f>
        <v>1</v>
      </c>
      <c r="AB29" s="1563">
        <f>D29/H29</f>
        <v>1</v>
      </c>
      <c r="AC29" s="1563">
        <f>D29/J29</f>
        <v>1</v>
      </c>
    </row>
    <row r="30" spans="1:29" s="1216" customFormat="1" ht="20.25">
      <c r="A30" s="577"/>
      <c r="B30" s="566"/>
      <c r="C30" s="579"/>
      <c r="D30" s="557"/>
      <c r="E30" s="576"/>
      <c r="F30" s="555"/>
      <c r="G30" s="554"/>
      <c r="H30" s="555"/>
      <c r="I30" s="576"/>
      <c r="J30" s="555"/>
      <c r="K30" s="531"/>
      <c r="L30" s="2121"/>
      <c r="M30" s="2118"/>
      <c r="N30" s="2118"/>
      <c r="O30" s="2123"/>
      <c r="P30" s="3417"/>
      <c r="Q30" s="1147"/>
      <c r="R30" s="1555"/>
      <c r="S30" s="1556"/>
      <c r="T30" s="1555"/>
      <c r="U30" s="1556"/>
      <c r="V30" s="1555"/>
      <c r="W30" s="1556"/>
      <c r="X30" s="1557"/>
      <c r="Y30" s="3417"/>
      <c r="Z30" s="1146"/>
      <c r="AA30" s="1563">
        <v>1</v>
      </c>
      <c r="AB30" s="1563">
        <v>1</v>
      </c>
      <c r="AC30" s="1563">
        <v>1</v>
      </c>
    </row>
    <row r="31" spans="1:29" s="1216" customFormat="1" ht="28.5">
      <c r="A31" s="577"/>
      <c r="B31" s="2556"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417"/>
      <c r="Q31" s="2543" t="str">
        <f t="shared" ref="Q31" si="9">B31</f>
        <v>基础设施水平</v>
      </c>
      <c r="R31" s="1555" t="s">
        <v>8</v>
      </c>
      <c r="S31" s="1556">
        <f>F31</f>
        <v>100</v>
      </c>
      <c r="T31" s="1555" t="s">
        <v>8</v>
      </c>
      <c r="U31" s="1556">
        <f>H31</f>
        <v>100</v>
      </c>
      <c r="V31" s="1555" t="s">
        <v>8</v>
      </c>
      <c r="W31" s="1556">
        <f>J31</f>
        <v>100</v>
      </c>
      <c r="X31" s="1557"/>
      <c r="Y31" s="3417"/>
      <c r="Z31" s="2540" t="str">
        <f>Q31</f>
        <v>基础设施水平</v>
      </c>
      <c r="AA31" s="1563">
        <f>D31/F31</f>
        <v>1</v>
      </c>
      <c r="AB31" s="1563">
        <f>D31/H31</f>
        <v>1</v>
      </c>
      <c r="AC31" s="1563">
        <f>D31/J31</f>
        <v>1</v>
      </c>
    </row>
    <row r="32" spans="1:29" s="1216" customFormat="1" ht="20.25">
      <c r="A32" s="577"/>
      <c r="B32" s="566"/>
      <c r="C32" s="579"/>
      <c r="D32" s="557"/>
      <c r="E32" s="2557"/>
      <c r="F32" s="555"/>
      <c r="G32" s="579"/>
      <c r="H32" s="555"/>
      <c r="I32" s="579"/>
      <c r="J32" s="555"/>
      <c r="K32" s="531"/>
      <c r="L32" s="2121"/>
      <c r="M32" s="2118"/>
      <c r="N32" s="2118"/>
      <c r="O32" s="2123"/>
      <c r="P32" s="3417"/>
      <c r="Q32" s="2543"/>
      <c r="R32" s="1555"/>
      <c r="S32" s="1556"/>
      <c r="T32" s="1555"/>
      <c r="U32" s="1556"/>
      <c r="V32" s="1555"/>
      <c r="W32" s="1556"/>
      <c r="X32" s="1557"/>
      <c r="Y32" s="3417"/>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17"/>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17"/>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17"/>
      <c r="Q34" s="1559" t="str">
        <f t="shared" si="8"/>
        <v>毗邻道路的类型与等级</v>
      </c>
      <c r="R34" s="1560" t="s">
        <v>8</v>
      </c>
      <c r="S34" s="1561">
        <f t="shared" si="10"/>
        <v>100</v>
      </c>
      <c r="T34" s="1560" t="s">
        <v>8</v>
      </c>
      <c r="U34" s="1561">
        <f t="shared" si="11"/>
        <v>100</v>
      </c>
      <c r="V34" s="1560" t="s">
        <v>8</v>
      </c>
      <c r="W34" s="1561">
        <f t="shared" si="12"/>
        <v>100</v>
      </c>
      <c r="X34" s="1554"/>
      <c r="Y34" s="3417"/>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417"/>
      <c r="Q35" s="1559"/>
      <c r="R35" s="1560"/>
      <c r="S35" s="1561"/>
      <c r="T35" s="1560"/>
      <c r="U35" s="1561"/>
      <c r="V35" s="1560"/>
      <c r="W35" s="1561"/>
      <c r="X35" s="1554"/>
      <c r="Y35" s="3417"/>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17"/>
      <c r="Q36" s="1559" t="str">
        <f t="shared" si="8"/>
        <v>土地级别</v>
      </c>
      <c r="R36" s="1560" t="s">
        <v>8</v>
      </c>
      <c r="S36" s="1561">
        <f t="shared" si="10"/>
        <v>100</v>
      </c>
      <c r="T36" s="1560" t="s">
        <v>8</v>
      </c>
      <c r="U36" s="1561">
        <f t="shared" si="11"/>
        <v>100</v>
      </c>
      <c r="V36" s="1560" t="s">
        <v>8</v>
      </c>
      <c r="W36" s="1561">
        <f t="shared" si="12"/>
        <v>100</v>
      </c>
      <c r="X36" s="1554"/>
      <c r="Y36" s="3417"/>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17"/>
      <c r="Q37" s="1559">
        <f t="shared" si="8"/>
        <v>111</v>
      </c>
      <c r="R37" s="1560" t="s">
        <v>8</v>
      </c>
      <c r="S37" s="1561">
        <f t="shared" si="10"/>
        <v>100</v>
      </c>
      <c r="T37" s="1560" t="s">
        <v>8</v>
      </c>
      <c r="U37" s="1561">
        <f t="shared" si="11"/>
        <v>100</v>
      </c>
      <c r="V37" s="1560" t="s">
        <v>8</v>
      </c>
      <c r="W37" s="1561">
        <f t="shared" si="12"/>
        <v>100</v>
      </c>
      <c r="X37" s="1554"/>
      <c r="Y37" s="3417"/>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18" t="s">
        <v>550</v>
      </c>
      <c r="Q38" s="1559">
        <f t="shared" si="8"/>
        <v>111</v>
      </c>
      <c r="R38" s="1560" t="s">
        <v>8</v>
      </c>
      <c r="S38" s="1561">
        <f t="shared" si="10"/>
        <v>100</v>
      </c>
      <c r="T38" s="1560" t="s">
        <v>8</v>
      </c>
      <c r="U38" s="1561">
        <f t="shared" si="11"/>
        <v>100</v>
      </c>
      <c r="V38" s="1560" t="s">
        <v>8</v>
      </c>
      <c r="W38" s="1561">
        <f t="shared" si="12"/>
        <v>100</v>
      </c>
      <c r="X38" s="1554"/>
      <c r="Y38" s="3419"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19"/>
      <c r="Q39" s="1559">
        <f t="shared" si="8"/>
        <v>111</v>
      </c>
      <c r="R39" s="1564" t="s">
        <v>8</v>
      </c>
      <c r="S39" s="1565">
        <f t="shared" si="10"/>
        <v>100</v>
      </c>
      <c r="T39" s="1564" t="s">
        <v>8</v>
      </c>
      <c r="U39" s="1565">
        <f t="shared" si="11"/>
        <v>100</v>
      </c>
      <c r="V39" s="1564" t="s">
        <v>8</v>
      </c>
      <c r="W39" s="1565">
        <f t="shared" si="12"/>
        <v>100</v>
      </c>
      <c r="X39" s="1566"/>
      <c r="Y39" s="3419"/>
      <c r="Z39" s="1567">
        <f t="shared" si="13"/>
        <v>111</v>
      </c>
      <c r="AA39" s="1563">
        <f t="shared" si="3"/>
        <v>1</v>
      </c>
      <c r="AB39" s="1563">
        <f t="shared" si="4"/>
        <v>1</v>
      </c>
      <c r="AC39" s="1563">
        <f t="shared" si="5"/>
        <v>1</v>
      </c>
    </row>
    <row r="40" spans="1:29" ht="20.25">
      <c r="A40" s="2863" t="s">
        <v>2755</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28"/>
      <c r="M40" s="2118"/>
      <c r="N40" s="2118"/>
      <c r="O40" s="2127"/>
      <c r="P40" s="3419"/>
      <c r="Q40" s="1559" t="str">
        <f>B40</f>
        <v>宗地面积</v>
      </c>
      <c r="R40" s="1560" t="s">
        <v>8</v>
      </c>
      <c r="S40" s="1561" t="e">
        <f t="shared" si="10"/>
        <v>#N/A</v>
      </c>
      <c r="T40" s="1560" t="s">
        <v>8</v>
      </c>
      <c r="U40" s="1561" t="e">
        <f t="shared" si="11"/>
        <v>#N/A</v>
      </c>
      <c r="V40" s="1560" t="s">
        <v>8</v>
      </c>
      <c r="W40" s="1561" t="e">
        <f t="shared" si="12"/>
        <v>#N/A</v>
      </c>
      <c r="X40" s="1554"/>
      <c r="Y40" s="3419"/>
      <c r="Z40" s="1562" t="str">
        <f t="shared" si="13"/>
        <v>宗地面积</v>
      </c>
      <c r="AA40" s="1563" t="e">
        <f t="shared" si="3"/>
        <v>#N/A</v>
      </c>
      <c r="AB40" s="1563" t="e">
        <f t="shared" si="4"/>
        <v>#N/A</v>
      </c>
      <c r="AC40" s="1563"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419"/>
      <c r="Q41" s="1559" t="str">
        <f t="shared" ref="Q41:Q47" si="14">B41</f>
        <v>宗地形状</v>
      </c>
      <c r="R41" s="1560" t="s">
        <v>8</v>
      </c>
      <c r="S41" s="1561">
        <f t="shared" si="10"/>
        <v>100</v>
      </c>
      <c r="T41" s="1560" t="s">
        <v>8</v>
      </c>
      <c r="U41" s="1561">
        <f t="shared" si="11"/>
        <v>100</v>
      </c>
      <c r="V41" s="1560" t="s">
        <v>8</v>
      </c>
      <c r="W41" s="1561">
        <f t="shared" si="12"/>
        <v>100</v>
      </c>
      <c r="X41" s="1554"/>
      <c r="Y41" s="3419"/>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19"/>
      <c r="Q42" s="1559" t="str">
        <f t="shared" si="14"/>
        <v>临街宽度及深度</v>
      </c>
      <c r="R42" s="1560" t="s">
        <v>8</v>
      </c>
      <c r="S42" s="1561">
        <f t="shared" si="10"/>
        <v>100</v>
      </c>
      <c r="T42" s="1560" t="s">
        <v>8</v>
      </c>
      <c r="U42" s="1561">
        <f t="shared" si="11"/>
        <v>100</v>
      </c>
      <c r="V42" s="1560" t="s">
        <v>8</v>
      </c>
      <c r="W42" s="1561">
        <f t="shared" si="12"/>
        <v>100</v>
      </c>
      <c r="X42" s="1554"/>
      <c r="Y42" s="3419"/>
      <c r="Z42" s="1562" t="str">
        <f t="shared" si="13"/>
        <v>临街宽度及深度</v>
      </c>
      <c r="AA42" s="1563">
        <f t="shared" si="3"/>
        <v>1</v>
      </c>
      <c r="AB42" s="1563">
        <f t="shared" si="4"/>
        <v>1</v>
      </c>
      <c r="AC42" s="1563">
        <f t="shared" si="5"/>
        <v>1</v>
      </c>
    </row>
    <row r="43" spans="1:29" s="1216" customFormat="1" ht="20.25">
      <c r="A43" s="600"/>
      <c r="B43" s="1881"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419"/>
      <c r="Q43" s="1559" t="str">
        <f t="shared" si="14"/>
        <v>宗地开发程度</v>
      </c>
      <c r="R43" s="1555" t="s">
        <v>8</v>
      </c>
      <c r="S43" s="1556">
        <f t="shared" si="10"/>
        <v>100</v>
      </c>
      <c r="T43" s="1555" t="s">
        <v>8</v>
      </c>
      <c r="U43" s="1556">
        <f t="shared" si="11"/>
        <v>100</v>
      </c>
      <c r="V43" s="1555" t="s">
        <v>8</v>
      </c>
      <c r="W43" s="1556">
        <f t="shared" si="12"/>
        <v>100</v>
      </c>
      <c r="X43" s="1557"/>
      <c r="Y43" s="3419"/>
      <c r="Z43" s="1146"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419" t="s">
        <v>550</v>
      </c>
      <c r="Q44" s="1559" t="str">
        <f t="shared" si="14"/>
        <v>工程地质条件</v>
      </c>
      <c r="R44" s="1560" t="s">
        <v>8</v>
      </c>
      <c r="S44" s="1561">
        <f t="shared" si="10"/>
        <v>100</v>
      </c>
      <c r="T44" s="1560" t="s">
        <v>8</v>
      </c>
      <c r="U44" s="1561">
        <f t="shared" si="11"/>
        <v>100</v>
      </c>
      <c r="V44" s="1560" t="s">
        <v>8</v>
      </c>
      <c r="W44" s="1561">
        <f t="shared" si="12"/>
        <v>100</v>
      </c>
      <c r="X44" s="1554"/>
      <c r="Y44" s="3419"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19"/>
      <c r="Q45" s="1559">
        <f t="shared" si="14"/>
        <v>111</v>
      </c>
      <c r="R45" s="1560" t="s">
        <v>8</v>
      </c>
      <c r="S45" s="1561">
        <f t="shared" si="10"/>
        <v>100</v>
      </c>
      <c r="T45" s="1560" t="s">
        <v>8</v>
      </c>
      <c r="U45" s="1561">
        <f t="shared" si="11"/>
        <v>100</v>
      </c>
      <c r="V45" s="1560" t="s">
        <v>8</v>
      </c>
      <c r="W45" s="1561">
        <f t="shared" si="12"/>
        <v>100</v>
      </c>
      <c r="X45" s="1554"/>
      <c r="Y45" s="3419"/>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19"/>
      <c r="Q46" s="1559">
        <f t="shared" si="14"/>
        <v>111</v>
      </c>
      <c r="R46" s="1560" t="s">
        <v>8</v>
      </c>
      <c r="S46" s="1561">
        <f t="shared" si="10"/>
        <v>100</v>
      </c>
      <c r="T46" s="1560" t="s">
        <v>8</v>
      </c>
      <c r="U46" s="1561">
        <f t="shared" si="11"/>
        <v>100</v>
      </c>
      <c r="V46" s="1560" t="s">
        <v>8</v>
      </c>
      <c r="W46" s="1561">
        <f t="shared" si="12"/>
        <v>100</v>
      </c>
      <c r="X46" s="1554"/>
      <c r="Y46" s="3419"/>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19"/>
      <c r="Q47" s="1559">
        <f t="shared" si="14"/>
        <v>111</v>
      </c>
      <c r="R47" s="1564" t="s">
        <v>8</v>
      </c>
      <c r="S47" s="1565">
        <f t="shared" si="10"/>
        <v>100</v>
      </c>
      <c r="T47" s="1564" t="s">
        <v>8</v>
      </c>
      <c r="U47" s="1565">
        <f t="shared" si="11"/>
        <v>100</v>
      </c>
      <c r="V47" s="1564" t="s">
        <v>8</v>
      </c>
      <c r="W47" s="1565">
        <f t="shared" si="12"/>
        <v>100</v>
      </c>
      <c r="X47" s="1566"/>
      <c r="Y47" s="3419"/>
      <c r="Z47" s="1567">
        <f t="shared" si="13"/>
        <v>111</v>
      </c>
      <c r="AA47" s="1563">
        <f t="shared" si="3"/>
        <v>1</v>
      </c>
      <c r="AB47" s="1563">
        <f t="shared" si="4"/>
        <v>1</v>
      </c>
      <c r="AC47" s="1563">
        <f t="shared" si="5"/>
        <v>1</v>
      </c>
    </row>
    <row r="48" spans="1:29" ht="20.25">
      <c r="A48" s="607" t="s">
        <v>556</v>
      </c>
      <c r="B48" s="608" t="s">
        <v>2936</v>
      </c>
      <c r="C48" s="609" t="s">
        <v>1</v>
      </c>
      <c r="D48" s="610"/>
      <c r="E48" s="611"/>
      <c r="F48" s="612"/>
      <c r="G48" s="613"/>
      <c r="H48" s="614"/>
      <c r="I48" s="611"/>
      <c r="J48" s="614"/>
      <c r="K48" s="1336"/>
      <c r="L48" s="2130"/>
      <c r="M48" s="2118"/>
      <c r="N48" s="2118"/>
      <c r="O48" s="2131"/>
      <c r="P48" s="3414" t="str">
        <f>A48</f>
        <v>成交单价</v>
      </c>
      <c r="Q48" s="3414"/>
      <c r="R48" s="3428">
        <f>E48</f>
        <v>0</v>
      </c>
      <c r="S48" s="3428"/>
      <c r="T48" s="3428">
        <f>G48</f>
        <v>0</v>
      </c>
      <c r="U48" s="3428"/>
      <c r="V48" s="3428">
        <f>I48</f>
        <v>0</v>
      </c>
      <c r="W48" s="3428"/>
      <c r="X48" s="1546"/>
      <c r="Y48" s="1568"/>
      <c r="Z48" s="1546"/>
      <c r="AA48" s="1546"/>
      <c r="AB48" s="1546"/>
      <c r="AC48" s="1546"/>
    </row>
    <row r="49" spans="1:29" ht="21" thickBot="1">
      <c r="A49" s="615" t="s">
        <v>2693</v>
      </c>
      <c r="B49" s="616"/>
      <c r="C49" s="617" t="e">
        <f>R50</f>
        <v>#DIV/0!</v>
      </c>
      <c r="D49" s="618"/>
      <c r="E49" s="617" t="e">
        <f>R49</f>
        <v>#DIV/0!</v>
      </c>
      <c r="F49" s="619"/>
      <c r="G49" s="620" t="e">
        <f>T49</f>
        <v>#DIV/0!</v>
      </c>
      <c r="H49" s="618"/>
      <c r="I49" s="617" t="e">
        <f>V49</f>
        <v>#DIV/0!</v>
      </c>
      <c r="J49" s="618"/>
      <c r="K49" s="1337"/>
      <c r="L49" s="2130"/>
      <c r="M49" s="2118"/>
      <c r="N49" s="2118"/>
      <c r="O49" s="2131"/>
      <c r="P49" s="3414" t="str">
        <f>A49</f>
        <v>比较价格（元/平方米）</v>
      </c>
      <c r="Q49" s="3414"/>
      <c r="R49" s="3438" t="e">
        <f>ROUND(PRODUCT(R48,AA9:AA47),0)</f>
        <v>#DIV/0!</v>
      </c>
      <c r="S49" s="3438"/>
      <c r="T49" s="3438" t="e">
        <f>ROUND(PRODUCT(T48,AB9:AB47),0)</f>
        <v>#DIV/0!</v>
      </c>
      <c r="U49" s="3438"/>
      <c r="V49" s="3438" t="e">
        <f>ROUND(PRODUCT(V48,AC9:AC47),0)</f>
        <v>#DIV/0!</v>
      </c>
      <c r="W49" s="3438"/>
      <c r="X49" s="1546"/>
      <c r="Y49" s="1546"/>
      <c r="Z49" s="1546"/>
      <c r="AA49" s="1546"/>
      <c r="AB49" s="1546"/>
      <c r="AC49" s="1546"/>
    </row>
    <row r="50" spans="1:29" ht="21" thickBot="1">
      <c r="A50" s="621" t="s">
        <v>2937</v>
      </c>
      <c r="B50" s="622"/>
      <c r="C50" s="623" t="e">
        <f>R50</f>
        <v>#DIV/0!</v>
      </c>
      <c r="D50" s="623"/>
      <c r="E50" s="623"/>
      <c r="F50" s="623"/>
      <c r="G50" s="623"/>
      <c r="H50" s="623"/>
      <c r="I50" s="623"/>
      <c r="J50" s="623"/>
      <c r="K50" s="1338"/>
      <c r="L50" s="2130"/>
      <c r="M50" s="2118"/>
      <c r="N50" s="2118"/>
      <c r="O50" s="2131"/>
      <c r="P50" s="3435" t="str">
        <f>A50</f>
        <v>估价对象XX用房的比较价格（楼面单价，元/平方米）</v>
      </c>
      <c r="Q50" s="3436"/>
      <c r="R50" s="3437" t="e">
        <f>ROUND(AVERAGE(R49:V49),0)</f>
        <v>#DIV/0!</v>
      </c>
      <c r="S50" s="3437"/>
      <c r="T50" s="3437"/>
      <c r="U50" s="3437"/>
      <c r="V50" s="3437"/>
      <c r="W50" s="3437"/>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398" t="s">
        <v>2281</v>
      </c>
      <c r="H57" s="3399"/>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t="e">
        <f>C50</f>
        <v>#DIV/0!</v>
      </c>
      <c r="C58" s="635">
        <v>1</v>
      </c>
      <c r="D58" s="2214">
        <v>1</v>
      </c>
      <c r="E58" s="635">
        <f>'数据-汇总表'!E8+'数据-汇总表'!E9</f>
        <v>10288.000000000002</v>
      </c>
      <c r="F58" s="636" t="e">
        <f t="shared" ref="F58:F67" si="15">ROUND(B58*E58/10000,0)</f>
        <v>#DIV/0!</v>
      </c>
      <c r="G58" s="3400"/>
      <c r="H58" s="3401"/>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t="e">
        <f>ROUND($C$50*C59*D59,0)</f>
        <v>#DIV/0!</v>
      </c>
      <c r="C59" s="378">
        <f t="shared" ref="C59:C67" si="16">IF($C$57="北京市系数",I59,J59)</f>
        <v>0</v>
      </c>
      <c r="D59" s="2215">
        <v>0.25</v>
      </c>
      <c r="E59" s="639">
        <v>0</v>
      </c>
      <c r="F59" s="636" t="e">
        <f t="shared" si="15"/>
        <v>#DIV/0!</v>
      </c>
      <c r="G59" s="3402"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t="e">
        <f t="shared" ref="B60:B67" si="17">ROUND($C$50*C60*D60,0)</f>
        <v>#DIV/0!</v>
      </c>
      <c r="C60" s="378">
        <f t="shared" si="16"/>
        <v>0</v>
      </c>
      <c r="D60" s="2215">
        <v>0.25</v>
      </c>
      <c r="E60" s="639">
        <v>0</v>
      </c>
      <c r="F60" s="636" t="e">
        <f t="shared" si="15"/>
        <v>#DIV/0!</v>
      </c>
      <c r="G60" s="3402"/>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t="e">
        <f t="shared" si="17"/>
        <v>#DIV/0!</v>
      </c>
      <c r="C61" s="378">
        <f t="shared" si="16"/>
        <v>0</v>
      </c>
      <c r="D61" s="2215">
        <v>0.25</v>
      </c>
      <c r="E61" s="639">
        <v>0</v>
      </c>
      <c r="F61" s="636" t="e">
        <f t="shared" si="15"/>
        <v>#DIV/0!</v>
      </c>
      <c r="G61" s="3402"/>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t="e">
        <f t="shared" si="17"/>
        <v>#DIV/0!</v>
      </c>
      <c r="C62" s="378">
        <f t="shared" si="16"/>
        <v>0</v>
      </c>
      <c r="D62" s="2215">
        <v>0.25</v>
      </c>
      <c r="E62" s="639">
        <v>0</v>
      </c>
      <c r="F62" s="636" t="e">
        <f t="shared" si="15"/>
        <v>#DIV/0!</v>
      </c>
      <c r="G62" s="3402"/>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2328</v>
      </c>
      <c r="B63" s="638" t="e">
        <f t="shared" si="17"/>
        <v>#DIV/0!</v>
      </c>
      <c r="C63" s="378">
        <f t="shared" si="16"/>
        <v>0</v>
      </c>
      <c r="D63" s="2215">
        <v>0.25</v>
      </c>
      <c r="E63" s="641">
        <f>'数据-汇总表'!E11</f>
        <v>0</v>
      </c>
      <c r="F63" s="636" t="e">
        <f t="shared" si="15"/>
        <v>#DIV/0!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t="e">
        <f t="shared" si="17"/>
        <v>#DIV/0!</v>
      </c>
      <c r="C64" s="378">
        <f t="shared" si="16"/>
        <v>0</v>
      </c>
      <c r="D64" s="2215">
        <v>0.25</v>
      </c>
      <c r="E64" s="641">
        <f>'数据-汇总表'!E12</f>
        <v>0</v>
      </c>
      <c r="F64" s="636" t="e">
        <f t="shared" si="15"/>
        <v>#DIV/0!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t="e">
        <f t="shared" si="17"/>
        <v>#DIV/0!</v>
      </c>
      <c r="C65" s="378">
        <f t="shared" si="16"/>
        <v>0</v>
      </c>
      <c r="D65" s="2215">
        <v>0.25</v>
      </c>
      <c r="E65" s="641">
        <f>'数据-汇总表'!E13</f>
        <v>0</v>
      </c>
      <c r="F65" s="636" t="e">
        <f t="shared" si="15"/>
        <v>#DIV/0!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t="e">
        <f t="shared" si="17"/>
        <v>#DIV/0!</v>
      </c>
      <c r="C66" s="378">
        <f t="shared" si="16"/>
        <v>0</v>
      </c>
      <c r="D66" s="2215">
        <v>0.25</v>
      </c>
      <c r="E66" s="641">
        <f>'数据-汇总表'!E14</f>
        <v>0</v>
      </c>
      <c r="F66" s="636" t="e">
        <f t="shared" si="15"/>
        <v>#DIV/0!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t="e">
        <f t="shared" si="17"/>
        <v>#DIV/0!</v>
      </c>
      <c r="C67" s="378">
        <f t="shared" si="16"/>
        <v>0</v>
      </c>
      <c r="D67" s="2215">
        <v>0.25</v>
      </c>
      <c r="E67" s="641">
        <f>'数据-汇总表'!E15</f>
        <v>0</v>
      </c>
      <c r="F67" s="636" t="e">
        <f t="shared" si="15"/>
        <v>#DIV/0!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2294</v>
      </c>
      <c r="E68" s="643">
        <f>IF(B48="楼面地价",SUM(E58:E67),'数据-汇总表'!D3)</f>
        <v>15557.09</v>
      </c>
      <c r="F68" s="644" t="e">
        <f>IF(B48="楼面地价",SUM(F58:F67),ROUND(C50*E68/10000,0))</f>
        <v>#DIV/0!</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2021-8-1</v>
      </c>
      <c r="D70" s="2755">
        <f>EDATE(C70,-3)</f>
        <v>44317</v>
      </c>
      <c r="E70" s="2755">
        <f t="shared" ref="E70:N70" si="18">EDATE(D70,-3)</f>
        <v>44228</v>
      </c>
      <c r="F70" s="2755">
        <f t="shared" si="18"/>
        <v>44136</v>
      </c>
      <c r="G70" s="2755">
        <f t="shared" si="18"/>
        <v>44044</v>
      </c>
      <c r="H70" s="2755">
        <f t="shared" si="18"/>
        <v>43952</v>
      </c>
      <c r="I70" s="2755">
        <f t="shared" si="18"/>
        <v>43862</v>
      </c>
      <c r="J70" s="2755">
        <f t="shared" si="18"/>
        <v>43770</v>
      </c>
      <c r="K70" s="2755">
        <f t="shared" si="18"/>
        <v>43678</v>
      </c>
      <c r="L70" s="2755">
        <f t="shared" si="18"/>
        <v>43586</v>
      </c>
      <c r="M70" s="2755">
        <f t="shared" si="18"/>
        <v>43497</v>
      </c>
      <c r="N70" s="2755">
        <f t="shared" si="18"/>
        <v>43405</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2532</v>
      </c>
      <c r="B72" s="2534"/>
      <c r="C72" s="2751" t="str">
        <f>YEAR(C70)&amp;"-"&amp;ROUNDUP(MONTH(C70)/3,0)</f>
        <v>2021-3</v>
      </c>
      <c r="D72" s="2757" t="str">
        <f>YEAR(D70)&amp;"-"&amp;ROUNDUP(MONTH(D70)/3,0)</f>
        <v>2021-2</v>
      </c>
      <c r="E72" s="2757" t="str">
        <f t="shared" ref="E72:N72" si="19">YEAR(E70)&amp;"-"&amp;ROUNDUP(MONTH(E70)/3,0)</f>
        <v>2021-1</v>
      </c>
      <c r="F72" s="2757" t="str">
        <f t="shared" si="19"/>
        <v>2020-4</v>
      </c>
      <c r="G72" s="2757" t="str">
        <f t="shared" si="19"/>
        <v>2020-3</v>
      </c>
      <c r="H72" s="2757" t="str">
        <f t="shared" si="19"/>
        <v>2020-2</v>
      </c>
      <c r="I72" s="2757" t="str">
        <f t="shared" si="19"/>
        <v>2020-1</v>
      </c>
      <c r="J72" s="2757" t="str">
        <f t="shared" si="19"/>
        <v>2019-4</v>
      </c>
      <c r="K72" s="2757" t="str">
        <f t="shared" si="19"/>
        <v>2019-3</v>
      </c>
      <c r="L72" s="2757" t="str">
        <f t="shared" si="19"/>
        <v>2019-2</v>
      </c>
      <c r="M72" s="2757" t="str">
        <f t="shared" si="19"/>
        <v>2019-1</v>
      </c>
      <c r="N72" s="2757" t="str">
        <f t="shared" si="19"/>
        <v>2018-4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北京市平均增长率0.00%</v>
      </c>
      <c r="C73" s="894">
        <v>100</v>
      </c>
      <c r="D73" s="730"/>
      <c r="E73" s="730"/>
      <c r="F73" s="730"/>
      <c r="G73" s="730"/>
      <c r="H73" s="730"/>
      <c r="I73" s="730"/>
      <c r="J73" s="730"/>
      <c r="K73" s="730"/>
      <c r="L73" s="730"/>
      <c r="M73" s="2749"/>
      <c r="N73" s="2750"/>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c r="D82" s="541"/>
      <c r="E82" s="541"/>
      <c r="F82" s="541"/>
      <c r="G82" s="541"/>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44" t="str">
        <f t="shared" si="25"/>
        <v>(含)-</v>
      </c>
      <c r="K118" s="3044" t="str">
        <f t="shared" si="25"/>
        <v>(含)-</v>
      </c>
      <c r="L118" s="3045" t="str">
        <f t="shared" si="25"/>
        <v>(含)-</v>
      </c>
      <c r="M118" s="3046"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c r="D119" s="730"/>
      <c r="E119" s="730"/>
      <c r="F119" s="730"/>
      <c r="G119" s="730"/>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c r="D120" s="726"/>
      <c r="E120" s="726"/>
      <c r="F120" s="726"/>
      <c r="G120" s="726"/>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25" sqref="F25"/>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420" t="s">
        <v>522</v>
      </c>
      <c r="D6" s="3421"/>
      <c r="E6" s="3444" t="s">
        <v>523</v>
      </c>
      <c r="F6" s="3445"/>
      <c r="G6" s="3420" t="s">
        <v>524</v>
      </c>
      <c r="H6" s="3421"/>
      <c r="I6" s="3420" t="s">
        <v>525</v>
      </c>
      <c r="J6" s="3421"/>
      <c r="K6" s="514" t="s">
        <v>526</v>
      </c>
      <c r="L6" s="2119"/>
      <c r="M6" s="2120"/>
      <c r="N6" s="2120"/>
      <c r="O6" s="2120"/>
      <c r="P6" s="3422" t="s">
        <v>527</v>
      </c>
      <c r="Q6" s="3423"/>
      <c r="R6" s="3408" t="s">
        <v>523</v>
      </c>
      <c r="S6" s="3409"/>
      <c r="T6" s="3408" t="s">
        <v>524</v>
      </c>
      <c r="U6" s="3409"/>
      <c r="V6" s="3428" t="s">
        <v>525</v>
      </c>
      <c r="W6" s="3428"/>
      <c r="X6" s="1554"/>
      <c r="Y6" s="3408" t="s">
        <v>527</v>
      </c>
      <c r="Z6" s="3409"/>
      <c r="AA6" s="3403" t="s">
        <v>523</v>
      </c>
      <c r="AB6" s="3404" t="s">
        <v>524</v>
      </c>
      <c r="AC6" s="3403" t="s">
        <v>525</v>
      </c>
    </row>
    <row r="7" spans="1:29" ht="15">
      <c r="A7" s="515"/>
      <c r="B7" s="516"/>
      <c r="C7" s="3431" t="s">
        <v>2931</v>
      </c>
      <c r="D7" s="3432"/>
      <c r="E7" s="3446" t="s">
        <v>2932</v>
      </c>
      <c r="F7" s="3447"/>
      <c r="G7" s="3431" t="s">
        <v>2933</v>
      </c>
      <c r="H7" s="3432"/>
      <c r="I7" s="3431" t="s">
        <v>2934</v>
      </c>
      <c r="J7" s="3432"/>
      <c r="K7" s="514"/>
      <c r="L7" s="2119"/>
      <c r="M7" s="2120"/>
      <c r="N7" s="2120"/>
      <c r="O7" s="2120"/>
      <c r="P7" s="3424"/>
      <c r="Q7" s="3425"/>
      <c r="R7" s="3410"/>
      <c r="S7" s="3411"/>
      <c r="T7" s="3410"/>
      <c r="U7" s="3411"/>
      <c r="V7" s="3428"/>
      <c r="W7" s="3428"/>
      <c r="X7" s="1554"/>
      <c r="Y7" s="3410"/>
      <c r="Z7" s="3411"/>
      <c r="AA7" s="3404"/>
      <c r="AB7" s="3404"/>
      <c r="AC7" s="3404"/>
    </row>
    <row r="8" spans="1:29" ht="15.75" thickBot="1">
      <c r="A8" s="517"/>
      <c r="B8" s="518"/>
      <c r="C8" s="3429" t="s">
        <v>2935</v>
      </c>
      <c r="D8" s="3430"/>
      <c r="E8" s="3448" t="s">
        <v>2935</v>
      </c>
      <c r="F8" s="3449"/>
      <c r="G8" s="3429" t="s">
        <v>2935</v>
      </c>
      <c r="H8" s="3430"/>
      <c r="I8" s="3429" t="s">
        <v>2935</v>
      </c>
      <c r="J8" s="3430"/>
      <c r="K8" s="514" t="s">
        <v>528</v>
      </c>
      <c r="L8" s="2119"/>
      <c r="M8" s="2120"/>
      <c r="N8" s="2120"/>
      <c r="O8" s="2120"/>
      <c r="P8" s="3426"/>
      <c r="Q8" s="3427"/>
      <c r="R8" s="3410"/>
      <c r="S8" s="3411"/>
      <c r="T8" s="3412"/>
      <c r="U8" s="3413"/>
      <c r="V8" s="3428"/>
      <c r="W8" s="3428"/>
      <c r="X8" s="1554"/>
      <c r="Y8" s="3412"/>
      <c r="Z8" s="3413"/>
      <c r="AA8" s="3405"/>
      <c r="AB8" s="3405"/>
      <c r="AC8" s="3405"/>
    </row>
    <row r="9" spans="1:29" s="1216" customFormat="1" ht="15.75" thickBot="1">
      <c r="A9" s="2868"/>
      <c r="B9" s="2875" t="s">
        <v>529</v>
      </c>
      <c r="C9" s="519">
        <f>'数据-取费表'!B2</f>
        <v>44435</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06" t="s">
        <v>530</v>
      </c>
      <c r="Q9" s="3415"/>
      <c r="R9" s="1555" t="s">
        <v>8</v>
      </c>
      <c r="S9" s="1556">
        <f t="shared" ref="S9:S17" si="0">F9</f>
        <v>0</v>
      </c>
      <c r="T9" s="1555" t="s">
        <v>8</v>
      </c>
      <c r="U9" s="1556">
        <f t="shared" ref="U9:U17" si="1">H9</f>
        <v>0</v>
      </c>
      <c r="V9" s="1555" t="s">
        <v>8</v>
      </c>
      <c r="W9" s="1556">
        <f t="shared" ref="W9:W17" si="2">J9</f>
        <v>0</v>
      </c>
      <c r="X9" s="1557"/>
      <c r="Y9" s="3406" t="s">
        <v>530</v>
      </c>
      <c r="Z9" s="3407"/>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06" t="s">
        <v>533</v>
      </c>
      <c r="Q10" s="3407"/>
      <c r="R10" s="1555" t="s">
        <v>8</v>
      </c>
      <c r="S10" s="1556">
        <f t="shared" si="0"/>
        <v>0</v>
      </c>
      <c r="T10" s="1555" t="s">
        <v>8</v>
      </c>
      <c r="U10" s="1556">
        <f t="shared" si="1"/>
        <v>0</v>
      </c>
      <c r="V10" s="1555" t="s">
        <v>8</v>
      </c>
      <c r="W10" s="1556">
        <f t="shared" si="2"/>
        <v>0</v>
      </c>
      <c r="X10" s="1557"/>
      <c r="Y10" s="3406" t="s">
        <v>533</v>
      </c>
      <c r="Z10" s="3407"/>
      <c r="AA10" s="1558" t="e">
        <f t="shared" ref="AA10:AA42" si="3">D10/F10</f>
        <v>#DIV/0!</v>
      </c>
      <c r="AB10" s="1558" t="e">
        <f t="shared" ref="AB10:AB42" si="4">D10/H10</f>
        <v>#DIV/0!</v>
      </c>
      <c r="AC10" s="1558" t="e">
        <f t="shared" ref="AC10:AC42" si="5">D10/J10</f>
        <v>#DIV/0!</v>
      </c>
    </row>
    <row r="11" spans="1:29" s="1216" customFormat="1" ht="15">
      <c r="A11" s="2870"/>
      <c r="B11" s="2877" t="s">
        <v>2756</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414" t="s">
        <v>535</v>
      </c>
      <c r="Q11" s="1147" t="str">
        <f t="shared" ref="Q11:Q17" si="6">B11</f>
        <v>用途</v>
      </c>
      <c r="R11" s="1555" t="s">
        <v>8</v>
      </c>
      <c r="S11" s="1556">
        <f t="shared" si="0"/>
        <v>100</v>
      </c>
      <c r="T11" s="1555" t="s">
        <v>8</v>
      </c>
      <c r="U11" s="1556">
        <f t="shared" si="1"/>
        <v>100</v>
      </c>
      <c r="V11" s="1555" t="s">
        <v>8</v>
      </c>
      <c r="W11" s="1556">
        <f t="shared" si="2"/>
        <v>100</v>
      </c>
      <c r="X11" s="1557"/>
      <c r="Y11" s="3371" t="s">
        <v>536</v>
      </c>
      <c r="Z11" s="1146" t="str">
        <f t="shared" ref="Z11:Z17" si="7">Q11</f>
        <v>用途</v>
      </c>
      <c r="AA11" s="1558">
        <f t="shared" si="3"/>
        <v>1</v>
      </c>
      <c r="AB11" s="1558">
        <f t="shared" si="4"/>
        <v>1</v>
      </c>
      <c r="AC11" s="1558">
        <f t="shared" si="5"/>
        <v>1</v>
      </c>
    </row>
    <row r="12" spans="1:29" s="1334" customFormat="1" ht="27">
      <c r="A12" s="2871"/>
      <c r="B12" s="2876" t="s">
        <v>2757</v>
      </c>
      <c r="C12" s="528"/>
      <c r="D12" s="255">
        <v>100</v>
      </c>
      <c r="E12" s="528"/>
      <c r="F12" s="255" t="e">
        <f>ROUND(100/'数据-取费表'!G16,0)</f>
        <v>#DIV/0!</v>
      </c>
      <c r="G12" s="528"/>
      <c r="H12" s="255" t="e">
        <f>ROUND(100/'数据-取费表'!G16,0)</f>
        <v>#DIV/0!</v>
      </c>
      <c r="I12" s="528"/>
      <c r="J12" s="255" t="e">
        <f>ROUND(100/'数据-取费表'!G16,0)</f>
        <v>#DIV/0!</v>
      </c>
      <c r="K12" s="531"/>
      <c r="L12" s="2124"/>
      <c r="M12" s="2164"/>
      <c r="N12" s="2164"/>
      <c r="O12" s="2125"/>
      <c r="P12" s="3414"/>
      <c r="Q12" s="1147" t="str">
        <f t="shared" si="6"/>
        <v>土地使用年限（年）</v>
      </c>
      <c r="R12" s="1555" t="s">
        <v>8</v>
      </c>
      <c r="S12" s="1556" t="e">
        <f t="shared" si="0"/>
        <v>#DIV/0!</v>
      </c>
      <c r="T12" s="1555" t="s">
        <v>8</v>
      </c>
      <c r="U12" s="1556" t="e">
        <f t="shared" si="1"/>
        <v>#DIV/0!</v>
      </c>
      <c r="V12" s="1555" t="s">
        <v>8</v>
      </c>
      <c r="W12" s="1556" t="e">
        <f t="shared" si="2"/>
        <v>#DIV/0!</v>
      </c>
      <c r="X12" s="1557"/>
      <c r="Y12" s="3371"/>
      <c r="Z12" s="1146" t="str">
        <f t="shared" si="7"/>
        <v>土地使用年限（年）</v>
      </c>
      <c r="AA12" s="1558" t="e">
        <f t="shared" si="3"/>
        <v>#DIV/0!</v>
      </c>
      <c r="AB12" s="1558" t="e">
        <f t="shared" si="4"/>
        <v>#DIV/0!</v>
      </c>
      <c r="AC12" s="1558" t="e">
        <f t="shared" si="5"/>
        <v>#DIV/0!</v>
      </c>
    </row>
    <row r="13" spans="1:29" ht="15">
      <c r="A13" s="2872"/>
      <c r="B13" s="2876"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414"/>
      <c r="Q13" s="1147" t="str">
        <f t="shared" si="6"/>
        <v>容积率</v>
      </c>
      <c r="R13" s="1555" t="s">
        <v>8</v>
      </c>
      <c r="S13" s="1556" t="e">
        <f t="shared" si="0"/>
        <v>#N/A</v>
      </c>
      <c r="T13" s="1555" t="s">
        <v>8</v>
      </c>
      <c r="U13" s="1556" t="e">
        <f t="shared" si="1"/>
        <v>#N/A</v>
      </c>
      <c r="V13" s="1555" t="s">
        <v>8</v>
      </c>
      <c r="W13" s="1556" t="e">
        <f t="shared" si="2"/>
        <v>#N/A</v>
      </c>
      <c r="X13" s="1557"/>
      <c r="Y13" s="3371"/>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414"/>
      <c r="Q14" s="1147">
        <f t="shared" si="6"/>
        <v>111</v>
      </c>
      <c r="R14" s="1555" t="s">
        <v>8</v>
      </c>
      <c r="S14" s="1556">
        <f t="shared" si="0"/>
        <v>100</v>
      </c>
      <c r="T14" s="1555" t="s">
        <v>8</v>
      </c>
      <c r="U14" s="1556">
        <f t="shared" si="1"/>
        <v>100</v>
      </c>
      <c r="V14" s="1555" t="s">
        <v>8</v>
      </c>
      <c r="W14" s="1556">
        <f t="shared" si="2"/>
        <v>100</v>
      </c>
      <c r="X14" s="1557"/>
      <c r="Y14" s="3371"/>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414"/>
      <c r="Q15" s="1147">
        <f t="shared" si="6"/>
        <v>111</v>
      </c>
      <c r="R15" s="1555" t="s">
        <v>8</v>
      </c>
      <c r="S15" s="1556">
        <f t="shared" si="0"/>
        <v>100</v>
      </c>
      <c r="T15" s="1555" t="s">
        <v>8</v>
      </c>
      <c r="U15" s="1556">
        <f t="shared" si="1"/>
        <v>100</v>
      </c>
      <c r="V15" s="1555" t="s">
        <v>8</v>
      </c>
      <c r="W15" s="1556">
        <f t="shared" si="2"/>
        <v>100</v>
      </c>
      <c r="X15" s="1557"/>
      <c r="Y15" s="3371"/>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414"/>
      <c r="Q16" s="1147">
        <f t="shared" si="6"/>
        <v>111</v>
      </c>
      <c r="R16" s="1555" t="s">
        <v>8</v>
      </c>
      <c r="S16" s="1556">
        <f t="shared" si="0"/>
        <v>100</v>
      </c>
      <c r="T16" s="1555" t="s">
        <v>8</v>
      </c>
      <c r="U16" s="1556">
        <f t="shared" si="1"/>
        <v>100</v>
      </c>
      <c r="V16" s="1555" t="s">
        <v>8</v>
      </c>
      <c r="W16" s="1556">
        <f t="shared" si="2"/>
        <v>100</v>
      </c>
      <c r="X16" s="1557"/>
      <c r="Y16" s="3371"/>
      <c r="Z16" s="1146">
        <f t="shared" si="7"/>
        <v>111</v>
      </c>
      <c r="AA16" s="1558">
        <f t="shared" si="3"/>
        <v>1</v>
      </c>
      <c r="AB16" s="1558">
        <f t="shared" si="4"/>
        <v>1</v>
      </c>
      <c r="AC16" s="1558">
        <f t="shared" si="5"/>
        <v>1</v>
      </c>
    </row>
    <row r="17" spans="1:29" ht="57">
      <c r="A17" s="2866"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16" t="s">
        <v>540</v>
      </c>
      <c r="Q17" s="1559" t="str">
        <f t="shared" si="6"/>
        <v>产业集聚程度</v>
      </c>
      <c r="R17" s="1560" t="s">
        <v>8</v>
      </c>
      <c r="S17" s="1561">
        <f t="shared" si="0"/>
        <v>100</v>
      </c>
      <c r="T17" s="1560" t="s">
        <v>8</v>
      </c>
      <c r="U17" s="1561">
        <f t="shared" si="1"/>
        <v>100</v>
      </c>
      <c r="V17" s="1560" t="s">
        <v>8</v>
      </c>
      <c r="W17" s="1561">
        <f t="shared" si="2"/>
        <v>100</v>
      </c>
      <c r="X17" s="1554"/>
      <c r="Y17" s="3416"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17"/>
      <c r="Q18" s="1559"/>
      <c r="R18" s="1560"/>
      <c r="S18" s="1561"/>
      <c r="T18" s="1560"/>
      <c r="U18" s="1561"/>
      <c r="V18" s="1560"/>
      <c r="W18" s="1561"/>
      <c r="X18" s="1554"/>
      <c r="Y18" s="3417"/>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17"/>
      <c r="Q19" s="1559" t="str">
        <f>B19</f>
        <v>交通便捷度</v>
      </c>
      <c r="R19" s="1560" t="s">
        <v>8</v>
      </c>
      <c r="S19" s="1561">
        <f>F19</f>
        <v>100</v>
      </c>
      <c r="T19" s="1560" t="s">
        <v>8</v>
      </c>
      <c r="U19" s="1561">
        <f>H19</f>
        <v>100</v>
      </c>
      <c r="V19" s="1560" t="s">
        <v>8</v>
      </c>
      <c r="W19" s="1561">
        <f>J19</f>
        <v>100</v>
      </c>
      <c r="X19" s="1554"/>
      <c r="Y19" s="3417"/>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17"/>
      <c r="Q20" s="1559"/>
      <c r="R20" s="1560"/>
      <c r="S20" s="1561"/>
      <c r="T20" s="1560"/>
      <c r="U20" s="1561"/>
      <c r="V20" s="1560"/>
      <c r="W20" s="1561"/>
      <c r="X20" s="1554"/>
      <c r="Y20" s="3417"/>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17"/>
      <c r="Q21" s="1559" t="str">
        <f t="shared" ref="Q21:Q35" si="8">B21</f>
        <v>区域土地利用方向</v>
      </c>
      <c r="R21" s="1560" t="s">
        <v>8</v>
      </c>
      <c r="S21" s="1561">
        <f>F21</f>
        <v>100</v>
      </c>
      <c r="T21" s="1560" t="s">
        <v>8</v>
      </c>
      <c r="U21" s="1561">
        <f>H21</f>
        <v>100</v>
      </c>
      <c r="V21" s="1560" t="s">
        <v>8</v>
      </c>
      <c r="W21" s="1561">
        <f>J21</f>
        <v>100</v>
      </c>
      <c r="X21" s="1554"/>
      <c r="Y21" s="3417"/>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17"/>
      <c r="Q22" s="1559"/>
      <c r="R22" s="1560"/>
      <c r="S22" s="1561"/>
      <c r="T22" s="1560"/>
      <c r="U22" s="1561"/>
      <c r="V22" s="1560"/>
      <c r="W22" s="1561"/>
      <c r="X22" s="1554"/>
      <c r="Y22" s="3417"/>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17"/>
      <c r="Q23" s="1559" t="str">
        <f t="shared" si="8"/>
        <v>环境状况</v>
      </c>
      <c r="R23" s="1560" t="s">
        <v>8</v>
      </c>
      <c r="S23" s="1561">
        <f>F23</f>
        <v>100</v>
      </c>
      <c r="T23" s="1560" t="s">
        <v>8</v>
      </c>
      <c r="U23" s="1561">
        <f>H23</f>
        <v>100</v>
      </c>
      <c r="V23" s="1560" t="s">
        <v>8</v>
      </c>
      <c r="W23" s="1561">
        <f>J23</f>
        <v>100</v>
      </c>
      <c r="X23" s="1554"/>
      <c r="Y23" s="3417"/>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17"/>
      <c r="Q24" s="1559"/>
      <c r="R24" s="1560"/>
      <c r="S24" s="1561"/>
      <c r="T24" s="1560"/>
      <c r="U24" s="1561"/>
      <c r="V24" s="1560"/>
      <c r="W24" s="1561"/>
      <c r="X24" s="1554"/>
      <c r="Y24" s="3417"/>
      <c r="Z24" s="1562"/>
      <c r="AA24" s="1563">
        <v>1</v>
      </c>
      <c r="AB24" s="1563">
        <v>1</v>
      </c>
      <c r="AC24" s="1563">
        <v>1</v>
      </c>
    </row>
    <row r="25" spans="1:29" s="1216" customFormat="1" ht="42.75">
      <c r="A25" s="577"/>
      <c r="B25" s="2558"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17"/>
      <c r="Q25" s="1147" t="str">
        <f t="shared" si="8"/>
        <v>公共配套设施</v>
      </c>
      <c r="R25" s="1555" t="s">
        <v>8</v>
      </c>
      <c r="S25" s="1556">
        <f>F25</f>
        <v>100</v>
      </c>
      <c r="T25" s="1555" t="s">
        <v>8</v>
      </c>
      <c r="U25" s="1556">
        <f>H25</f>
        <v>100</v>
      </c>
      <c r="V25" s="1555" t="s">
        <v>8</v>
      </c>
      <c r="W25" s="1556">
        <f>J25</f>
        <v>100</v>
      </c>
      <c r="X25" s="1557"/>
      <c r="Y25" s="3417"/>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17"/>
      <c r="Q26" s="1147"/>
      <c r="R26" s="1555"/>
      <c r="S26" s="1556"/>
      <c r="T26" s="1555"/>
      <c r="U26" s="1556"/>
      <c r="V26" s="1555"/>
      <c r="W26" s="1556"/>
      <c r="X26" s="1557"/>
      <c r="Y26" s="3417"/>
      <c r="Z26" s="1146"/>
      <c r="AA26" s="1558">
        <v>1</v>
      </c>
      <c r="AB26" s="1558">
        <v>1</v>
      </c>
      <c r="AC26" s="1558">
        <v>1</v>
      </c>
    </row>
    <row r="27" spans="1:29" s="1216" customFormat="1" ht="28.5">
      <c r="A27" s="577"/>
      <c r="B27" s="2558"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17"/>
      <c r="Q27" s="2543" t="str">
        <f t="shared" ref="Q27" si="9">B27</f>
        <v>基础设施水平</v>
      </c>
      <c r="R27" s="1555" t="s">
        <v>8</v>
      </c>
      <c r="S27" s="1556">
        <f>F27</f>
        <v>100</v>
      </c>
      <c r="T27" s="1555" t="s">
        <v>8</v>
      </c>
      <c r="U27" s="1556">
        <f>H27</f>
        <v>100</v>
      </c>
      <c r="V27" s="1555" t="s">
        <v>8</v>
      </c>
      <c r="W27" s="1556">
        <f>J27</f>
        <v>100</v>
      </c>
      <c r="X27" s="1557"/>
      <c r="Y27" s="3417"/>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17"/>
      <c r="Q28" s="2543"/>
      <c r="R28" s="1555"/>
      <c r="S28" s="1556"/>
      <c r="T28" s="1555"/>
      <c r="U28" s="1556"/>
      <c r="V28" s="1555"/>
      <c r="W28" s="1556"/>
      <c r="X28" s="1557"/>
      <c r="Y28" s="3417"/>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17"/>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17"/>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17"/>
      <c r="Q30" s="1559" t="str">
        <f t="shared" si="8"/>
        <v>毗邻道路的类型与等级</v>
      </c>
      <c r="R30" s="1560" t="s">
        <v>8</v>
      </c>
      <c r="S30" s="1561">
        <f t="shared" si="10"/>
        <v>100</v>
      </c>
      <c r="T30" s="1560" t="s">
        <v>8</v>
      </c>
      <c r="U30" s="1561">
        <f t="shared" si="11"/>
        <v>100</v>
      </c>
      <c r="V30" s="1560" t="s">
        <v>8</v>
      </c>
      <c r="W30" s="1561">
        <f t="shared" si="12"/>
        <v>100</v>
      </c>
      <c r="X30" s="1554"/>
      <c r="Y30" s="3417"/>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17"/>
      <c r="Q31" s="1559"/>
      <c r="R31" s="1560"/>
      <c r="S31" s="1561"/>
      <c r="T31" s="1560"/>
      <c r="U31" s="1561"/>
      <c r="V31" s="1560"/>
      <c r="W31" s="1561"/>
      <c r="X31" s="1554"/>
      <c r="Y31" s="3417"/>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17"/>
      <c r="Q32" s="1559" t="str">
        <f t="shared" si="8"/>
        <v>土地级别</v>
      </c>
      <c r="R32" s="1560" t="s">
        <v>8</v>
      </c>
      <c r="S32" s="1561">
        <f t="shared" si="10"/>
        <v>100</v>
      </c>
      <c r="T32" s="1560" t="s">
        <v>8</v>
      </c>
      <c r="U32" s="1561">
        <f t="shared" si="11"/>
        <v>100</v>
      </c>
      <c r="V32" s="1560" t="s">
        <v>8</v>
      </c>
      <c r="W32" s="1561">
        <f t="shared" si="12"/>
        <v>100</v>
      </c>
      <c r="X32" s="1554"/>
      <c r="Y32" s="3417"/>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17"/>
      <c r="Q33" s="1559">
        <f t="shared" si="8"/>
        <v>111</v>
      </c>
      <c r="R33" s="1560" t="s">
        <v>8</v>
      </c>
      <c r="S33" s="1561">
        <f t="shared" si="10"/>
        <v>100</v>
      </c>
      <c r="T33" s="1560" t="s">
        <v>8</v>
      </c>
      <c r="U33" s="1561">
        <f t="shared" si="11"/>
        <v>100</v>
      </c>
      <c r="V33" s="1560" t="s">
        <v>8</v>
      </c>
      <c r="W33" s="1561">
        <f t="shared" si="12"/>
        <v>100</v>
      </c>
      <c r="X33" s="1554"/>
      <c r="Y33" s="3417"/>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18" t="s">
        <v>550</v>
      </c>
      <c r="Q34" s="1559">
        <f t="shared" si="8"/>
        <v>111</v>
      </c>
      <c r="R34" s="1560" t="s">
        <v>8</v>
      </c>
      <c r="S34" s="1561">
        <f t="shared" si="10"/>
        <v>100</v>
      </c>
      <c r="T34" s="1560" t="s">
        <v>8</v>
      </c>
      <c r="U34" s="1561">
        <f t="shared" si="11"/>
        <v>100</v>
      </c>
      <c r="V34" s="1560" t="s">
        <v>8</v>
      </c>
      <c r="W34" s="1561">
        <f t="shared" si="12"/>
        <v>100</v>
      </c>
      <c r="X34" s="1554"/>
      <c r="Y34" s="3419"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19"/>
      <c r="Q35" s="1559">
        <f t="shared" si="8"/>
        <v>111</v>
      </c>
      <c r="R35" s="1564" t="s">
        <v>8</v>
      </c>
      <c r="S35" s="1565">
        <f t="shared" si="10"/>
        <v>100</v>
      </c>
      <c r="T35" s="1564" t="s">
        <v>8</v>
      </c>
      <c r="U35" s="1565">
        <f t="shared" si="11"/>
        <v>100</v>
      </c>
      <c r="V35" s="1564" t="s">
        <v>8</v>
      </c>
      <c r="W35" s="1565">
        <f t="shared" si="12"/>
        <v>100</v>
      </c>
      <c r="X35" s="1566"/>
      <c r="Y35" s="3419"/>
      <c r="Z35" s="1567">
        <f t="shared" si="13"/>
        <v>111</v>
      </c>
      <c r="AA35" s="1563">
        <f t="shared" si="3"/>
        <v>1</v>
      </c>
      <c r="AB35" s="1563">
        <f t="shared" si="4"/>
        <v>1</v>
      </c>
      <c r="AC35" s="1563">
        <f t="shared" si="5"/>
        <v>1</v>
      </c>
    </row>
    <row r="36" spans="1:29" ht="15">
      <c r="A36" s="286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19"/>
      <c r="Q36" s="1559" t="str">
        <f>B36</f>
        <v>宗地面积</v>
      </c>
      <c r="R36" s="1560" t="s">
        <v>8</v>
      </c>
      <c r="S36" s="1561" t="e">
        <f t="shared" si="10"/>
        <v>#N/A</v>
      </c>
      <c r="T36" s="1560" t="s">
        <v>8</v>
      </c>
      <c r="U36" s="1561" t="e">
        <f t="shared" si="11"/>
        <v>#N/A</v>
      </c>
      <c r="V36" s="1560" t="s">
        <v>8</v>
      </c>
      <c r="W36" s="1561" t="e">
        <f t="shared" si="12"/>
        <v>#N/A</v>
      </c>
      <c r="X36" s="1554"/>
      <c r="Y36" s="3419"/>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19"/>
      <c r="Q37" s="1559" t="str">
        <f t="shared" ref="Q37:Q42" si="14">B37</f>
        <v>宗地形状</v>
      </c>
      <c r="R37" s="1560" t="s">
        <v>8</v>
      </c>
      <c r="S37" s="1561">
        <f t="shared" si="10"/>
        <v>100</v>
      </c>
      <c r="T37" s="1560" t="s">
        <v>8</v>
      </c>
      <c r="U37" s="1561">
        <f t="shared" si="11"/>
        <v>100</v>
      </c>
      <c r="V37" s="1560" t="s">
        <v>8</v>
      </c>
      <c r="W37" s="1561">
        <f t="shared" si="12"/>
        <v>100</v>
      </c>
      <c r="X37" s="1554"/>
      <c r="Y37" s="3419"/>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19"/>
      <c r="Q38" s="1559" t="str">
        <f t="shared" si="14"/>
        <v>宗地开发程度</v>
      </c>
      <c r="R38" s="1555" t="s">
        <v>8</v>
      </c>
      <c r="S38" s="1556">
        <f t="shared" si="10"/>
        <v>100</v>
      </c>
      <c r="T38" s="1555" t="s">
        <v>8</v>
      </c>
      <c r="U38" s="1556">
        <f t="shared" si="11"/>
        <v>100</v>
      </c>
      <c r="V38" s="1555" t="s">
        <v>8</v>
      </c>
      <c r="W38" s="1556">
        <f t="shared" si="12"/>
        <v>100</v>
      </c>
      <c r="X38" s="1557"/>
      <c r="Y38" s="3419"/>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19" t="s">
        <v>601</v>
      </c>
      <c r="Q39" s="1559" t="str">
        <f t="shared" si="14"/>
        <v>工程地质条件</v>
      </c>
      <c r="R39" s="1560" t="s">
        <v>8</v>
      </c>
      <c r="S39" s="1561">
        <f t="shared" si="10"/>
        <v>100</v>
      </c>
      <c r="T39" s="1560" t="s">
        <v>8</v>
      </c>
      <c r="U39" s="1561">
        <f t="shared" si="11"/>
        <v>100</v>
      </c>
      <c r="V39" s="1560" t="s">
        <v>8</v>
      </c>
      <c r="W39" s="1561">
        <f t="shared" si="12"/>
        <v>100</v>
      </c>
      <c r="X39" s="1554"/>
      <c r="Y39" s="3419"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19"/>
      <c r="Q40" s="1559">
        <f t="shared" si="14"/>
        <v>111</v>
      </c>
      <c r="R40" s="1560" t="s">
        <v>8</v>
      </c>
      <c r="S40" s="1561">
        <f t="shared" si="10"/>
        <v>100</v>
      </c>
      <c r="T40" s="1560" t="s">
        <v>8</v>
      </c>
      <c r="U40" s="1561">
        <f t="shared" si="11"/>
        <v>100</v>
      </c>
      <c r="V40" s="1560" t="s">
        <v>8</v>
      </c>
      <c r="W40" s="1561">
        <f t="shared" si="12"/>
        <v>100</v>
      </c>
      <c r="X40" s="1554"/>
      <c r="Y40" s="3419"/>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19"/>
      <c r="Q41" s="1559">
        <f t="shared" si="14"/>
        <v>111</v>
      </c>
      <c r="R41" s="1560" t="s">
        <v>8</v>
      </c>
      <c r="S41" s="1561">
        <f t="shared" si="10"/>
        <v>100</v>
      </c>
      <c r="T41" s="1560" t="s">
        <v>8</v>
      </c>
      <c r="U41" s="1561">
        <f t="shared" si="11"/>
        <v>100</v>
      </c>
      <c r="V41" s="1560" t="s">
        <v>8</v>
      </c>
      <c r="W41" s="1561">
        <f t="shared" si="12"/>
        <v>100</v>
      </c>
      <c r="X41" s="1554"/>
      <c r="Y41" s="3419"/>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19"/>
      <c r="Q42" s="1559">
        <f t="shared" si="14"/>
        <v>111</v>
      </c>
      <c r="R42" s="1564" t="s">
        <v>8</v>
      </c>
      <c r="S42" s="1565">
        <f t="shared" si="10"/>
        <v>100</v>
      </c>
      <c r="T42" s="1564" t="s">
        <v>8</v>
      </c>
      <c r="U42" s="1565">
        <f t="shared" si="11"/>
        <v>100</v>
      </c>
      <c r="V42" s="1564" t="s">
        <v>8</v>
      </c>
      <c r="W42" s="1565">
        <f t="shared" si="12"/>
        <v>100</v>
      </c>
      <c r="X42" s="1566"/>
      <c r="Y42" s="3419"/>
      <c r="Z42" s="1567">
        <f t="shared" si="13"/>
        <v>111</v>
      </c>
      <c r="AA42" s="1563">
        <f t="shared" si="3"/>
        <v>1</v>
      </c>
      <c r="AB42" s="1563">
        <f t="shared" si="4"/>
        <v>1</v>
      </c>
      <c r="AC42" s="1563">
        <f t="shared" si="5"/>
        <v>1</v>
      </c>
    </row>
    <row r="43" spans="1:29" ht="15">
      <c r="A43" s="607" t="s">
        <v>556</v>
      </c>
      <c r="B43" s="608" t="s">
        <v>2936</v>
      </c>
      <c r="C43" s="609" t="s">
        <v>1</v>
      </c>
      <c r="D43" s="610"/>
      <c r="E43" s="611"/>
      <c r="F43" s="612"/>
      <c r="G43" s="613"/>
      <c r="H43" s="614"/>
      <c r="I43" s="611"/>
      <c r="J43" s="614"/>
      <c r="K43" s="1336"/>
      <c r="L43" s="2130"/>
      <c r="M43" s="2120"/>
      <c r="N43" s="2120"/>
      <c r="O43" s="2131"/>
      <c r="P43" s="3414" t="str">
        <f>A43</f>
        <v>成交单价</v>
      </c>
      <c r="Q43" s="3414"/>
      <c r="R43" s="3428">
        <f>E43</f>
        <v>0</v>
      </c>
      <c r="S43" s="3428"/>
      <c r="T43" s="3428">
        <f>G43</f>
        <v>0</v>
      </c>
      <c r="U43" s="3428"/>
      <c r="V43" s="3428">
        <f>I43</f>
        <v>0</v>
      </c>
      <c r="W43" s="3428"/>
      <c r="X43" s="1546"/>
      <c r="Y43" s="1568"/>
      <c r="Z43" s="1546"/>
      <c r="AA43" s="1546"/>
      <c r="AB43" s="1546"/>
      <c r="AC43" s="1546"/>
    </row>
    <row r="44" spans="1:29" ht="15.75" thickBot="1">
      <c r="A44" s="615" t="s">
        <v>2693</v>
      </c>
      <c r="B44" s="616"/>
      <c r="C44" s="617" t="e">
        <f>R45</f>
        <v>#DIV/0!</v>
      </c>
      <c r="D44" s="618"/>
      <c r="E44" s="617" t="e">
        <f>R44</f>
        <v>#DIV/0!</v>
      </c>
      <c r="F44" s="619"/>
      <c r="G44" s="620" t="e">
        <f>T44</f>
        <v>#DIV/0!</v>
      </c>
      <c r="H44" s="618"/>
      <c r="I44" s="617" t="e">
        <f>V44</f>
        <v>#DIV/0!</v>
      </c>
      <c r="J44" s="618"/>
      <c r="K44" s="1337"/>
      <c r="L44" s="2130"/>
      <c r="M44" s="2120"/>
      <c r="N44" s="2120"/>
      <c r="O44" s="2131"/>
      <c r="P44" s="3414" t="str">
        <f>A44</f>
        <v>比较价格（元/平方米）</v>
      </c>
      <c r="Q44" s="3414"/>
      <c r="R44" s="3438" t="e">
        <f>ROUND(PRODUCT(R43,AA9:AA42),0)</f>
        <v>#DIV/0!</v>
      </c>
      <c r="S44" s="3438"/>
      <c r="T44" s="3438" t="e">
        <f>ROUND(PRODUCT(T43,AB9:AB42),0)</f>
        <v>#DIV/0!</v>
      </c>
      <c r="U44" s="3438"/>
      <c r="V44" s="3438" t="e">
        <f>ROUND(PRODUCT(V43,AC9:AC42),0)</f>
        <v>#DIV/0!</v>
      </c>
      <c r="W44" s="3438"/>
      <c r="X44" s="1546"/>
      <c r="Y44" s="1546"/>
      <c r="Z44" s="1546"/>
      <c r="AA44" s="1546"/>
      <c r="AB44" s="1546"/>
      <c r="AC44" s="1546"/>
    </row>
    <row r="45" spans="1:29" ht="15.75" thickBot="1">
      <c r="A45" s="621" t="s">
        <v>2937</v>
      </c>
      <c r="B45" s="622"/>
      <c r="C45" s="623" t="e">
        <f>R45</f>
        <v>#DIV/0!</v>
      </c>
      <c r="D45" s="623"/>
      <c r="E45" s="623"/>
      <c r="F45" s="623"/>
      <c r="G45" s="623"/>
      <c r="H45" s="623"/>
      <c r="I45" s="623"/>
      <c r="J45" s="623"/>
      <c r="K45" s="1338"/>
      <c r="L45" s="2130"/>
      <c r="M45" s="2120"/>
      <c r="N45" s="2120"/>
      <c r="O45" s="2131"/>
      <c r="P45" s="3435" t="str">
        <f>A45</f>
        <v>估价对象XX用房的比较价格（楼面单价，元/平方米）</v>
      </c>
      <c r="Q45" s="3436"/>
      <c r="R45" s="3437" t="e">
        <f>ROUND(AVERAGE(R44:V44),0)</f>
        <v>#DIV/0!</v>
      </c>
      <c r="S45" s="3437"/>
      <c r="T45" s="3437"/>
      <c r="U45" s="3437"/>
      <c r="V45" s="3437"/>
      <c r="W45" s="3437"/>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2293</v>
      </c>
      <c r="E52" s="631" t="s">
        <v>562</v>
      </c>
      <c r="F52" s="1937" t="s">
        <v>563</v>
      </c>
      <c r="G52" s="3439" t="s">
        <v>2284</v>
      </c>
      <c r="H52" s="3440"/>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10288.000000000002</v>
      </c>
      <c r="F53" s="1936" t="e">
        <f t="shared" ref="F53:F62" si="15">ROUND(B53*E53/10000,0)</f>
        <v>#DIV/0!</v>
      </c>
      <c r="G53" s="3441"/>
      <c r="H53" s="3442"/>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43"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43"/>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43"/>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43"/>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2294</v>
      </c>
      <c r="E63" s="643">
        <f>IF(B43="楼面地价",SUM(E53:E62),'数据-汇总表'!D3)</f>
        <v>15557.09</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2021-8-1</v>
      </c>
      <c r="D65" s="2755">
        <f>EDATE(C65,-3)</f>
        <v>44317</v>
      </c>
      <c r="E65" s="2755">
        <f t="shared" ref="E65:N65" si="18">EDATE(D65,-3)</f>
        <v>44228</v>
      </c>
      <c r="F65" s="2755">
        <f t="shared" si="18"/>
        <v>44136</v>
      </c>
      <c r="G65" s="2755">
        <f t="shared" si="18"/>
        <v>44044</v>
      </c>
      <c r="H65" s="2755">
        <f t="shared" si="18"/>
        <v>43952</v>
      </c>
      <c r="I65" s="2755">
        <f t="shared" si="18"/>
        <v>43862</v>
      </c>
      <c r="J65" s="2755">
        <f t="shared" si="18"/>
        <v>43770</v>
      </c>
      <c r="K65" s="2755">
        <f t="shared" si="18"/>
        <v>43678</v>
      </c>
      <c r="L65" s="2755">
        <f t="shared" si="18"/>
        <v>43586</v>
      </c>
      <c r="M65" s="2755">
        <f t="shared" si="18"/>
        <v>43497</v>
      </c>
      <c r="N65" s="2755">
        <f t="shared" si="18"/>
        <v>43405</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2533</v>
      </c>
      <c r="B67" s="646"/>
      <c r="C67" s="2751" t="str">
        <f>YEAR(C65)&amp;"-"&amp;ROUNDUP(MONTH(C65)/3,0)</f>
        <v>2021-3</v>
      </c>
      <c r="D67" s="2757" t="str">
        <f t="shared" ref="D67:N67" si="19">YEAR(D65)&amp;"-"&amp;ROUNDUP(MONTH(D65)/3,0)</f>
        <v>2021-2</v>
      </c>
      <c r="E67" s="2757" t="str">
        <f t="shared" si="19"/>
        <v>2021-1</v>
      </c>
      <c r="F67" s="2757" t="str">
        <f t="shared" si="19"/>
        <v>2020-4</v>
      </c>
      <c r="G67" s="2757" t="str">
        <f t="shared" si="19"/>
        <v>2020-3</v>
      </c>
      <c r="H67" s="2757" t="str">
        <f t="shared" si="19"/>
        <v>2020-2</v>
      </c>
      <c r="I67" s="2757" t="str">
        <f t="shared" si="19"/>
        <v>2020-1</v>
      </c>
      <c r="J67" s="2757" t="str">
        <f t="shared" si="19"/>
        <v>2019-4</v>
      </c>
      <c r="K67" s="2757" t="str">
        <f t="shared" si="19"/>
        <v>2019-3</v>
      </c>
      <c r="L67" s="2757" t="str">
        <f t="shared" si="19"/>
        <v>2019-2</v>
      </c>
      <c r="M67" s="2757" t="str">
        <f t="shared" si="19"/>
        <v>2019-1</v>
      </c>
      <c r="N67" s="2757" t="str">
        <f t="shared" si="19"/>
        <v>2018-4</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2649</v>
      </c>
      <c r="B68" s="479" t="str">
        <f>"北京市平均增长率"&amp;TEXT(基准地价!P24,"0.00%")</f>
        <v>北京市平均增长率0.00%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2550</v>
      </c>
      <c r="C95" s="2563" t="s">
        <v>2551</v>
      </c>
      <c r="D95" s="2563" t="s">
        <v>2552</v>
      </c>
      <c r="E95" s="2563" t="s">
        <v>2553</v>
      </c>
      <c r="F95" s="2563" t="s">
        <v>2554</v>
      </c>
      <c r="G95" s="2563"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4" t="str">
        <f t="shared" si="25"/>
        <v>(含)-</v>
      </c>
      <c r="L109" s="3045" t="str">
        <f t="shared" si="25"/>
        <v>(含)-</v>
      </c>
      <c r="M109" s="3046"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19" sqref="I1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09">
        <f>SUM(D29:D30,D33:D39)</f>
        <v>0</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2762</v>
      </c>
      <c r="S1" s="2892" t="s">
        <v>2763</v>
      </c>
      <c r="T1" s="2892" t="s">
        <v>2784</v>
      </c>
      <c r="U1" s="2892" t="s">
        <v>2785</v>
      </c>
      <c r="V1" s="2892" t="s">
        <v>2786</v>
      </c>
      <c r="W1" s="2175"/>
      <c r="X1" s="2175"/>
      <c r="Y1" s="2175"/>
      <c r="Z1" s="2175"/>
      <c r="AA1" s="2175"/>
      <c r="AB1" s="2175"/>
      <c r="AC1" s="2176"/>
    </row>
    <row r="2" spans="1:39" ht="15.75">
      <c r="A2" s="1403" t="s">
        <v>920</v>
      </c>
      <c r="B2" s="1038" t="e">
        <f ca="1">C26</f>
        <v>#DIV/0!</v>
      </c>
      <c r="C2" s="1404" t="s">
        <v>921</v>
      </c>
      <c r="D2" s="1405" t="s">
        <v>922</v>
      </c>
      <c r="E2" s="1406" t="s">
        <v>981</v>
      </c>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t="e">
        <f>ROUND(IF(G3&gt;1,IF(R2&lt;7,SUMPRODUCT((B93:B98=R2)*(C92:N92=G2)*(C93:N98)),SUMIF(C92:N92,G2,C100:N100)),IF(R2&lt;7,SUMPRODUCT((B102:B107=R2)*(C92:N92=G2)*(C102:N107)),SUMIF(C92:N92,G2,C109:N109))),4)</f>
        <v>#DIV/0!</v>
      </c>
      <c r="T2" s="2893" t="e">
        <f ca="1">ROUND($C$5*$C$18*$C$19*$C$20*S2*$C$24,0)</f>
        <v>#DIV/0!</v>
      </c>
      <c r="U2" s="2882"/>
      <c r="V2" s="2893" t="e">
        <f ca="1">ROUND(T2*U2/10000,0)</f>
        <v>#DIV/0!</v>
      </c>
      <c r="W2" s="2175"/>
      <c r="X2" s="2175"/>
      <c r="Y2" s="2175"/>
      <c r="Z2" s="2175"/>
      <c r="AA2" s="2175"/>
      <c r="AB2" s="2175"/>
      <c r="AC2" s="2176"/>
    </row>
    <row r="3" spans="1:39" ht="15.75">
      <c r="A3" s="1408" t="s">
        <v>1687</v>
      </c>
      <c r="B3" s="1038" t="e">
        <f ca="1">ROUND(B2*10000/D1,0)</f>
        <v>#DIV/0!</v>
      </c>
      <c r="C3" s="1404" t="s">
        <v>927</v>
      </c>
      <c r="D3" s="1405" t="s">
        <v>928</v>
      </c>
      <c r="E3" s="1409" t="s">
        <v>3159</v>
      </c>
      <c r="F3" s="1410"/>
      <c r="G3" s="1039">
        <f>IF(F3="宗地容积率",'数据-汇总表'!I4,IF(F3="估价对象容积率",'数据-汇总表'!I6,'数据-汇总表'!I7))</f>
        <v>0</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t="e">
        <f>ROUND(IF(G3&gt;1,IF(R3&lt;7,SUMPRODUCT((B93:B98=R3)*(C92:N92=G2)*(C93:N98)),SUMIF(C92:N92,G2,C100:N100)),IF(R3&lt;7,SUMPRODUCT((B102:B107=R3)*(C92:N92=G2)*(C102:N107)),SUMIF(C92:N92,G2,C109:N109))),4)</f>
        <v>#DIV/0!</v>
      </c>
      <c r="T3" s="2893" t="e">
        <f t="shared" ref="T3:T16" ca="1" si="0">ROUND($C$5*$C$18*$C$19*$C$20*S3*$C$24,0)</f>
        <v>#DIV/0!</v>
      </c>
      <c r="U3" s="2882"/>
      <c r="V3" s="2893" t="e">
        <f t="shared" ref="V3:V16" ca="1" si="1">ROUND(T3*U3/10000,0)</f>
        <v>#DIV/0!</v>
      </c>
      <c r="W3" s="2175"/>
      <c r="X3" s="2175"/>
      <c r="Y3" s="2175"/>
      <c r="Z3" s="2175"/>
      <c r="AA3" s="2175"/>
      <c r="AB3" s="2175"/>
      <c r="AC3" s="2176"/>
    </row>
    <row r="4" spans="1:39" ht="28.5">
      <c r="A4" s="1877" t="s">
        <v>2280</v>
      </c>
      <c r="B4" s="2418" t="e">
        <f ca="1">ROUND(B2*10000/F1,0)</f>
        <v>#DIV/0!</v>
      </c>
      <c r="C4" s="1880" t="s">
        <v>2254</v>
      </c>
      <c r="D4" s="1880" t="e">
        <f ca="1">ROUND(B2/(F1/666.67),0)</f>
        <v>#DIV/0!</v>
      </c>
      <c r="E4" s="1880" t="s">
        <v>2255</v>
      </c>
      <c r="F4" s="1878"/>
      <c r="G4" s="1878"/>
      <c r="H4" s="1878"/>
      <c r="I4" s="1878"/>
      <c r="J4" s="1879"/>
      <c r="K4" s="3148"/>
      <c r="L4" s="1871" t="s">
        <v>2241</v>
      </c>
      <c r="M4" s="1872">
        <f>SUMPRODUCT((区片价!B49:B75=I2)*(区片价!C3:F3=E2)*(区片价!C49:F75))</f>
        <v>0</v>
      </c>
      <c r="N4" s="1873">
        <f>SUMPRODUCT((因素修正幅度!B49:B75=I2)*(因素修正幅度!C3:F3=E2)*(因素修正幅度!C49:F75))</f>
        <v>0</v>
      </c>
      <c r="O4" s="3148"/>
      <c r="P4" s="1398"/>
      <c r="Q4" s="2175"/>
      <c r="R4" s="2893">
        <v>3</v>
      </c>
      <c r="S4" s="2893" t="e">
        <f>ROUND(IF(G3&gt;1,IF(R4&lt;7,SUMPRODUCT((B93:B98=R4)*(C92:N92=G2)*(C93:N98)),SUMIF(C92:N92,G2,C100:N100)),IF(R4&lt;7,SUMPRODUCT((B102:B107=R4)*(C92:N92=G2)*(C102:N107)),SUMIF(C92:N92,G2,C109:N109))),4)</f>
        <v>#DIV/0!</v>
      </c>
      <c r="T4" s="2893" t="e">
        <f t="shared" ca="1" si="0"/>
        <v>#DIV/0!</v>
      </c>
      <c r="U4" s="2882"/>
      <c r="V4" s="2893" t="e">
        <f t="shared" ca="1"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2" t="e">
        <f>ROUND(C6+C16,0)</f>
        <v>#DIV/0!</v>
      </c>
      <c r="E5" s="3072"/>
      <c r="F5" s="1413"/>
      <c r="G5" s="1414"/>
      <c r="H5" s="1414"/>
      <c r="I5" s="1414"/>
      <c r="J5" s="1415"/>
      <c r="K5" s="3149"/>
      <c r="L5" s="1871" t="s">
        <v>2242</v>
      </c>
      <c r="M5" s="1872">
        <f>SUMPRODUCT((区片价!B76:B109=I2)*(区片价!C3:F3=E2)*(区片价!C76:F109))</f>
        <v>0</v>
      </c>
      <c r="N5" s="1873">
        <f>SUMPRODUCT((因素修正幅度!B76:B109=I2)*(因素修正幅度!C3:F3=E2)*(因素修正幅度!C76:F109))</f>
        <v>0</v>
      </c>
      <c r="O5" s="3149"/>
      <c r="P5" s="1581"/>
      <c r="Q5" s="2175"/>
      <c r="R5" s="2893">
        <v>4</v>
      </c>
      <c r="S5" s="2893" t="e">
        <f>ROUND(IF(G3&gt;1,IF(R5&lt;7,SUMPRODUCT((B93:B98=R5)*(C92:N92=G2)*(C93:N98)),SUMIF(C92:N92,G2,C100:N100)),IF(R5&lt;7,SUMPRODUCT((B102:B107=R5)*(C92:N92=G2)*(C102:N107)),SUMIF(C92:N92,G2,C109:N109))),4)</f>
        <v>#DIV/0!</v>
      </c>
      <c r="T5" s="2893" t="e">
        <f t="shared" ca="1" si="0"/>
        <v>#DIV/0!</v>
      </c>
      <c r="U5" s="2882"/>
      <c r="V5" s="2893" t="e">
        <f t="shared" ca="1"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t="e">
        <f>ROUND(IF(G3&gt;1,IF(R6&lt;7,SUMPRODUCT((B93:B98=R6)*(C92:N92=G2)*(C93:N98)),SUMIF(C92:N92,G2,C100:N100)),IF(R6&lt;7,SUMPRODUCT((B102:B107=R6)*(C92:N92=G2)*(C102:N107)),SUMIF(C92:N92,G2,C109:N109))),4)</f>
        <v>#DIV/0!</v>
      </c>
      <c r="T6" s="2893" t="e">
        <f t="shared" ca="1" si="0"/>
        <v>#DIV/0!</v>
      </c>
      <c r="U6" s="2882"/>
      <c r="V6" s="2893" t="e">
        <f t="shared" ca="1" si="1"/>
        <v>#DIV/0!</v>
      </c>
      <c r="W6" s="2175"/>
      <c r="X6" s="2175"/>
      <c r="Y6" s="2175"/>
      <c r="Z6" s="2175"/>
      <c r="AA6" s="2175"/>
      <c r="AB6" s="2175"/>
      <c r="AC6" s="2177"/>
      <c r="AD6" s="1416"/>
      <c r="AE6" s="1416"/>
      <c r="AF6" s="1416"/>
      <c r="AG6" s="1416"/>
      <c r="AH6" s="1416"/>
      <c r="AI6" s="1416"/>
      <c r="AJ6" s="1417"/>
    </row>
    <row r="7" spans="1:39" ht="24">
      <c r="A7" s="3451"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t="e">
        <f>ROUND(IF(G3&gt;1,IF(R7&lt;7,SUMPRODUCT((B93:B98=R7)*(C92:N92=G2)*(C93:N98)),SUMIF(C92:N92,G2,C100:N100)),IF(R7&lt;7,SUMPRODUCT((B102:B107=R7)*(C92:N92=G2)*(C102:N107)),SUMIF(C92:N92,G2,C109:N109))),4)</f>
        <v>#DIV/0!</v>
      </c>
      <c r="T7" s="2893" t="e">
        <f t="shared" ca="1" si="0"/>
        <v>#DIV/0!</v>
      </c>
      <c r="U7" s="2882"/>
      <c r="V7" s="2893" t="e">
        <f t="shared" ca="1" si="1"/>
        <v>#DIV/0!</v>
      </c>
      <c r="W7" s="2891" t="s">
        <v>2765</v>
      </c>
      <c r="X7" s="2883">
        <f>G2</f>
        <v>0</v>
      </c>
      <c r="Y7" s="2883" t="s">
        <v>2766</v>
      </c>
      <c r="Z7" s="2884">
        <f>G3</f>
        <v>0</v>
      </c>
      <c r="AA7" s="2178"/>
      <c r="AB7" s="2178"/>
      <c r="AC7" s="2179"/>
      <c r="AD7" s="2885"/>
      <c r="AE7" s="2885"/>
      <c r="AF7" s="2885"/>
      <c r="AG7" s="2885"/>
      <c r="AH7" s="2885"/>
      <c r="AI7" s="2885"/>
      <c r="AJ7" s="2886"/>
    </row>
    <row r="8" spans="1:39" ht="15">
      <c r="A8" s="3452"/>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ca="1" si="0"/>
        <v>#DIV/0!</v>
      </c>
      <c r="U8" s="2882"/>
      <c r="V8" s="2893" t="e">
        <f t="shared" ca="1" si="1"/>
        <v>#DIV/0!</v>
      </c>
      <c r="W8" s="3462" t="s">
        <v>2783</v>
      </c>
      <c r="X8" s="3463"/>
      <c r="Y8" s="1835" t="s">
        <v>2767</v>
      </c>
      <c r="Z8" s="1835" t="s">
        <v>2768</v>
      </c>
      <c r="AA8" s="1835" t="s">
        <v>2769</v>
      </c>
      <c r="AB8" s="1835" t="s">
        <v>2770</v>
      </c>
      <c r="AC8" s="1835" t="s">
        <v>2771</v>
      </c>
      <c r="AD8" s="1835" t="s">
        <v>2772</v>
      </c>
      <c r="AE8" s="1835" t="s">
        <v>2773</v>
      </c>
      <c r="AF8" s="1835" t="s">
        <v>2774</v>
      </c>
      <c r="AG8" s="1835" t="s">
        <v>2775</v>
      </c>
      <c r="AH8" s="1835" t="s">
        <v>2776</v>
      </c>
      <c r="AI8" s="1835" t="s">
        <v>2777</v>
      </c>
      <c r="AJ8" s="1835" t="s">
        <v>2778</v>
      </c>
    </row>
    <row r="9" spans="1:39" ht="15">
      <c r="A9" s="3452"/>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ca="1" si="0"/>
        <v>#DIV/0!</v>
      </c>
      <c r="U9" s="2882"/>
      <c r="V9" s="2893" t="e">
        <f t="shared" ca="1" si="1"/>
        <v>#DIV/0!</v>
      </c>
      <c r="W9" s="3461" t="s">
        <v>2779</v>
      </c>
      <c r="X9" s="2887" t="s">
        <v>2780</v>
      </c>
      <c r="Y9" s="3050"/>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52"/>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ca="1" si="0"/>
        <v>#DIV/0!</v>
      </c>
      <c r="U10" s="2882"/>
      <c r="V10" s="2893" t="e">
        <f t="shared" ca="1" si="1"/>
        <v>#DIV/0!</v>
      </c>
      <c r="W10" s="3461"/>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52"/>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ca="1" si="0"/>
        <v>#DIV/0!</v>
      </c>
      <c r="U11" s="2882"/>
      <c r="V11" s="2893" t="e">
        <f t="shared" ca="1" si="1"/>
        <v>#DIV/0!</v>
      </c>
      <c r="W11" s="3461" t="s">
        <v>2781</v>
      </c>
      <c r="X11" s="1048" t="s">
        <v>2766</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25.5" thickBot="1">
      <c r="A12" s="3451"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ca="1" si="0"/>
        <v>#DIV/0!</v>
      </c>
      <c r="U12" s="2882"/>
      <c r="V12" s="2893" t="e">
        <f t="shared" ca="1" si="1"/>
        <v>#DIV/0!</v>
      </c>
      <c r="W12" s="3461"/>
      <c r="X12" s="2890" t="s">
        <v>2782</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53"/>
      <c r="B13" s="1441" t="s">
        <v>1696</v>
      </c>
      <c r="C13" s="1442" t="s">
        <v>1697</v>
      </c>
      <c r="D13" s="1085" t="s">
        <v>1698</v>
      </c>
      <c r="E13" s="1085" t="s">
        <v>1699</v>
      </c>
      <c r="F13" s="1443" t="s">
        <v>948</v>
      </c>
      <c r="G13" s="1444" t="s">
        <v>1642</v>
      </c>
      <c r="H13" s="1445" t="s">
        <v>1642</v>
      </c>
      <c r="I13" s="1446" t="s">
        <v>1642</v>
      </c>
      <c r="J13" s="1447" t="s">
        <v>1642</v>
      </c>
      <c r="K13" s="3164"/>
      <c r="L13" s="3164"/>
      <c r="M13" s="3164"/>
      <c r="N13" s="3164"/>
      <c r="O13" s="3164"/>
      <c r="P13" s="1398"/>
      <c r="Q13" s="2175"/>
      <c r="R13" s="2893">
        <v>12</v>
      </c>
      <c r="S13" s="2882"/>
      <c r="T13" s="2893" t="e">
        <f t="shared" ca="1" si="0"/>
        <v>#DIV/0!</v>
      </c>
      <c r="U13" s="2882"/>
      <c r="V13" s="2893" t="e">
        <f t="shared" ca="1" si="1"/>
        <v>#DIV/0!</v>
      </c>
      <c r="W13" s="3461"/>
      <c r="X13" s="2890"/>
      <c r="Y13" s="2889" t="e">
        <f>(-0.163*(Y12^2)-0.59*Y12+7617)*(10^(-4))/Y11</f>
        <v>#DIV/0!</v>
      </c>
      <c r="Z13" s="2889" t="e">
        <f t="shared" ref="Z13:AJ13" si="5">(-0.163*(Z12^2)-0.59*Z12+7617)*(10^(-4))/Z11</f>
        <v>#DIV/0!</v>
      </c>
      <c r="AA13" s="2889" t="e">
        <f t="shared" si="5"/>
        <v>#DIV/0!</v>
      </c>
      <c r="AB13" s="2889" t="e">
        <f t="shared" si="5"/>
        <v>#DIV/0!</v>
      </c>
      <c r="AC13" s="2889" t="e">
        <f t="shared" si="5"/>
        <v>#DIV/0!</v>
      </c>
      <c r="AD13" s="2889" t="e">
        <f t="shared" si="5"/>
        <v>#DIV/0!</v>
      </c>
      <c r="AE13" s="2889" t="e">
        <f t="shared" si="5"/>
        <v>#DIV/0!</v>
      </c>
      <c r="AF13" s="2889" t="e">
        <f t="shared" si="5"/>
        <v>#DIV/0!</v>
      </c>
      <c r="AG13" s="2889" t="e">
        <f t="shared" si="5"/>
        <v>#DIV/0!</v>
      </c>
      <c r="AH13" s="2889" t="e">
        <f t="shared" si="5"/>
        <v>#DIV/0!</v>
      </c>
      <c r="AI13" s="2889" t="e">
        <f t="shared" si="5"/>
        <v>#DIV/0!</v>
      </c>
      <c r="AJ13" s="2889" t="e">
        <f t="shared" si="5"/>
        <v>#DIV/0!</v>
      </c>
    </row>
    <row r="14" spans="1:39" ht="12.75" customHeight="1">
      <c r="A14" s="3453"/>
      <c r="B14" s="1448"/>
      <c r="C14" s="1449"/>
      <c r="D14" s="1450"/>
      <c r="E14" s="1450"/>
      <c r="F14" s="1451"/>
      <c r="G14" s="1452" t="s">
        <v>949</v>
      </c>
      <c r="H14" s="1453"/>
      <c r="I14" s="1454"/>
      <c r="J14" s="1455"/>
      <c r="K14" s="3150"/>
      <c r="L14" s="3150"/>
      <c r="M14" s="3150"/>
      <c r="N14" s="3150"/>
      <c r="O14" s="3150"/>
      <c r="P14" s="1398"/>
      <c r="Q14" s="2175"/>
      <c r="R14" s="2893">
        <v>13</v>
      </c>
      <c r="S14" s="2882"/>
      <c r="T14" s="2893" t="e">
        <f t="shared" ca="1" si="0"/>
        <v>#DIV/0!</v>
      </c>
      <c r="U14" s="2882"/>
      <c r="V14" s="2893" t="e">
        <f t="shared" ca="1" si="1"/>
        <v>#DIV/0!</v>
      </c>
      <c r="W14" s="2175"/>
      <c r="X14" s="2175"/>
      <c r="Y14" s="2175"/>
      <c r="Z14" s="2175"/>
      <c r="AA14" s="2175"/>
      <c r="AB14" s="2175"/>
      <c r="AC14" s="2176"/>
    </row>
    <row r="15" spans="1:39" ht="13.5" customHeight="1" thickBot="1">
      <c r="A15" s="3454"/>
      <c r="B15" s="3169" t="s">
        <v>1700</v>
      </c>
      <c r="C15" s="1049">
        <f>IF(C14="有",1.1,1)</f>
        <v>1</v>
      </c>
      <c r="D15" s="1049">
        <f>IF(D14="有",1.1,1)</f>
        <v>1</v>
      </c>
      <c r="E15" s="1049">
        <f>IF(E14="有",1.1,1)</f>
        <v>1</v>
      </c>
      <c r="F15" s="1049">
        <f>IF(F14="500米范围内",1.2,IF(F14="500-1000米",1.1,1))</f>
        <v>1</v>
      </c>
      <c r="G15" s="3161">
        <v>1</v>
      </c>
      <c r="H15" s="3161">
        <v>1</v>
      </c>
      <c r="I15" s="3161">
        <v>1</v>
      </c>
      <c r="J15" s="3162">
        <v>1</v>
      </c>
      <c r="K15" s="3165"/>
      <c r="L15" s="3165"/>
      <c r="M15" s="3165"/>
      <c r="N15" s="3165"/>
      <c r="O15" s="3165"/>
      <c r="P15" s="1398"/>
      <c r="Q15" s="2175"/>
      <c r="R15" s="2893">
        <v>14</v>
      </c>
      <c r="S15" s="2882"/>
      <c r="T15" s="2893" t="e">
        <f t="shared" ca="1" si="0"/>
        <v>#DIV/0!</v>
      </c>
      <c r="U15" s="2882"/>
      <c r="V15" s="2893" t="e">
        <f t="shared" ca="1" si="1"/>
        <v>#DIV/0!</v>
      </c>
      <c r="W15" s="2175"/>
      <c r="X15" s="2175"/>
      <c r="Y15" s="2175"/>
      <c r="Z15" s="2175"/>
      <c r="AA15" s="2175"/>
      <c r="AB15" s="2175"/>
      <c r="AC15" s="2176"/>
    </row>
    <row r="16" spans="1:39" ht="24.6" customHeight="1">
      <c r="A16" s="3451" t="s">
        <v>1838</v>
      </c>
      <c r="B16" s="1424" t="s">
        <v>950</v>
      </c>
      <c r="C16" s="1052" t="e">
        <f>ROUND(IF(F17="与级别开发程度一致",0,(G17-E17)/C17),0)</f>
        <v>#DIV/0!</v>
      </c>
      <c r="D16" s="3469" t="s">
        <v>954</v>
      </c>
      <c r="E16" s="3470"/>
      <c r="F16" s="3469" t="s">
        <v>951</v>
      </c>
      <c r="G16" s="3470"/>
      <c r="H16" s="1456"/>
      <c r="I16" s="1456"/>
      <c r="J16" s="1456"/>
      <c r="K16" s="1456"/>
      <c r="L16" s="1456"/>
      <c r="M16" s="1456"/>
      <c r="N16" s="1456"/>
      <c r="O16" s="3174"/>
      <c r="P16" s="1398"/>
      <c r="Q16" s="2178"/>
      <c r="R16" s="2893">
        <v>15</v>
      </c>
      <c r="S16" s="2882"/>
      <c r="T16" s="2893" t="e">
        <f t="shared" ca="1" si="0"/>
        <v>#DIV/0!</v>
      </c>
      <c r="U16" s="2882"/>
      <c r="V16" s="2893" t="e">
        <f t="shared" ca="1" si="1"/>
        <v>#DIV/0!</v>
      </c>
      <c r="W16" s="2178"/>
      <c r="X16" s="2178"/>
      <c r="Y16" s="2178"/>
      <c r="Z16" s="2178"/>
      <c r="AA16" s="2178"/>
      <c r="AB16" s="2178"/>
      <c r="AC16" s="2179"/>
    </row>
    <row r="17" spans="1:40" ht="13.5" thickBot="1">
      <c r="A17" s="3455"/>
      <c r="B17" s="3175" t="s">
        <v>953</v>
      </c>
      <c r="C17" s="3176">
        <f>SUMPRODUCT((修正!A2:A5=E2)*(修正!B1:M1=G2)*(修正!B2:M5))</f>
        <v>0</v>
      </c>
      <c r="D17" s="3177" t="str">
        <f>IF(OR(G2="八级",G2="九级",G2="十级",G2="十一级",G2="十二级"),"五通一平","七通一平")</f>
        <v>七通一平</v>
      </c>
      <c r="E17" s="3167">
        <f>SUMPRODUCT((修正!B1:M1=G2)*(修正!B15:M15))</f>
        <v>0</v>
      </c>
      <c r="F17" s="3168"/>
      <c r="G17" s="3167">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8">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0" t="s">
        <v>955</v>
      </c>
      <c r="C18" s="3171">
        <f>SUMIF(修正!C18:C39,E3,修正!E18:E39)</f>
        <v>1</v>
      </c>
      <c r="D18" s="3172"/>
      <c r="E18" s="3173"/>
      <c r="F18" s="3155"/>
      <c r="G18" s="3149"/>
      <c r="H18" s="3149"/>
      <c r="I18" s="3149"/>
      <c r="J18" s="3163"/>
      <c r="K18" s="3149"/>
      <c r="L18" s="3149"/>
      <c r="M18" s="3149"/>
      <c r="N18" s="3149"/>
      <c r="O18" s="3149"/>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ROUND(IF(H19="按公示增长率计算",SUMPRODUCT((地价!A3:A27=YEAR(G19)&amp;"-"&amp;ROUNDUP(MONTH(G19)/3,0))*(地价!X2:AB2=E2)*(地价!X3:AB27)),IF(H19="地价指数",M20/M19,(1+I19)^O19)),4)</f>
        <v>0</v>
      </c>
      <c r="D19" s="1463" t="s">
        <v>957</v>
      </c>
      <c r="E19" s="1054">
        <v>41640</v>
      </c>
      <c r="F19" s="1463" t="s">
        <v>958</v>
      </c>
      <c r="G19" s="1055">
        <f>'数据-取费表'!B2</f>
        <v>44435</v>
      </c>
      <c r="H19" s="1464" t="s">
        <v>3160</v>
      </c>
      <c r="I19" s="2741" t="str">
        <f>IF(H19="季度增幅（自定义）",SUMIF(N21:N24,E2,O21:O24),"")</f>
        <v/>
      </c>
      <c r="J19" s="1460"/>
      <c r="K19" s="3149"/>
      <c r="L19" s="2992" t="s">
        <v>2841</v>
      </c>
      <c r="M19" s="2993">
        <f>ROUND(SUMIF(地价!B2:F2,E2,地价!B27:F27),0)</f>
        <v>230</v>
      </c>
      <c r="N19" s="2743" t="s">
        <v>1676</v>
      </c>
      <c r="O19" s="2742">
        <f>ROUNDDOWN(DATEDIF(E19,G19,"M")/3,0)</f>
        <v>30</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f ca="1">ROUND(POWER(1+G20,J20-I20)*(POWER(1+G20,I20)-1)/(POWER(1+G20,J20)-1),4)</f>
        <v>0</v>
      </c>
      <c r="D20" s="2738" t="s">
        <v>972</v>
      </c>
      <c r="E20" s="3047">
        <f ca="1">存贷款利率!I4/100</f>
        <v>4.3499999999999997E-2</v>
      </c>
      <c r="F20" s="2738" t="s">
        <v>973</v>
      </c>
      <c r="G20" s="2739">
        <f ca="1">SUMIF(M26:P26,E2,M28:P28)</f>
        <v>4.8000000000000001E-2</v>
      </c>
      <c r="H20" s="2738" t="s">
        <v>974</v>
      </c>
      <c r="I20" s="2734">
        <f>SUMIF('数据-取费表'!C6:C15,E2,'数据-取费表'!F6:F15)/COUNTIF('数据-取费表'!C6:C15,E2)</f>
        <v>0</v>
      </c>
      <c r="J20" s="2740">
        <f>IF(E2="住宅",70,IF(E2="商业",40,50))</f>
        <v>50</v>
      </c>
      <c r="K20" s="3151"/>
      <c r="L20" s="2994" t="s">
        <v>2842</v>
      </c>
      <c r="M20" s="3158">
        <f>ROUND(SUMPRODUCT((地价!A4:A27=YEAR(G19)&amp;"-"&amp;ROUNDUP(MONTH(G19)/3,0))*(地价!B2:F2=E2)*(地价!B4:F27)),0)</f>
        <v>0</v>
      </c>
      <c r="N20" s="2746" t="s">
        <v>2645</v>
      </c>
      <c r="O20" s="2744" t="s">
        <v>2644</v>
      </c>
      <c r="P20" s="2745" t="s">
        <v>2650</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2761</v>
      </c>
      <c r="C21" s="1154">
        <f>IF(B21="容积率修正",IF(G3&lt;=10,D22,J22),C23)</f>
        <v>0</v>
      </c>
      <c r="D21" s="1470"/>
      <c r="E21" s="1470"/>
      <c r="F21" s="1470"/>
      <c r="G21" s="1470"/>
      <c r="H21" s="1470"/>
      <c r="I21" s="1470"/>
      <c r="J21" s="1471"/>
      <c r="K21" s="3149"/>
      <c r="L21" s="1470"/>
      <c r="M21" s="1470"/>
      <c r="N21" s="1467" t="s">
        <v>975</v>
      </c>
      <c r="O21" s="1530"/>
      <c r="P21" s="2733">
        <f>SUMPRODUCT((地价!A3:A27=YEAR(G19)&amp;"-"&amp;ROUNDUP(MONTH(G19)/3,0))*(地价!AD2:AH2=N21)*(地价!AD3:AH27))</f>
        <v>0</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f>IF(E22=G22,F22,IF(G3&lt;=10,ROUND(F22+(H22-F22)*(G3-E22)/(G22-E22),4),"——"))</f>
        <v>0</v>
      </c>
      <c r="E22" s="1039">
        <f>ROUNDDOWN(G3,1)</f>
        <v>0</v>
      </c>
      <c r="F22" s="10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2"/>
      <c r="L22" s="1470"/>
      <c r="M22" s="1470"/>
      <c r="N22" s="1467" t="s">
        <v>978</v>
      </c>
      <c r="O22" s="1530"/>
      <c r="P22" s="2733">
        <f>SUMPRODUCT((地价!A3:A27=YEAR(G19)&amp;"-"&amp;ROUNDUP(MONTH(G19)/3,0))*(地价!AD2:AH2=N22)*(地价!AD3:AH27))</f>
        <v>0</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3"/>
      <c r="L23" s="1398"/>
      <c r="M23" s="1398"/>
      <c r="N23" s="1467" t="s">
        <v>923</v>
      </c>
      <c r="O23" s="1530"/>
      <c r="P23" s="2733">
        <f>SUMPRODUCT((地价!A3:A27=YEAR(G19)&amp;"-"&amp;ROUNDUP(MONTH(G19)/3,0))*(地价!AD2:AH2=N23)*(地价!AD3:AH27))</f>
        <v>0</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1</v>
      </c>
      <c r="D24" s="1523"/>
      <c r="E24" s="1524"/>
      <c r="F24" s="1524"/>
      <c r="G24" s="1524"/>
      <c r="H24" s="1524"/>
      <c r="I24" s="1524"/>
      <c r="J24" s="1524"/>
      <c r="K24" s="3153"/>
      <c r="L24" s="1470"/>
      <c r="M24" s="1470"/>
      <c r="N24" s="1467" t="s">
        <v>981</v>
      </c>
      <c r="O24" s="3157"/>
      <c r="P24" s="2733">
        <f>SUMPRODUCT((地价!A3:A27=YEAR(G19)&amp;"-"&amp;ROUNDUP(MONTH(G19)/3,0))*(地价!AD2:AH2=N24)*(地价!AD3:AH27))</f>
        <v>0</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59" t="s">
        <v>2648</v>
      </c>
      <c r="O25" s="3160"/>
      <c r="P25" s="2412">
        <f>SUMPRODUCT((地价!A3:A27=YEAR(G19)&amp;"-"&amp;ROUNDUP(MONTH(G19)/3,0))*(地价!AD2:AH2=N25)*(地价!AD3:AH27))</f>
        <v>0</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 ca="1">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 ca="1">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 ca="1">ROUND(C5*C18*C19*C20*C21*C24,0)</f>
        <v>#DIV/0!</v>
      </c>
      <c r="D29" s="1492"/>
      <c r="E29" s="1835" t="e">
        <f ca="1">ROUND(C29*D29/10000,0)</f>
        <v>#DIV/0!</v>
      </c>
      <c r="F29" s="1493" t="s">
        <v>1701</v>
      </c>
      <c r="G29" s="1494"/>
      <c r="H29" s="1494"/>
      <c r="I29" s="1494"/>
      <c r="J29" s="1495"/>
      <c r="K29" s="3154"/>
      <c r="L29" s="3154"/>
      <c r="M29" s="3154"/>
      <c r="N29" s="3154"/>
      <c r="O29" s="3154"/>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 ca="1">ROUND(IF(E2="工业",C29*M39,C29*M38),0)</f>
        <v>#DIV/0!</v>
      </c>
      <c r="D30" s="1498"/>
      <c r="E30" s="1835" t="e">
        <f ca="1">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5"/>
      <c r="L32" s="3155"/>
      <c r="M32" s="3155"/>
      <c r="N32" s="3155"/>
      <c r="O32" s="3155"/>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58" t="s">
        <v>2962</v>
      </c>
      <c r="B33" s="1512" t="s">
        <v>999</v>
      </c>
      <c r="C33" s="1059" t="e">
        <f ca="1">ROUND(D5*C19*C20*C24*F33,0)</f>
        <v>#DIV/0!</v>
      </c>
      <c r="D33" s="1525"/>
      <c r="E33" s="1048" t="e">
        <f ca="1">ROUND(C33*D33/10000,0)</f>
        <v>#DIV/0!</v>
      </c>
      <c r="F33" s="1048">
        <f>SUMIF(修正!A45:A56,G2,修正!B45:B56)</f>
        <v>0</v>
      </c>
      <c r="G33" s="1048" t="e">
        <f t="shared" ref="G33" ca="1" si="6">ROUND(IF(E2="工业",C33*$M$39,C33*$M$38),0)</f>
        <v>#DIV/0!</v>
      </c>
      <c r="H33" s="1048">
        <f>D33</f>
        <v>0</v>
      </c>
      <c r="I33" s="1048" t="e">
        <f ca="1">ROUND(G33*H33/10000,0)</f>
        <v>#DIV/0!</v>
      </c>
      <c r="J33" s="1513"/>
      <c r="K33" s="3156"/>
      <c r="L33" s="3156"/>
      <c r="M33" s="3156"/>
      <c r="N33" s="3156"/>
      <c r="O33" s="3156"/>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59"/>
      <c r="B34" s="1442" t="s">
        <v>1000</v>
      </c>
      <c r="C34" s="1059" t="e">
        <f ca="1">ROUND(D5*C19*C20*C24*F34,0)</f>
        <v>#DIV/0!</v>
      </c>
      <c r="D34" s="1525"/>
      <c r="E34" s="1048" t="e">
        <f t="shared" ref="E34:E39" ca="1" si="7">ROUND(C34*D34/10000,0)</f>
        <v>#DIV/0!</v>
      </c>
      <c r="F34" s="1048">
        <f>SUMIF(修正!A45:A56,G2,修正!C45:C56)</f>
        <v>0</v>
      </c>
      <c r="G34" s="1048" t="e">
        <f ca="1">ROUND(IF(E2="工业",C34*$M$39,C34*$M$38),0)</f>
        <v>#DIV/0!</v>
      </c>
      <c r="H34" s="1048">
        <f t="shared" ref="H34:H39" si="8">D34</f>
        <v>0</v>
      </c>
      <c r="I34" s="1048" t="e">
        <f t="shared" ref="I34:I39" ca="1" si="9">ROUND(G34*H34/10000,0)</f>
        <v>#DIV/0!</v>
      </c>
      <c r="J34" s="1513"/>
      <c r="K34" s="3156"/>
      <c r="L34" s="3156"/>
      <c r="M34" s="3156"/>
      <c r="N34" s="3156"/>
      <c r="O34" s="3156"/>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59"/>
      <c r="B35" s="1442" t="s">
        <v>1001</v>
      </c>
      <c r="C35" s="1059" t="e">
        <f ca="1">ROUND(D5*C19*C20*C24*F35,0)</f>
        <v>#DIV/0!</v>
      </c>
      <c r="D35" s="1525"/>
      <c r="E35" s="1048" t="e">
        <f t="shared" ca="1" si="7"/>
        <v>#DIV/0!</v>
      </c>
      <c r="F35" s="1048">
        <f>SUMIF(修正!A45:A56,G2,修正!D45:D56)</f>
        <v>0</v>
      </c>
      <c r="G35" s="1048" t="e">
        <f ca="1">ROUND(IF(E2="工业",C35*$M$39,C35*$M$38),0)</f>
        <v>#DIV/0!</v>
      </c>
      <c r="H35" s="1048">
        <f t="shared" si="8"/>
        <v>0</v>
      </c>
      <c r="I35" s="1048" t="e">
        <f t="shared" ca="1" si="9"/>
        <v>#DIV/0!</v>
      </c>
      <c r="J35" s="1513"/>
      <c r="K35" s="3156"/>
      <c r="L35" s="3156"/>
      <c r="M35" s="3156"/>
      <c r="N35" s="3156"/>
      <c r="O35" s="3156"/>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60"/>
      <c r="B36" s="1442" t="s">
        <v>1002</v>
      </c>
      <c r="C36" s="1059" t="e">
        <f ca="1">ROUND(D5*C19*C20*C24*F36,0)</f>
        <v>#DIV/0!</v>
      </c>
      <c r="D36" s="1525"/>
      <c r="E36" s="1048" t="e">
        <f t="shared" ca="1" si="7"/>
        <v>#DIV/0!</v>
      </c>
      <c r="F36" s="1048">
        <f>SUMIF(修正!A45:A56,G2,修正!E45:E56)</f>
        <v>0</v>
      </c>
      <c r="G36" s="1048" t="e">
        <f ca="1">ROUND(IF(E2="工业",C36*$M$39,C36*$M$38),0)</f>
        <v>#DIV/0!</v>
      </c>
      <c r="H36" s="1048">
        <f t="shared" si="8"/>
        <v>0</v>
      </c>
      <c r="I36" s="1048" t="e">
        <f t="shared" ca="1" si="9"/>
        <v>#DIV/0!</v>
      </c>
      <c r="J36" s="1513"/>
      <c r="K36" s="3156"/>
      <c r="L36" s="3156"/>
      <c r="M36" s="3156"/>
      <c r="N36" s="3156"/>
      <c r="O36" s="3156"/>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 ca="1">ROUND(D5*C19*C20*C24*F37,0)</f>
        <v>#DIV/0!</v>
      </c>
      <c r="D37" s="1525"/>
      <c r="E37" s="1048" t="e">
        <f t="shared" ca="1" si="7"/>
        <v>#DIV/0!</v>
      </c>
      <c r="F37" s="1059">
        <f>SUMIF(修正!A45:A56,G2,修正!F45:F56)</f>
        <v>0</v>
      </c>
      <c r="G37" s="1048" t="e">
        <f ca="1">ROUND(IF(E2="工业",C37*$M$39,C37*$M$38),0)</f>
        <v>#DIV/0!</v>
      </c>
      <c r="H37" s="1048">
        <f t="shared" si="8"/>
        <v>0</v>
      </c>
      <c r="I37" s="1048" t="e">
        <f t="shared" ca="1"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 ca="1">ROUND(D5*C19*C41*C24*F38,0)</f>
        <v>#DIV/0!</v>
      </c>
      <c r="D38" s="1525"/>
      <c r="E38" s="1048" t="e">
        <f t="shared" ca="1" si="7"/>
        <v>#DIV/0!</v>
      </c>
      <c r="F38" s="1059">
        <f>SUMIF(修正!A45:A56,G2,修正!G45:G56)</f>
        <v>0</v>
      </c>
      <c r="G38" s="1048" t="e">
        <f ca="1">ROUND(IF(E2="工业",C38*$M$39,C38*$M$38),0)</f>
        <v>#DIV/0!</v>
      </c>
      <c r="H38" s="1048">
        <f t="shared" si="8"/>
        <v>0</v>
      </c>
      <c r="I38" s="1048" t="e">
        <f t="shared" ca="1"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 ca="1">ROUND(D5*C19*C41*C24*F39,0)</f>
        <v>#DIV/0!</v>
      </c>
      <c r="D39" s="1526"/>
      <c r="E39" s="1051" t="e">
        <f t="shared" ca="1" si="7"/>
        <v>#DIV/0!</v>
      </c>
      <c r="F39" s="1061">
        <f>SUMIF(修正!A45:A56,G2,修正!H45:H56)</f>
        <v>0</v>
      </c>
      <c r="G39" s="1051" t="e">
        <f ca="1">ROUND(IF(E2="工业",C39*$M$39,C39*$M$38),0)</f>
        <v>#DIV/0!</v>
      </c>
      <c r="H39" s="1051">
        <f t="shared" si="8"/>
        <v>0</v>
      </c>
      <c r="I39" s="1051" t="e">
        <f t="shared" ca="1"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7" t="s">
        <v>2989</v>
      </c>
      <c r="C41" s="839">
        <f ca="1">ROUND(POWER(1+E41,H41-G41)*(POWER(1+E41,G41)-1)/(POWER(1+E41,H41)-1),4)</f>
        <v>0</v>
      </c>
      <c r="D41" s="378" t="s">
        <v>2987</v>
      </c>
      <c r="E41" s="3146">
        <f ca="1">G20</f>
        <v>4.8000000000000001E-2</v>
      </c>
      <c r="F41" s="378" t="s">
        <v>2988</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49" t="s">
        <v>2939</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8" t="s">
        <v>2938</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49" t="s">
        <v>2940</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8" t="s">
        <v>2938</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8" t="s">
        <v>2938</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f>IF(E2="工业",SUMIF(L1:L12,G2,N1:N12),"——")</f>
        <v>0</v>
      </c>
      <c r="G80" s="2380"/>
      <c r="H80" s="2426">
        <f t="shared" ref="H80:H87" si="26">IFERROR(ROUNDDOWN($F$80*I80/2,4),"——")</f>
        <v>0</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f t="shared" si="26"/>
        <v>0</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f t="shared" si="26"/>
        <v>0</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f t="shared" si="26"/>
        <v>0</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f t="shared" si="26"/>
        <v>0</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f t="shared" si="26"/>
        <v>0</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8" t="s">
        <v>2938</v>
      </c>
      <c r="C86" s="1050"/>
      <c r="D86" s="2382">
        <f t="shared" si="25"/>
        <v>0</v>
      </c>
      <c r="E86" s="2410"/>
      <c r="F86" s="2411"/>
      <c r="G86" s="2380"/>
      <c r="H86" s="2426">
        <f t="shared" si="26"/>
        <v>0</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f t="shared" si="26"/>
        <v>0</v>
      </c>
      <c r="I87" s="2407">
        <v>0.06</v>
      </c>
      <c r="J87" s="2403">
        <f t="shared" si="27"/>
        <v>0</v>
      </c>
      <c r="K87" s="2403">
        <f t="shared" si="28"/>
        <v>0</v>
      </c>
      <c r="L87" s="2403">
        <v>0</v>
      </c>
      <c r="M87" s="2403">
        <f t="shared" si="29"/>
        <v>0</v>
      </c>
      <c r="N87" s="2403">
        <f t="shared" si="29"/>
        <v>0</v>
      </c>
      <c r="AC87" s="1402"/>
      <c r="AD87" s="1401"/>
      <c r="AJ87" s="1400"/>
      <c r="AN87" s="1401"/>
    </row>
    <row r="90" spans="1:40">
      <c r="A90" s="3456" t="s">
        <v>1633</v>
      </c>
      <c r="B90" s="3456"/>
      <c r="C90" s="3456"/>
      <c r="D90" s="3456"/>
      <c r="E90" s="3456"/>
      <c r="F90" s="3456"/>
      <c r="G90" s="3456"/>
      <c r="H90" s="3456"/>
      <c r="I90" s="3456"/>
      <c r="J90" s="3456"/>
      <c r="K90" s="2415"/>
      <c r="L90" s="2415"/>
      <c r="M90" s="2415"/>
      <c r="N90" s="2415"/>
    </row>
    <row r="91" spans="1:40">
      <c r="A91" s="3457" t="s">
        <v>1443</v>
      </c>
      <c r="B91" s="3457" t="s">
        <v>1634</v>
      </c>
      <c r="C91" s="1136" t="s">
        <v>1635</v>
      </c>
      <c r="D91" s="1137"/>
      <c r="E91" s="1137"/>
      <c r="F91" s="1137"/>
      <c r="G91" s="1137"/>
      <c r="H91" s="1137"/>
      <c r="I91" s="1137"/>
      <c r="J91" s="1138"/>
      <c r="K91" s="1130"/>
      <c r="L91" s="1130"/>
      <c r="M91" s="1130"/>
      <c r="N91" s="1130"/>
    </row>
    <row r="92" spans="1:40">
      <c r="A92" s="3457"/>
      <c r="B92" s="3457"/>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64"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65"/>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65"/>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65"/>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65"/>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65"/>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65"/>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66"/>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64" t="s">
        <v>1637</v>
      </c>
      <c r="B101" s="1143" t="s">
        <v>906</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65"/>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65"/>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65"/>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65"/>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65"/>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65"/>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65"/>
      <c r="B108" s="3467"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66"/>
      <c r="B109" s="3468"/>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50" t="s">
        <v>1639</v>
      </c>
      <c r="B110" s="3450"/>
      <c r="C110" s="3450"/>
      <c r="D110" s="3450"/>
      <c r="E110" s="3450"/>
      <c r="F110" s="3450"/>
      <c r="G110" s="3450"/>
      <c r="H110" s="3450"/>
      <c r="I110" s="3450"/>
      <c r="J110" s="3450"/>
      <c r="K110" s="2413"/>
      <c r="L110" s="2413"/>
      <c r="M110" s="2413"/>
      <c r="N110" s="2413"/>
    </row>
    <row r="112" spans="1:14" ht="12.75" thickBot="1"/>
    <row r="113" spans="1:13" ht="25.5" thickBot="1">
      <c r="A113" s="1016" t="s">
        <v>896</v>
      </c>
      <c r="B113" s="2416">
        <f>G3</f>
        <v>0</v>
      </c>
      <c r="C113" s="1017" t="s">
        <v>897</v>
      </c>
      <c r="D113" s="1018">
        <f>SUMPRODUCT((A115:A118=F113)*(B114:M114=H113)*B115:M118)</f>
        <v>0</v>
      </c>
      <c r="E113" s="1019" t="s">
        <v>898</v>
      </c>
      <c r="F113" s="1020" t="str">
        <f>E2</f>
        <v>工业</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901</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902</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903</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6" t="s">
        <v>2992</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57" t="s">
        <v>1007</v>
      </c>
      <c r="B18" s="1150" t="s">
        <v>1446</v>
      </c>
      <c r="C18" s="1127" t="s">
        <v>1447</v>
      </c>
      <c r="D18" s="1128"/>
      <c r="E18" s="1150">
        <v>1</v>
      </c>
      <c r="F18" s="1129" t="s">
        <v>1448</v>
      </c>
      <c r="G18" s="1130"/>
      <c r="H18" s="1101"/>
      <c r="I18" s="1101"/>
    </row>
    <row r="19" spans="1:9" s="1585" customFormat="1" ht="19.5" customHeight="1">
      <c r="A19" s="3457"/>
      <c r="B19" s="3457" t="s">
        <v>1449</v>
      </c>
      <c r="C19" s="1127" t="s">
        <v>1450</v>
      </c>
      <c r="D19" s="1128"/>
      <c r="E19" s="1150">
        <v>0.9</v>
      </c>
      <c r="F19" s="1129" t="s">
        <v>1451</v>
      </c>
      <c r="G19" s="1130"/>
      <c r="H19" s="1101"/>
      <c r="I19" s="1101"/>
    </row>
    <row r="20" spans="1:9" s="1585" customFormat="1" ht="19.5" customHeight="1">
      <c r="A20" s="3457"/>
      <c r="B20" s="3457"/>
      <c r="C20" s="1127" t="s">
        <v>1452</v>
      </c>
      <c r="D20" s="1128"/>
      <c r="E20" s="1150">
        <v>1.1000000000000001</v>
      </c>
      <c r="F20" s="1129" t="s">
        <v>1453</v>
      </c>
      <c r="G20" s="1130"/>
      <c r="H20" s="1101"/>
      <c r="I20" s="1101"/>
    </row>
    <row r="21" spans="1:9" s="1585" customFormat="1" ht="19.5" customHeight="1">
      <c r="A21" s="3457"/>
      <c r="B21" s="3457"/>
      <c r="C21" s="1127" t="s">
        <v>1454</v>
      </c>
      <c r="D21" s="1128"/>
      <c r="E21" s="1150">
        <v>0.8</v>
      </c>
      <c r="F21" s="1129" t="s">
        <v>1455</v>
      </c>
      <c r="G21" s="1130"/>
      <c r="H21" s="1101"/>
      <c r="I21" s="1101"/>
    </row>
    <row r="22" spans="1:9" s="1585" customFormat="1" ht="19.5" customHeight="1">
      <c r="A22" s="3457"/>
      <c r="B22" s="3457"/>
      <c r="C22" s="1127" t="s">
        <v>1456</v>
      </c>
      <c r="D22" s="1128"/>
      <c r="E22" s="1150">
        <v>0.5</v>
      </c>
      <c r="F22" s="1129"/>
      <c r="G22" s="1130"/>
      <c r="H22" s="1101"/>
      <c r="I22" s="1101"/>
    </row>
    <row r="23" spans="1:9" s="1585" customFormat="1" ht="19.5" customHeight="1">
      <c r="A23" s="3457" t="s">
        <v>1029</v>
      </c>
      <c r="B23" s="1150" t="s">
        <v>1446</v>
      </c>
      <c r="C23" s="1127" t="s">
        <v>1457</v>
      </c>
      <c r="D23" s="1128"/>
      <c r="E23" s="1150">
        <v>1</v>
      </c>
      <c r="F23" s="1129" t="s">
        <v>1458</v>
      </c>
      <c r="G23" s="1130"/>
      <c r="H23" s="1101"/>
      <c r="I23" s="1101"/>
    </row>
    <row r="24" spans="1:9" s="1585" customFormat="1" ht="19.5" customHeight="1">
      <c r="A24" s="3457"/>
      <c r="B24" s="3457" t="s">
        <v>1449</v>
      </c>
      <c r="C24" s="1127" t="s">
        <v>1459</v>
      </c>
      <c r="D24" s="1128"/>
      <c r="E24" s="1150">
        <v>0.5</v>
      </c>
      <c r="F24" s="1129"/>
      <c r="G24" s="1130"/>
      <c r="H24" s="1101"/>
      <c r="I24" s="1101"/>
    </row>
    <row r="25" spans="1:9" s="1585" customFormat="1" ht="19.5" customHeight="1">
      <c r="A25" s="3457"/>
      <c r="B25" s="3457"/>
      <c r="C25" s="1127" t="s">
        <v>1460</v>
      </c>
      <c r="D25" s="1128"/>
      <c r="E25" s="1150">
        <v>1.1000000000000001</v>
      </c>
      <c r="F25" s="1129"/>
      <c r="G25" s="1130"/>
      <c r="H25" s="1101"/>
      <c r="I25" s="1101"/>
    </row>
    <row r="26" spans="1:9" s="1585" customFormat="1" ht="19.5" customHeight="1">
      <c r="A26" s="3457"/>
      <c r="B26" s="3457"/>
      <c r="C26" s="1127" t="s">
        <v>1461</v>
      </c>
      <c r="D26" s="1128"/>
      <c r="E26" s="1150">
        <v>1.1000000000000001</v>
      </c>
      <c r="F26" s="1129"/>
      <c r="G26" s="1130"/>
      <c r="H26" s="1101"/>
      <c r="I26" s="1101"/>
    </row>
    <row r="27" spans="1:9" s="1585" customFormat="1" ht="19.5" customHeight="1">
      <c r="A27" s="3457"/>
      <c r="B27" s="3457"/>
      <c r="C27" s="1127" t="s">
        <v>1462</v>
      </c>
      <c r="D27" s="1128"/>
      <c r="E27" s="1150">
        <v>0.9</v>
      </c>
      <c r="F27" s="1129" t="s">
        <v>1463</v>
      </c>
      <c r="G27" s="1130"/>
      <c r="H27" s="1101"/>
      <c r="I27" s="1101"/>
    </row>
    <row r="28" spans="1:9" s="1585" customFormat="1" ht="19.5" customHeight="1">
      <c r="A28" s="3457"/>
      <c r="B28" s="3457"/>
      <c r="C28" s="1127" t="s">
        <v>1464</v>
      </c>
      <c r="D28" s="1128"/>
      <c r="E28" s="1150">
        <v>0.9</v>
      </c>
      <c r="F28" s="1129" t="s">
        <v>1465</v>
      </c>
      <c r="G28" s="1130"/>
      <c r="H28" s="1101"/>
      <c r="I28" s="1101"/>
    </row>
    <row r="29" spans="1:9" s="1585" customFormat="1" ht="19.5" customHeight="1">
      <c r="A29" s="3457"/>
      <c r="B29" s="3457"/>
      <c r="C29" s="1127" t="s">
        <v>1466</v>
      </c>
      <c r="D29" s="1128"/>
      <c r="E29" s="1150">
        <v>0.9</v>
      </c>
      <c r="F29" s="1129" t="s">
        <v>1467</v>
      </c>
      <c r="G29" s="1130"/>
      <c r="H29" s="1101"/>
      <c r="I29" s="1101"/>
    </row>
    <row r="30" spans="1:9" s="1585" customFormat="1" ht="19.5" customHeight="1">
      <c r="A30" s="3457"/>
      <c r="B30" s="3457"/>
      <c r="C30" s="1127" t="s">
        <v>1468</v>
      </c>
      <c r="D30" s="1128"/>
      <c r="E30" s="1150">
        <v>0.9</v>
      </c>
      <c r="F30" s="1129" t="s">
        <v>1469</v>
      </c>
      <c r="G30" s="1130"/>
      <c r="H30" s="1101"/>
      <c r="I30" s="1101"/>
    </row>
    <row r="31" spans="1:9" s="1585" customFormat="1" ht="19.5" customHeight="1">
      <c r="A31" s="3457"/>
      <c r="B31" s="3457"/>
      <c r="C31" s="1127" t="s">
        <v>1470</v>
      </c>
      <c r="D31" s="1128"/>
      <c r="E31" s="1150">
        <v>0.8</v>
      </c>
      <c r="F31" s="1129" t="s">
        <v>1471</v>
      </c>
      <c r="G31" s="1130"/>
      <c r="H31" s="1101"/>
      <c r="I31" s="1101"/>
    </row>
    <row r="32" spans="1:9" s="1585" customFormat="1" ht="19.5" customHeight="1">
      <c r="A32" s="3457"/>
      <c r="B32" s="3457"/>
      <c r="C32" s="1127" t="s">
        <v>1472</v>
      </c>
      <c r="D32" s="1128"/>
      <c r="E32" s="1150">
        <v>0.8</v>
      </c>
      <c r="F32" s="1129" t="s">
        <v>1473</v>
      </c>
      <c r="G32" s="1130"/>
      <c r="H32" s="1101"/>
      <c r="I32" s="1101"/>
    </row>
    <row r="33" spans="1:9" s="1585" customFormat="1" ht="19.5" customHeight="1">
      <c r="A33" s="3457" t="s">
        <v>1474</v>
      </c>
      <c r="B33" s="1150" t="s">
        <v>1446</v>
      </c>
      <c r="C33" s="1127" t="s">
        <v>1475</v>
      </c>
      <c r="D33" s="1128"/>
      <c r="E33" s="1150">
        <v>1</v>
      </c>
      <c r="F33" s="1129" t="s">
        <v>1476</v>
      </c>
      <c r="G33" s="1130"/>
      <c r="H33" s="1101"/>
      <c r="I33" s="1101"/>
    </row>
    <row r="34" spans="1:9" s="1585" customFormat="1" ht="19.5" customHeight="1">
      <c r="A34" s="3457"/>
      <c r="B34" s="1150" t="s">
        <v>1449</v>
      </c>
      <c r="C34" s="1127" t="s">
        <v>1477</v>
      </c>
      <c r="D34" s="1128"/>
      <c r="E34" s="1150">
        <v>1.5</v>
      </c>
      <c r="F34" s="1129" t="s">
        <v>1478</v>
      </c>
      <c r="G34" s="1130"/>
      <c r="H34" s="1101"/>
      <c r="I34" s="1101"/>
    </row>
    <row r="35" spans="1:9" s="1585" customFormat="1" ht="19.5" customHeight="1">
      <c r="A35" s="3457" t="s">
        <v>1432</v>
      </c>
      <c r="B35" s="1150" t="s">
        <v>1446</v>
      </c>
      <c r="C35" s="1127" t="s">
        <v>1479</v>
      </c>
      <c r="D35" s="1128"/>
      <c r="E35" s="1150">
        <v>1</v>
      </c>
      <c r="F35" s="1129" t="s">
        <v>1480</v>
      </c>
      <c r="G35" s="1130"/>
      <c r="H35" s="1101"/>
      <c r="I35" s="1101"/>
    </row>
    <row r="36" spans="1:9" s="1585" customFormat="1" ht="19.5" customHeight="1">
      <c r="A36" s="3457"/>
      <c r="B36" s="3457" t="s">
        <v>1449</v>
      </c>
      <c r="C36" s="1127" t="s">
        <v>1481</v>
      </c>
      <c r="D36" s="1128"/>
      <c r="E36" s="1150">
        <v>1</v>
      </c>
      <c r="F36" s="1129" t="s">
        <v>1482</v>
      </c>
      <c r="G36" s="1130"/>
      <c r="H36" s="1101"/>
      <c r="I36" s="1101"/>
    </row>
    <row r="37" spans="1:9" s="1585" customFormat="1" ht="19.5" customHeight="1">
      <c r="A37" s="3457"/>
      <c r="B37" s="3457"/>
      <c r="C37" s="1127" t="s">
        <v>1483</v>
      </c>
      <c r="D37" s="1128"/>
      <c r="E37" s="1150">
        <v>1.5</v>
      </c>
      <c r="F37" s="1129" t="s">
        <v>1484</v>
      </c>
      <c r="G37" s="1130"/>
      <c r="H37" s="1101"/>
      <c r="I37" s="1101"/>
    </row>
    <row r="38" spans="1:9" s="1585" customFormat="1" ht="19.5" customHeight="1">
      <c r="A38" s="3457"/>
      <c r="B38" s="3457"/>
      <c r="C38" s="1127" t="s">
        <v>1485</v>
      </c>
      <c r="D38" s="1128"/>
      <c r="E38" s="1150">
        <v>1</v>
      </c>
      <c r="F38" s="1129" t="s">
        <v>1486</v>
      </c>
      <c r="G38" s="1130"/>
      <c r="H38" s="1101"/>
      <c r="I38" s="1101"/>
    </row>
    <row r="39" spans="1:9" s="1585" customFormat="1" ht="19.5" customHeight="1">
      <c r="A39" s="3457"/>
      <c r="B39" s="3457"/>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57" t="s">
        <v>1501</v>
      </c>
      <c r="C61" s="1064" t="s">
        <v>1502</v>
      </c>
      <c r="D61" s="1064" t="s">
        <v>1503</v>
      </c>
      <c r="E61" s="1135">
        <v>0.5</v>
      </c>
      <c r="F61" s="1150">
        <v>80</v>
      </c>
      <c r="H61" s="1101">
        <f>SUMIF(C59:C119,基准地价!C8,E59:E119)</f>
        <v>0</v>
      </c>
    </row>
    <row r="62" spans="1:8" s="1101" customFormat="1" ht="24">
      <c r="A62" s="1150">
        <v>2</v>
      </c>
      <c r="B62" s="3457"/>
      <c r="C62" s="1064" t="s">
        <v>1504</v>
      </c>
      <c r="D62" s="1064" t="s">
        <v>1505</v>
      </c>
      <c r="E62" s="1135">
        <v>0.5</v>
      </c>
      <c r="F62" s="1150">
        <v>80</v>
      </c>
    </row>
    <row r="63" spans="1:8" s="1101" customFormat="1" ht="36">
      <c r="A63" s="1150">
        <v>3</v>
      </c>
      <c r="B63" s="3457"/>
      <c r="C63" s="1064" t="s">
        <v>1506</v>
      </c>
      <c r="D63" s="1064" t="s">
        <v>1507</v>
      </c>
      <c r="E63" s="1135">
        <v>0.5</v>
      </c>
      <c r="F63" s="1150">
        <v>80</v>
      </c>
    </row>
    <row r="64" spans="1:8" s="1101" customFormat="1" ht="36">
      <c r="A64" s="1150">
        <v>4</v>
      </c>
      <c r="B64" s="3457"/>
      <c r="C64" s="1064" t="s">
        <v>1508</v>
      </c>
      <c r="D64" s="1064" t="s">
        <v>1509</v>
      </c>
      <c r="E64" s="1135">
        <v>0.4</v>
      </c>
      <c r="F64" s="1150">
        <v>60</v>
      </c>
    </row>
    <row r="65" spans="1:6" s="1101" customFormat="1" ht="36">
      <c r="A65" s="1150">
        <v>5</v>
      </c>
      <c r="B65" s="3457"/>
      <c r="C65" s="1064" t="s">
        <v>1510</v>
      </c>
      <c r="D65" s="1064" t="s">
        <v>1511</v>
      </c>
      <c r="E65" s="1135">
        <v>0.2</v>
      </c>
      <c r="F65" s="1150">
        <v>30</v>
      </c>
    </row>
    <row r="66" spans="1:6" s="1101" customFormat="1" ht="36">
      <c r="A66" s="1150">
        <v>6</v>
      </c>
      <c r="B66" s="3457"/>
      <c r="C66" s="1064" t="s">
        <v>1512</v>
      </c>
      <c r="D66" s="1064" t="s">
        <v>1513</v>
      </c>
      <c r="E66" s="1135">
        <v>0.3</v>
      </c>
      <c r="F66" s="1150">
        <v>50</v>
      </c>
    </row>
    <row r="67" spans="1:6" s="1101" customFormat="1" ht="36">
      <c r="A67" s="1150">
        <v>7</v>
      </c>
      <c r="B67" s="3457"/>
      <c r="C67" s="1064" t="s">
        <v>1514</v>
      </c>
      <c r="D67" s="1064" t="s">
        <v>1515</v>
      </c>
      <c r="E67" s="1135">
        <v>0.2</v>
      </c>
      <c r="F67" s="1150">
        <v>30</v>
      </c>
    </row>
    <row r="68" spans="1:6" s="1101" customFormat="1" ht="36">
      <c r="A68" s="1150">
        <v>8</v>
      </c>
      <c r="B68" s="3457"/>
      <c r="C68" s="1064" t="s">
        <v>1516</v>
      </c>
      <c r="D68" s="1064" t="s">
        <v>1517</v>
      </c>
      <c r="E68" s="1135">
        <v>0.2</v>
      </c>
      <c r="F68" s="1150">
        <v>30</v>
      </c>
    </row>
    <row r="69" spans="1:6" s="1101" customFormat="1" ht="36">
      <c r="A69" s="1150">
        <v>9</v>
      </c>
      <c r="B69" s="3457"/>
      <c r="C69" s="1064" t="s">
        <v>1518</v>
      </c>
      <c r="D69" s="1064" t="s">
        <v>1519</v>
      </c>
      <c r="E69" s="1135">
        <v>0.2</v>
      </c>
      <c r="F69" s="1150">
        <v>30</v>
      </c>
    </row>
    <row r="70" spans="1:6" s="1101" customFormat="1" ht="48">
      <c r="A70" s="1150">
        <v>10</v>
      </c>
      <c r="B70" s="3457"/>
      <c r="C70" s="1064" t="s">
        <v>1520</v>
      </c>
      <c r="D70" s="1064" t="s">
        <v>1521</v>
      </c>
      <c r="E70" s="1135">
        <v>0.2</v>
      </c>
      <c r="F70" s="1150">
        <v>30</v>
      </c>
    </row>
    <row r="71" spans="1:6" s="1101" customFormat="1" ht="48">
      <c r="A71" s="1150">
        <v>11</v>
      </c>
      <c r="B71" s="3457"/>
      <c r="C71" s="1064" t="s">
        <v>1522</v>
      </c>
      <c r="D71" s="1064" t="s">
        <v>1523</v>
      </c>
      <c r="E71" s="1135">
        <v>0.2</v>
      </c>
      <c r="F71" s="1150">
        <v>30</v>
      </c>
    </row>
    <row r="72" spans="1:6" s="1101" customFormat="1" ht="36">
      <c r="A72" s="1150">
        <v>12</v>
      </c>
      <c r="B72" s="3457"/>
      <c r="C72" s="1064" t="s">
        <v>1524</v>
      </c>
      <c r="D72" s="1064" t="s">
        <v>1525</v>
      </c>
      <c r="E72" s="1135">
        <v>0.5</v>
      </c>
      <c r="F72" s="1150">
        <v>80</v>
      </c>
    </row>
    <row r="73" spans="1:6" s="1101" customFormat="1" ht="24">
      <c r="A73" s="1150">
        <v>13</v>
      </c>
      <c r="B73" s="3457"/>
      <c r="C73" s="1064" t="s">
        <v>1526</v>
      </c>
      <c r="D73" s="1064" t="s">
        <v>1527</v>
      </c>
      <c r="E73" s="1135">
        <v>0.4</v>
      </c>
      <c r="F73" s="1150">
        <v>60</v>
      </c>
    </row>
    <row r="74" spans="1:6" s="1101" customFormat="1" ht="24">
      <c r="A74" s="1150">
        <v>14</v>
      </c>
      <c r="B74" s="3457"/>
      <c r="C74" s="1064" t="s">
        <v>1528</v>
      </c>
      <c r="D74" s="1064" t="s">
        <v>1529</v>
      </c>
      <c r="E74" s="1135">
        <v>0.2</v>
      </c>
      <c r="F74" s="1150">
        <v>30</v>
      </c>
    </row>
    <row r="75" spans="1:6" s="1101" customFormat="1" ht="24">
      <c r="A75" s="1150">
        <v>15</v>
      </c>
      <c r="B75" s="3457"/>
      <c r="C75" s="1064" t="s">
        <v>1530</v>
      </c>
      <c r="D75" s="1064" t="s">
        <v>1531</v>
      </c>
      <c r="E75" s="1135">
        <v>0.2</v>
      </c>
      <c r="F75" s="1150">
        <v>30</v>
      </c>
    </row>
    <row r="76" spans="1:6" s="1101" customFormat="1" ht="24">
      <c r="A76" s="1150">
        <v>16</v>
      </c>
      <c r="B76" s="3457" t="s">
        <v>1532</v>
      </c>
      <c r="C76" s="1064" t="s">
        <v>1533</v>
      </c>
      <c r="D76" s="1064" t="s">
        <v>1534</v>
      </c>
      <c r="E76" s="1135">
        <v>0.5</v>
      </c>
      <c r="F76" s="1150">
        <v>80</v>
      </c>
    </row>
    <row r="77" spans="1:6" s="1101" customFormat="1" ht="24">
      <c r="A77" s="1150">
        <v>17</v>
      </c>
      <c r="B77" s="3457"/>
      <c r="C77" s="1064" t="s">
        <v>1535</v>
      </c>
      <c r="D77" s="1064" t="s">
        <v>1536</v>
      </c>
      <c r="E77" s="1135">
        <v>0.5</v>
      </c>
      <c r="F77" s="1150">
        <v>80</v>
      </c>
    </row>
    <row r="78" spans="1:6" s="1101" customFormat="1" ht="24">
      <c r="A78" s="1150">
        <v>18</v>
      </c>
      <c r="B78" s="3457"/>
      <c r="C78" s="1064" t="s">
        <v>1537</v>
      </c>
      <c r="D78" s="1064" t="s">
        <v>1538</v>
      </c>
      <c r="E78" s="1135">
        <v>0.2</v>
      </c>
      <c r="F78" s="1150">
        <v>30</v>
      </c>
    </row>
    <row r="79" spans="1:6" s="1101" customFormat="1" ht="24">
      <c r="A79" s="1150">
        <v>19</v>
      </c>
      <c r="B79" s="3457"/>
      <c r="C79" s="1064" t="s">
        <v>1539</v>
      </c>
      <c r="D79" s="1064" t="s">
        <v>1540</v>
      </c>
      <c r="E79" s="1135">
        <v>0.5</v>
      </c>
      <c r="F79" s="1150">
        <v>80</v>
      </c>
    </row>
    <row r="80" spans="1:6" s="1101" customFormat="1" ht="36">
      <c r="A80" s="1150">
        <v>20</v>
      </c>
      <c r="B80" s="3457"/>
      <c r="C80" s="1064" t="s">
        <v>1541</v>
      </c>
      <c r="D80" s="1064" t="s">
        <v>1542</v>
      </c>
      <c r="E80" s="1135">
        <v>0.2</v>
      </c>
      <c r="F80" s="1150">
        <v>30</v>
      </c>
    </row>
    <row r="81" spans="1:6" s="1101" customFormat="1" ht="36">
      <c r="A81" s="1150">
        <v>21</v>
      </c>
      <c r="B81" s="3457"/>
      <c r="C81" s="1064" t="s">
        <v>1543</v>
      </c>
      <c r="D81" s="1064" t="s">
        <v>1544</v>
      </c>
      <c r="E81" s="1135">
        <v>0.2</v>
      </c>
      <c r="F81" s="1150">
        <v>30</v>
      </c>
    </row>
    <row r="82" spans="1:6" s="1101" customFormat="1" ht="48">
      <c r="A82" s="1150">
        <v>22</v>
      </c>
      <c r="B82" s="3457"/>
      <c r="C82" s="1064" t="s">
        <v>1545</v>
      </c>
      <c r="D82" s="1064" t="s">
        <v>1546</v>
      </c>
      <c r="E82" s="1135">
        <v>0.2</v>
      </c>
      <c r="F82" s="1150">
        <v>30</v>
      </c>
    </row>
    <row r="83" spans="1:6" s="1101" customFormat="1" ht="48">
      <c r="A83" s="1150">
        <v>23</v>
      </c>
      <c r="B83" s="3457"/>
      <c r="C83" s="1064" t="s">
        <v>1547</v>
      </c>
      <c r="D83" s="1064" t="s">
        <v>1548</v>
      </c>
      <c r="E83" s="1135">
        <v>0.2</v>
      </c>
      <c r="F83" s="1150">
        <v>30</v>
      </c>
    </row>
    <row r="84" spans="1:6" s="1101" customFormat="1" ht="36">
      <c r="A84" s="1150">
        <v>24</v>
      </c>
      <c r="B84" s="3457"/>
      <c r="C84" s="1064" t="s">
        <v>1549</v>
      </c>
      <c r="D84" s="1064" t="s">
        <v>1550</v>
      </c>
      <c r="E84" s="1135">
        <v>0.2</v>
      </c>
      <c r="F84" s="1150">
        <v>30</v>
      </c>
    </row>
    <row r="85" spans="1:6" s="1101" customFormat="1" ht="36">
      <c r="A85" s="1150">
        <v>25</v>
      </c>
      <c r="B85" s="3457"/>
      <c r="C85" s="1064" t="s">
        <v>1551</v>
      </c>
      <c r="D85" s="1064" t="s">
        <v>1552</v>
      </c>
      <c r="E85" s="1135">
        <v>0.5</v>
      </c>
      <c r="F85" s="1150">
        <v>80</v>
      </c>
    </row>
    <row r="86" spans="1:6" s="1101" customFormat="1" ht="36">
      <c r="A86" s="1150">
        <v>26</v>
      </c>
      <c r="B86" s="3457"/>
      <c r="C86" s="1064" t="s">
        <v>1553</v>
      </c>
      <c r="D86" s="1064" t="s">
        <v>1554</v>
      </c>
      <c r="E86" s="1135">
        <v>0.2</v>
      </c>
      <c r="F86" s="1150">
        <v>30</v>
      </c>
    </row>
    <row r="87" spans="1:6" s="1101" customFormat="1" ht="36">
      <c r="A87" s="1150">
        <v>27</v>
      </c>
      <c r="B87" s="3457"/>
      <c r="C87" s="1064" t="s">
        <v>1555</v>
      </c>
      <c r="D87" s="1064" t="s">
        <v>1556</v>
      </c>
      <c r="E87" s="1135">
        <v>0.2</v>
      </c>
      <c r="F87" s="1150">
        <v>30</v>
      </c>
    </row>
    <row r="88" spans="1:6" s="1101" customFormat="1" ht="36">
      <c r="A88" s="1150">
        <v>28</v>
      </c>
      <c r="B88" s="3457"/>
      <c r="C88" s="1064" t="s">
        <v>1557</v>
      </c>
      <c r="D88" s="1064" t="s">
        <v>1558</v>
      </c>
      <c r="E88" s="1135">
        <v>0.2</v>
      </c>
      <c r="F88" s="1150">
        <v>30</v>
      </c>
    </row>
    <row r="89" spans="1:6" s="1101" customFormat="1" ht="24">
      <c r="A89" s="1150">
        <v>29</v>
      </c>
      <c r="B89" s="3457"/>
      <c r="C89" s="1064" t="s">
        <v>1559</v>
      </c>
      <c r="D89" s="1064" t="s">
        <v>1560</v>
      </c>
      <c r="E89" s="1135">
        <v>0.2</v>
      </c>
      <c r="F89" s="1150">
        <v>30</v>
      </c>
    </row>
    <row r="90" spans="1:6" s="1101" customFormat="1" ht="24">
      <c r="A90" s="1150">
        <v>30</v>
      </c>
      <c r="B90" s="3457"/>
      <c r="C90" s="1064" t="s">
        <v>1561</v>
      </c>
      <c r="D90" s="1064" t="s">
        <v>1562</v>
      </c>
      <c r="E90" s="1135">
        <v>0.2</v>
      </c>
      <c r="F90" s="1150">
        <v>30</v>
      </c>
    </row>
    <row r="91" spans="1:6" s="1101" customFormat="1" ht="36">
      <c r="A91" s="1150">
        <v>31</v>
      </c>
      <c r="B91" s="3457"/>
      <c r="C91" s="1064" t="s">
        <v>1563</v>
      </c>
      <c r="D91" s="1064" t="s">
        <v>1564</v>
      </c>
      <c r="E91" s="1135">
        <v>0.2</v>
      </c>
      <c r="F91" s="1150">
        <v>30</v>
      </c>
    </row>
    <row r="92" spans="1:6" s="1101" customFormat="1" ht="24">
      <c r="A92" s="1150">
        <v>32</v>
      </c>
      <c r="B92" s="3457" t="s">
        <v>1565</v>
      </c>
      <c r="C92" s="1150" t="s">
        <v>1566</v>
      </c>
      <c r="D92" s="1064" t="s">
        <v>1567</v>
      </c>
      <c r="E92" s="1135">
        <v>0.2</v>
      </c>
      <c r="F92" s="1150">
        <v>30</v>
      </c>
    </row>
    <row r="93" spans="1:6" s="1101" customFormat="1" ht="36">
      <c r="A93" s="1150">
        <v>33</v>
      </c>
      <c r="B93" s="3457"/>
      <c r="C93" s="1150" t="s">
        <v>1568</v>
      </c>
      <c r="D93" s="1064" t="s">
        <v>1569</v>
      </c>
      <c r="E93" s="1135">
        <v>0.2</v>
      </c>
      <c r="F93" s="1150">
        <v>30</v>
      </c>
    </row>
    <row r="94" spans="1:6" s="1101" customFormat="1" ht="48">
      <c r="A94" s="1150">
        <v>34</v>
      </c>
      <c r="B94" s="3457"/>
      <c r="C94" s="1150" t="s">
        <v>1570</v>
      </c>
      <c r="D94" s="1064" t="s">
        <v>1571</v>
      </c>
      <c r="E94" s="1135">
        <v>0.2</v>
      </c>
      <c r="F94" s="1150">
        <v>30</v>
      </c>
    </row>
    <row r="95" spans="1:6" s="1101" customFormat="1" ht="36">
      <c r="A95" s="1150">
        <v>35</v>
      </c>
      <c r="B95" s="3457"/>
      <c r="C95" s="1150" t="s">
        <v>1572</v>
      </c>
      <c r="D95" s="1064" t="s">
        <v>1573</v>
      </c>
      <c r="E95" s="1135">
        <v>0.2</v>
      </c>
      <c r="F95" s="1150">
        <v>30</v>
      </c>
    </row>
    <row r="96" spans="1:6" s="1101" customFormat="1" ht="48">
      <c r="A96" s="1150">
        <v>36</v>
      </c>
      <c r="B96" s="3457"/>
      <c r="C96" s="1064" t="s">
        <v>1574</v>
      </c>
      <c r="D96" s="1064" t="s">
        <v>1575</v>
      </c>
      <c r="E96" s="1135">
        <v>0.2</v>
      </c>
      <c r="F96" s="1150">
        <v>30</v>
      </c>
    </row>
    <row r="97" spans="1:6" s="1101" customFormat="1" ht="36">
      <c r="A97" s="1150">
        <v>37</v>
      </c>
      <c r="B97" s="3457"/>
      <c r="C97" s="1150" t="s">
        <v>1576</v>
      </c>
      <c r="D97" s="1064" t="s">
        <v>1577</v>
      </c>
      <c r="E97" s="1135">
        <v>0.2</v>
      </c>
      <c r="F97" s="1150">
        <v>30</v>
      </c>
    </row>
    <row r="98" spans="1:6" s="1101" customFormat="1" ht="36">
      <c r="A98" s="1150">
        <v>38</v>
      </c>
      <c r="B98" s="3457"/>
      <c r="C98" s="1150" t="s">
        <v>1578</v>
      </c>
      <c r="D98" s="1064" t="s">
        <v>1579</v>
      </c>
      <c r="E98" s="1135">
        <v>0.2</v>
      </c>
      <c r="F98" s="1150">
        <v>30</v>
      </c>
    </row>
    <row r="99" spans="1:6" s="1101" customFormat="1" ht="36">
      <c r="A99" s="1150">
        <v>39</v>
      </c>
      <c r="B99" s="3457" t="s">
        <v>1580</v>
      </c>
      <c r="C99" s="1150" t="s">
        <v>1581</v>
      </c>
      <c r="D99" s="1064" t="s">
        <v>1582</v>
      </c>
      <c r="E99" s="1135">
        <v>0.3</v>
      </c>
      <c r="F99" s="1150">
        <v>50</v>
      </c>
    </row>
    <row r="100" spans="1:6" s="1101" customFormat="1" ht="24">
      <c r="A100" s="1150">
        <v>40</v>
      </c>
      <c r="B100" s="3457"/>
      <c r="C100" s="1150" t="s">
        <v>1583</v>
      </c>
      <c r="D100" s="1064" t="s">
        <v>1584</v>
      </c>
      <c r="E100" s="1135">
        <v>0.2</v>
      </c>
      <c r="F100" s="1150">
        <v>30</v>
      </c>
    </row>
    <row r="101" spans="1:6" s="1101" customFormat="1" ht="36">
      <c r="A101" s="1150">
        <v>41</v>
      </c>
      <c r="B101" s="3457"/>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57" t="s">
        <v>1595</v>
      </c>
      <c r="C105" s="1150" t="s">
        <v>1596</v>
      </c>
      <c r="D105" s="1064" t="s">
        <v>1597</v>
      </c>
      <c r="E105" s="1135">
        <v>0.2</v>
      </c>
      <c r="F105" s="1150">
        <v>30</v>
      </c>
    </row>
    <row r="106" spans="1:6" s="1101" customFormat="1" ht="36">
      <c r="A106" s="1150">
        <v>46</v>
      </c>
      <c r="B106" s="3457"/>
      <c r="C106" s="1150" t="s">
        <v>1598</v>
      </c>
      <c r="D106" s="1064" t="s">
        <v>1599</v>
      </c>
      <c r="E106" s="1135">
        <v>0.2</v>
      </c>
      <c r="F106" s="1150">
        <v>30</v>
      </c>
    </row>
    <row r="107" spans="1:6" s="1101" customFormat="1" ht="36">
      <c r="A107" s="1150">
        <v>47</v>
      </c>
      <c r="B107" s="3457" t="s">
        <v>1600</v>
      </c>
      <c r="C107" s="1150" t="s">
        <v>1601</v>
      </c>
      <c r="D107" s="1064" t="s">
        <v>1602</v>
      </c>
      <c r="E107" s="1135">
        <v>0.3</v>
      </c>
      <c r="F107" s="1150">
        <v>50</v>
      </c>
    </row>
    <row r="108" spans="1:6" s="1101" customFormat="1" ht="36">
      <c r="A108" s="1150">
        <v>48</v>
      </c>
      <c r="B108" s="3457"/>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57" t="s">
        <v>1611</v>
      </c>
      <c r="C111" s="1150" t="s">
        <v>1612</v>
      </c>
      <c r="D111" s="1064" t="s">
        <v>1613</v>
      </c>
      <c r="E111" s="1135">
        <v>0.2</v>
      </c>
      <c r="F111" s="1150">
        <v>30</v>
      </c>
    </row>
    <row r="112" spans="1:6" s="1101" customFormat="1" ht="24">
      <c r="A112" s="1150">
        <v>52</v>
      </c>
      <c r="B112" s="3457"/>
      <c r="C112" s="1150" t="s">
        <v>1614</v>
      </c>
      <c r="D112" s="1064" t="s">
        <v>1615</v>
      </c>
      <c r="E112" s="1135">
        <v>0.2</v>
      </c>
      <c r="F112" s="1150">
        <v>30</v>
      </c>
    </row>
    <row r="113" spans="1:14" s="1101" customFormat="1" ht="24">
      <c r="A113" s="1150">
        <v>53</v>
      </c>
      <c r="B113" s="3457"/>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57" t="s">
        <v>1624</v>
      </c>
      <c r="C116" s="1150" t="s">
        <v>1625</v>
      </c>
      <c r="D116" s="1064" t="s">
        <v>1626</v>
      </c>
      <c r="E116" s="1135">
        <v>0.2</v>
      </c>
      <c r="F116" s="1150">
        <v>30</v>
      </c>
    </row>
    <row r="117" spans="1:14" ht="36">
      <c r="A117" s="1150">
        <v>57</v>
      </c>
      <c r="B117" s="3457"/>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56" t="s">
        <v>1633</v>
      </c>
      <c r="B121" s="3456"/>
      <c r="C121" s="3456"/>
      <c r="D121" s="3456"/>
      <c r="E121" s="3456"/>
      <c r="F121" s="3456"/>
      <c r="G121" s="3456"/>
      <c r="H121" s="3456"/>
      <c r="I121" s="3456"/>
      <c r="J121" s="3456"/>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71" t="s">
        <v>1039</v>
      </c>
      <c r="B1" s="3471"/>
      <c r="C1" s="3471"/>
      <c r="D1" s="3471"/>
      <c r="E1" s="3471"/>
      <c r="F1" s="3471"/>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72" t="s">
        <v>1052</v>
      </c>
      <c r="B2" s="3472"/>
      <c r="C2" s="3472"/>
      <c r="D2" s="3472"/>
      <c r="E2" s="3472"/>
      <c r="F2" s="3472"/>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73"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74"/>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75" t="s">
        <v>2079</v>
      </c>
      <c r="B1" s="3475"/>
    </row>
    <row r="2" spans="1:6" ht="14.25" thickBot="1">
      <c r="A2" s="1837"/>
      <c r="B2" s="1837"/>
    </row>
    <row r="3" spans="1:6" ht="14.25" thickBot="1">
      <c r="A3" s="1837"/>
      <c r="B3" s="1837"/>
      <c r="C3" s="1838" t="s">
        <v>2080</v>
      </c>
      <c r="D3" s="1838" t="s">
        <v>2081</v>
      </c>
      <c r="E3" s="1838" t="s">
        <v>2082</v>
      </c>
      <c r="F3" s="1838" t="s">
        <v>2083</v>
      </c>
    </row>
    <row r="4" spans="1:6" ht="14.25" thickBot="1">
      <c r="A4" s="1839" t="s">
        <v>2084</v>
      </c>
      <c r="B4" s="1840" t="s">
        <v>2085</v>
      </c>
      <c r="C4" s="1838"/>
      <c r="D4" s="1838"/>
      <c r="E4" s="1838"/>
      <c r="F4" s="1838"/>
    </row>
    <row r="5" spans="1:6" ht="14.25" thickBot="1">
      <c r="A5" s="1841" t="s">
        <v>2086</v>
      </c>
      <c r="B5" s="1842" t="s">
        <v>2087</v>
      </c>
      <c r="C5" s="1843">
        <v>8.8999999999999996E-2</v>
      </c>
      <c r="D5" s="1843">
        <v>7.3999999999999996E-2</v>
      </c>
      <c r="E5" s="1843">
        <v>7.4999999999999997E-2</v>
      </c>
      <c r="F5" s="1844">
        <v>0.1</v>
      </c>
    </row>
    <row r="6" spans="1:6" ht="14.25" thickBot="1">
      <c r="A6" s="1841" t="s">
        <v>1096</v>
      </c>
      <c r="B6" s="1845" t="s">
        <v>2088</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2089</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2090</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2091</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2092</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2093</v>
      </c>
      <c r="C72" s="1855"/>
      <c r="D72" s="1855"/>
      <c r="E72" s="1855"/>
      <c r="F72" s="1847">
        <v>0.05</v>
      </c>
    </row>
    <row r="73" spans="1:6" ht="14.25" thickBot="1">
      <c r="A73" s="1841" t="s">
        <v>925</v>
      </c>
      <c r="B73" s="1845" t="s">
        <v>2094</v>
      </c>
      <c r="C73" s="1855"/>
      <c r="D73" s="1855"/>
      <c r="E73" s="1855"/>
      <c r="F73" s="1847">
        <v>0.05</v>
      </c>
    </row>
    <row r="74" spans="1:6" ht="14.25" thickBot="1">
      <c r="A74" s="1841" t="s">
        <v>925</v>
      </c>
      <c r="B74" s="1845" t="s">
        <v>2095</v>
      </c>
      <c r="C74" s="1855"/>
      <c r="D74" s="1855"/>
      <c r="E74" s="1855"/>
      <c r="F74" s="1847">
        <v>0.05</v>
      </c>
    </row>
    <row r="75" spans="1:6" ht="14.25" thickBot="1">
      <c r="A75" s="1849" t="s">
        <v>925</v>
      </c>
      <c r="B75" s="1856" t="s">
        <v>2096</v>
      </c>
      <c r="C75" s="1852"/>
      <c r="D75" s="1852"/>
      <c r="E75" s="1852"/>
      <c r="F75" s="1857">
        <v>0.05</v>
      </c>
    </row>
    <row r="76" spans="1:6" ht="14.25" thickBot="1">
      <c r="A76" s="1841" t="s">
        <v>1407</v>
      </c>
      <c r="B76" s="1842" t="s">
        <v>2097</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2098</v>
      </c>
      <c r="C102" s="1855"/>
      <c r="D102" s="1855"/>
      <c r="E102" s="1855"/>
      <c r="F102" s="1847">
        <v>0.05</v>
      </c>
    </row>
    <row r="103" spans="1:6" ht="24.75" thickBot="1">
      <c r="A103" s="1841" t="s">
        <v>1407</v>
      </c>
      <c r="B103" s="1845" t="s">
        <v>2099</v>
      </c>
      <c r="C103" s="1855"/>
      <c r="D103" s="1855"/>
      <c r="E103" s="1855"/>
      <c r="F103" s="1847">
        <v>0.05</v>
      </c>
    </row>
    <row r="104" spans="1:6" ht="14.25" thickBot="1">
      <c r="A104" s="1841" t="s">
        <v>1407</v>
      </c>
      <c r="B104" s="1845" t="s">
        <v>2100</v>
      </c>
      <c r="C104" s="1855"/>
      <c r="D104" s="1855"/>
      <c r="E104" s="1855"/>
      <c r="F104" s="1847">
        <v>0.05</v>
      </c>
    </row>
    <row r="105" spans="1:6" ht="14.25" thickBot="1">
      <c r="A105" s="1841" t="s">
        <v>1407</v>
      </c>
      <c r="B105" s="1845" t="s">
        <v>2101</v>
      </c>
      <c r="C105" s="1855"/>
      <c r="D105" s="1855"/>
      <c r="E105" s="1855"/>
      <c r="F105" s="1847">
        <v>0.05</v>
      </c>
    </row>
    <row r="106" spans="1:6" ht="14.25" thickBot="1">
      <c r="A106" s="1841" t="s">
        <v>1407</v>
      </c>
      <c r="B106" s="1845" t="s">
        <v>2102</v>
      </c>
      <c r="C106" s="1855"/>
      <c r="D106" s="1855"/>
      <c r="E106" s="1855"/>
      <c r="F106" s="1847">
        <v>0.05</v>
      </c>
    </row>
    <row r="107" spans="1:6" ht="24.75" thickBot="1">
      <c r="A107" s="1841" t="s">
        <v>1407</v>
      </c>
      <c r="B107" s="1845" t="s">
        <v>2103</v>
      </c>
      <c r="C107" s="1855"/>
      <c r="D107" s="1855"/>
      <c r="E107" s="1855"/>
      <c r="F107" s="1847">
        <v>0.05</v>
      </c>
    </row>
    <row r="108" spans="1:6" ht="24.75" thickBot="1">
      <c r="A108" s="1841" t="s">
        <v>1407</v>
      </c>
      <c r="B108" s="1845" t="s">
        <v>2104</v>
      </c>
      <c r="C108" s="1855"/>
      <c r="D108" s="1855"/>
      <c r="E108" s="1855"/>
      <c r="F108" s="1847">
        <v>0.05</v>
      </c>
    </row>
    <row r="109" spans="1:6" ht="24.75" thickBot="1">
      <c r="A109" s="1849" t="s">
        <v>1407</v>
      </c>
      <c r="B109" s="1856" t="s">
        <v>2105</v>
      </c>
      <c r="C109" s="1852"/>
      <c r="D109" s="1852"/>
      <c r="E109" s="1852"/>
      <c r="F109" s="1857">
        <v>0.05</v>
      </c>
    </row>
    <row r="110" spans="1:6" ht="14.25" thickBot="1">
      <c r="A110" s="1841" t="s">
        <v>1409</v>
      </c>
      <c r="B110" s="1842" t="s">
        <v>2106</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2107</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2108</v>
      </c>
      <c r="C138" s="1846">
        <v>0.105</v>
      </c>
      <c r="D138" s="1846">
        <v>0.125</v>
      </c>
      <c r="E138" s="1846">
        <v>0.112</v>
      </c>
      <c r="F138" s="1854"/>
    </row>
    <row r="139" spans="1:6" ht="14.25" thickBot="1">
      <c r="A139" s="1841" t="s">
        <v>1409</v>
      </c>
      <c r="B139" s="1845" t="s">
        <v>2109</v>
      </c>
      <c r="C139" s="1846">
        <v>0.127</v>
      </c>
      <c r="D139" s="1846">
        <v>0.127</v>
      </c>
      <c r="E139" s="1846">
        <v>0.122</v>
      </c>
      <c r="F139" s="1847">
        <v>0.13</v>
      </c>
    </row>
    <row r="140" spans="1:6" ht="14.25" thickBot="1">
      <c r="A140" s="1841" t="s">
        <v>1409</v>
      </c>
      <c r="B140" s="1845" t="s">
        <v>2110</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2111</v>
      </c>
      <c r="C144" s="1859">
        <v>0.126</v>
      </c>
      <c r="D144" s="1859">
        <v>0.126</v>
      </c>
      <c r="E144" s="1859">
        <v>0.121</v>
      </c>
      <c r="F144" s="1854"/>
    </row>
    <row r="145" spans="1:6" ht="14.25" thickBot="1">
      <c r="A145" s="1849" t="s">
        <v>1409</v>
      </c>
      <c r="B145" s="1860" t="s">
        <v>2112</v>
      </c>
      <c r="C145" s="1861"/>
      <c r="D145" s="1861"/>
      <c r="E145" s="1861"/>
      <c r="F145" s="1862">
        <v>0.05</v>
      </c>
    </row>
    <row r="146" spans="1:6" ht="24.75" thickBot="1">
      <c r="A146" s="1863" t="s">
        <v>1409</v>
      </c>
      <c r="B146" s="1848" t="s">
        <v>2113</v>
      </c>
      <c r="C146" s="1855"/>
      <c r="D146" s="1855"/>
      <c r="E146" s="1855"/>
      <c r="F146" s="1864">
        <v>0.05</v>
      </c>
    </row>
    <row r="147" spans="1:6" ht="24.75" thickBot="1">
      <c r="A147" s="1841" t="s">
        <v>1409</v>
      </c>
      <c r="B147" s="1845" t="s">
        <v>2114</v>
      </c>
      <c r="C147" s="1855"/>
      <c r="D147" s="1855"/>
      <c r="E147" s="1855"/>
      <c r="F147" s="1847">
        <v>0.05</v>
      </c>
    </row>
    <row r="148" spans="1:6" ht="24.75" thickBot="1">
      <c r="A148" s="1841" t="s">
        <v>1409</v>
      </c>
      <c r="B148" s="1845" t="s">
        <v>2115</v>
      </c>
      <c r="C148" s="1855"/>
      <c r="D148" s="1855"/>
      <c r="E148" s="1855"/>
      <c r="F148" s="1847">
        <v>0.05</v>
      </c>
    </row>
    <row r="149" spans="1:6" ht="24.75" thickBot="1">
      <c r="A149" s="1841" t="s">
        <v>1409</v>
      </c>
      <c r="B149" s="1845" t="s">
        <v>2116</v>
      </c>
      <c r="C149" s="1855"/>
      <c r="D149" s="1855"/>
      <c r="E149" s="1855"/>
      <c r="F149" s="1847">
        <v>0.05</v>
      </c>
    </row>
    <row r="150" spans="1:6" ht="24.75" thickBot="1">
      <c r="A150" s="1841" t="s">
        <v>1409</v>
      </c>
      <c r="B150" s="1845" t="s">
        <v>2117</v>
      </c>
      <c r="C150" s="1855"/>
      <c r="D150" s="1855"/>
      <c r="E150" s="1855"/>
      <c r="F150" s="1847">
        <v>0.05</v>
      </c>
    </row>
    <row r="151" spans="1:6" ht="24.75" thickBot="1">
      <c r="A151" s="1841" t="s">
        <v>1409</v>
      </c>
      <c r="B151" s="1845" t="s">
        <v>2118</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2119</v>
      </c>
      <c r="C153" s="1855"/>
      <c r="D153" s="1855"/>
      <c r="E153" s="1855"/>
      <c r="F153" s="1847">
        <v>0.05</v>
      </c>
    </row>
    <row r="154" spans="1:6" ht="14.25" thickBot="1">
      <c r="A154" s="1841" t="s">
        <v>1409</v>
      </c>
      <c r="B154" s="1845" t="s">
        <v>2120</v>
      </c>
      <c r="C154" s="1855"/>
      <c r="D154" s="1855"/>
      <c r="E154" s="1855"/>
      <c r="F154" s="1847">
        <v>0.05</v>
      </c>
    </row>
    <row r="155" spans="1:6" ht="24.75" thickBot="1">
      <c r="A155" s="1841" t="s">
        <v>1409</v>
      </c>
      <c r="B155" s="1845" t="s">
        <v>2121</v>
      </c>
      <c r="C155" s="1855"/>
      <c r="D155" s="1855"/>
      <c r="E155" s="1855"/>
      <c r="F155" s="1847">
        <v>0.05</v>
      </c>
    </row>
    <row r="156" spans="1:6" ht="24.75" thickBot="1">
      <c r="A156" s="1841" t="s">
        <v>1409</v>
      </c>
      <c r="B156" s="1845" t="s">
        <v>2122</v>
      </c>
      <c r="C156" s="1855"/>
      <c r="D156" s="1855"/>
      <c r="E156" s="1855"/>
      <c r="F156" s="1847">
        <v>0.05</v>
      </c>
    </row>
    <row r="157" spans="1:6" ht="14.25" thickBot="1">
      <c r="A157" s="1849" t="s">
        <v>1409</v>
      </c>
      <c r="B157" s="1856" t="s">
        <v>2123</v>
      </c>
      <c r="C157" s="1852"/>
      <c r="D157" s="1852"/>
      <c r="E157" s="1852"/>
      <c r="F157" s="1857">
        <v>0.05</v>
      </c>
    </row>
    <row r="158" spans="1:6" ht="14.25" thickBot="1">
      <c r="A158" s="1841" t="s">
        <v>1411</v>
      </c>
      <c r="B158" s="1842" t="s">
        <v>2124</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2125</v>
      </c>
      <c r="C171" s="1846">
        <v>0.127</v>
      </c>
      <c r="D171" s="1846">
        <v>0.126</v>
      </c>
      <c r="E171" s="1846">
        <v>0.126</v>
      </c>
      <c r="F171" s="1847">
        <v>0.11799999999999999</v>
      </c>
    </row>
    <row r="172" spans="1:6" ht="14.25" thickBot="1">
      <c r="A172" s="1841" t="s">
        <v>1411</v>
      </c>
      <c r="B172" s="1845" t="s">
        <v>2126</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2127</v>
      </c>
      <c r="C174" s="1846">
        <v>0.13</v>
      </c>
      <c r="D174" s="1846">
        <v>0.13</v>
      </c>
      <c r="E174" s="1846">
        <v>0.13</v>
      </c>
      <c r="F174" s="1847">
        <v>0.13</v>
      </c>
    </row>
    <row r="175" spans="1:6" ht="14.25" thickBot="1">
      <c r="A175" s="1841" t="s">
        <v>1411</v>
      </c>
      <c r="B175" s="1845" t="s">
        <v>2128</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2129</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2130</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2131</v>
      </c>
      <c r="C185" s="1846">
        <v>0.127</v>
      </c>
      <c r="D185" s="1846">
        <v>0.127</v>
      </c>
      <c r="E185" s="1846">
        <v>0.128</v>
      </c>
      <c r="F185" s="1847">
        <v>0.13</v>
      </c>
    </row>
    <row r="186" spans="1:6" ht="24.75" thickBot="1">
      <c r="A186" s="1841" t="s">
        <v>1411</v>
      </c>
      <c r="B186" s="1845" t="s">
        <v>2132</v>
      </c>
      <c r="C186" s="1855"/>
      <c r="D186" s="1855"/>
      <c r="E186" s="1855"/>
      <c r="F186" s="1847">
        <v>0.05</v>
      </c>
    </row>
    <row r="187" spans="1:6" ht="14.25" thickBot="1">
      <c r="A187" s="1841" t="s">
        <v>1411</v>
      </c>
      <c r="B187" s="1845" t="s">
        <v>2133</v>
      </c>
      <c r="C187" s="1855"/>
      <c r="D187" s="1855"/>
      <c r="E187" s="1855"/>
      <c r="F187" s="1847">
        <v>0.05</v>
      </c>
    </row>
    <row r="188" spans="1:6" ht="14.25" thickBot="1">
      <c r="A188" s="1841" t="s">
        <v>1411</v>
      </c>
      <c r="B188" s="1845" t="s">
        <v>2134</v>
      </c>
      <c r="C188" s="1855"/>
      <c r="D188" s="1855"/>
      <c r="E188" s="1855"/>
      <c r="F188" s="1847">
        <v>0.05</v>
      </c>
    </row>
    <row r="189" spans="1:6" ht="24.75" thickBot="1">
      <c r="A189" s="1841" t="s">
        <v>1411</v>
      </c>
      <c r="B189" s="1845" t="s">
        <v>2135</v>
      </c>
      <c r="C189" s="1855"/>
      <c r="D189" s="1855"/>
      <c r="E189" s="1855"/>
      <c r="F189" s="1847">
        <v>0.05</v>
      </c>
    </row>
    <row r="190" spans="1:6" ht="24.75" thickBot="1">
      <c r="A190" s="1841" t="s">
        <v>1411</v>
      </c>
      <c r="B190" s="1845" t="s">
        <v>2136</v>
      </c>
      <c r="C190" s="1855"/>
      <c r="D190" s="1855"/>
      <c r="E190" s="1855"/>
      <c r="F190" s="1847">
        <v>0.05</v>
      </c>
    </row>
    <row r="191" spans="1:6" ht="24.75" thickBot="1">
      <c r="A191" s="1841" t="s">
        <v>1411</v>
      </c>
      <c r="B191" s="1845" t="s">
        <v>2137</v>
      </c>
      <c r="C191" s="1855"/>
      <c r="D191" s="1855"/>
      <c r="E191" s="1855"/>
      <c r="F191" s="1847">
        <v>0.05</v>
      </c>
    </row>
    <row r="192" spans="1:6" ht="24.75" thickBot="1">
      <c r="A192" s="1841" t="s">
        <v>1411</v>
      </c>
      <c r="B192" s="1845" t="s">
        <v>2138</v>
      </c>
      <c r="C192" s="1855"/>
      <c r="D192" s="1855"/>
      <c r="E192" s="1855"/>
      <c r="F192" s="1847">
        <v>0.05</v>
      </c>
    </row>
    <row r="193" spans="1:6" ht="24.75" thickBot="1">
      <c r="A193" s="1841" t="s">
        <v>1411</v>
      </c>
      <c r="B193" s="1845" t="s">
        <v>2139</v>
      </c>
      <c r="C193" s="1855"/>
      <c r="D193" s="1855"/>
      <c r="E193" s="1855"/>
      <c r="F193" s="1847">
        <v>0.05</v>
      </c>
    </row>
    <row r="194" spans="1:6" ht="24.75" thickBot="1">
      <c r="A194" s="1841" t="s">
        <v>1411</v>
      </c>
      <c r="B194" s="1845" t="s">
        <v>2140</v>
      </c>
      <c r="C194" s="1855"/>
      <c r="D194" s="1855"/>
      <c r="E194" s="1855"/>
      <c r="F194" s="1847">
        <v>0.05</v>
      </c>
    </row>
    <row r="195" spans="1:6" ht="14.25" thickBot="1">
      <c r="A195" s="1841" t="s">
        <v>1411</v>
      </c>
      <c r="B195" s="1845" t="s">
        <v>2141</v>
      </c>
      <c r="C195" s="1855"/>
      <c r="D195" s="1855"/>
      <c r="E195" s="1855"/>
      <c r="F195" s="1847">
        <v>0.05</v>
      </c>
    </row>
    <row r="196" spans="1:6" ht="24.75" thickBot="1">
      <c r="A196" s="1841" t="s">
        <v>1411</v>
      </c>
      <c r="B196" s="1845" t="s">
        <v>2142</v>
      </c>
      <c r="C196" s="1855"/>
      <c r="D196" s="1855"/>
      <c r="E196" s="1855"/>
      <c r="F196" s="1847">
        <v>0.05</v>
      </c>
    </row>
    <row r="197" spans="1:6" ht="24.75" thickBot="1">
      <c r="A197" s="1841" t="s">
        <v>1411</v>
      </c>
      <c r="B197" s="1845" t="s">
        <v>2143</v>
      </c>
      <c r="C197" s="1855"/>
      <c r="D197" s="1855"/>
      <c r="E197" s="1855"/>
      <c r="F197" s="1847">
        <v>0.05</v>
      </c>
    </row>
    <row r="198" spans="1:6" ht="24.75" thickBot="1">
      <c r="A198" s="1841" t="s">
        <v>1411</v>
      </c>
      <c r="B198" s="1845" t="s">
        <v>2144</v>
      </c>
      <c r="C198" s="1855"/>
      <c r="D198" s="1855"/>
      <c r="E198" s="1855"/>
      <c r="F198" s="1847">
        <v>0.05</v>
      </c>
    </row>
    <row r="199" spans="1:6" ht="24.75" thickBot="1">
      <c r="A199" s="1841" t="s">
        <v>1411</v>
      </c>
      <c r="B199" s="1845" t="s">
        <v>2145</v>
      </c>
      <c r="C199" s="1855"/>
      <c r="D199" s="1855"/>
      <c r="E199" s="1855"/>
      <c r="F199" s="1847">
        <v>0.05</v>
      </c>
    </row>
    <row r="200" spans="1:6" ht="24.75" thickBot="1">
      <c r="A200" s="1841" t="s">
        <v>1411</v>
      </c>
      <c r="B200" s="1845" t="s">
        <v>2146</v>
      </c>
      <c r="C200" s="1855"/>
      <c r="D200" s="1855"/>
      <c r="E200" s="1855"/>
      <c r="F200" s="1847">
        <v>0.05</v>
      </c>
    </row>
    <row r="201" spans="1:6" ht="24.75" thickBot="1">
      <c r="A201" s="1841" t="s">
        <v>1411</v>
      </c>
      <c r="B201" s="1845" t="s">
        <v>2147</v>
      </c>
      <c r="C201" s="1855"/>
      <c r="D201" s="1855"/>
      <c r="E201" s="1855"/>
      <c r="F201" s="1847">
        <v>0.05</v>
      </c>
    </row>
    <row r="202" spans="1:6" ht="24.75" thickBot="1">
      <c r="A202" s="1841" t="s">
        <v>1411</v>
      </c>
      <c r="B202" s="1845" t="s">
        <v>2148</v>
      </c>
      <c r="C202" s="1855"/>
      <c r="D202" s="1855"/>
      <c r="E202" s="1855"/>
      <c r="F202" s="1847">
        <v>0.05</v>
      </c>
    </row>
    <row r="203" spans="1:6" ht="24.75" thickBot="1">
      <c r="A203" s="1841" t="s">
        <v>1411</v>
      </c>
      <c r="B203" s="1845" t="s">
        <v>2149</v>
      </c>
      <c r="C203" s="1855"/>
      <c r="D203" s="1855"/>
      <c r="E203" s="1855"/>
      <c r="F203" s="1847">
        <v>0.05</v>
      </c>
    </row>
    <row r="204" spans="1:6" ht="14.25" thickBot="1">
      <c r="A204" s="1841" t="s">
        <v>1411</v>
      </c>
      <c r="B204" s="1845" t="s">
        <v>2150</v>
      </c>
      <c r="C204" s="1855"/>
      <c r="D204" s="1855"/>
      <c r="E204" s="1855"/>
      <c r="F204" s="1847">
        <v>0.05</v>
      </c>
    </row>
    <row r="205" spans="1:6" ht="14.25" thickBot="1">
      <c r="A205" s="1849" t="s">
        <v>1411</v>
      </c>
      <c r="B205" s="1856" t="s">
        <v>2151</v>
      </c>
      <c r="C205" s="1852"/>
      <c r="D205" s="1852"/>
      <c r="E205" s="1852"/>
      <c r="F205" s="1857">
        <v>0.05</v>
      </c>
    </row>
    <row r="206" spans="1:6" ht="14.25" thickBot="1">
      <c r="A206" s="1841" t="s">
        <v>1413</v>
      </c>
      <c r="B206" s="1842" t="s">
        <v>2152</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2153</v>
      </c>
      <c r="C210" s="1846">
        <v>0.15</v>
      </c>
      <c r="D210" s="1846">
        <v>0.15</v>
      </c>
      <c r="E210" s="1846">
        <v>0.15</v>
      </c>
      <c r="F210" s="1847">
        <v>0.13800000000000001</v>
      </c>
    </row>
    <row r="211" spans="1:6" ht="14.25" thickBot="1">
      <c r="A211" s="1841" t="s">
        <v>1413</v>
      </c>
      <c r="B211" s="1845" t="s">
        <v>2154</v>
      </c>
      <c r="C211" s="1846">
        <v>0.13700000000000001</v>
      </c>
      <c r="D211" s="1846">
        <v>0.13500000000000001</v>
      </c>
      <c r="E211" s="1846">
        <v>0.13600000000000001</v>
      </c>
      <c r="F211" s="1847">
        <v>0.1</v>
      </c>
    </row>
    <row r="212" spans="1:6" ht="14.25" thickBot="1">
      <c r="A212" s="1841" t="s">
        <v>1413</v>
      </c>
      <c r="B212" s="1845" t="s">
        <v>2155</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2156</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2157</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2158</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2159</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2160</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2161</v>
      </c>
      <c r="C231" s="1846">
        <v>0.128</v>
      </c>
      <c r="D231" s="1846">
        <v>0.125</v>
      </c>
      <c r="E231" s="1846">
        <v>0.13200000000000001</v>
      </c>
      <c r="F231" s="1854"/>
    </row>
    <row r="232" spans="1:6" ht="14.25" thickBot="1">
      <c r="A232" s="1841" t="s">
        <v>1413</v>
      </c>
      <c r="B232" s="1845" t="s">
        <v>2162</v>
      </c>
      <c r="C232" s="1846">
        <v>0.14499999999999999</v>
      </c>
      <c r="D232" s="1846">
        <v>0.14399999999999999</v>
      </c>
      <c r="E232" s="1846">
        <v>0.14599999999999999</v>
      </c>
      <c r="F232" s="1847">
        <v>0.13800000000000001</v>
      </c>
    </row>
    <row r="233" spans="1:6" ht="14.25" thickBot="1">
      <c r="A233" s="1841" t="s">
        <v>1413</v>
      </c>
      <c r="B233" s="1845" t="s">
        <v>2163</v>
      </c>
      <c r="C233" s="1846">
        <v>0.14499999999999999</v>
      </c>
      <c r="D233" s="1846">
        <v>0.14299999999999999</v>
      </c>
      <c r="E233" s="1846">
        <v>0.14199999999999999</v>
      </c>
      <c r="F233" s="1854"/>
    </row>
    <row r="234" spans="1:6" ht="14.25" thickBot="1">
      <c r="A234" s="1841" t="s">
        <v>1413</v>
      </c>
      <c r="B234" s="1845" t="s">
        <v>2164</v>
      </c>
      <c r="C234" s="1846">
        <v>0.14000000000000001</v>
      </c>
      <c r="D234" s="1846">
        <v>0.14000000000000001</v>
      </c>
      <c r="E234" s="1846">
        <v>0.14399999999999999</v>
      </c>
      <c r="F234" s="1854"/>
    </row>
    <row r="235" spans="1:6" ht="14.25" thickBot="1">
      <c r="A235" s="1841" t="s">
        <v>1413</v>
      </c>
      <c r="B235" s="1845" t="s">
        <v>2165</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2166</v>
      </c>
      <c r="C237" s="1855"/>
      <c r="D237" s="1855"/>
      <c r="E237" s="1855"/>
      <c r="F237" s="1847">
        <v>0.05</v>
      </c>
    </row>
    <row r="238" spans="1:6" ht="24.75" thickBot="1">
      <c r="A238" s="1841" t="s">
        <v>1413</v>
      </c>
      <c r="B238" s="1845" t="s">
        <v>2167</v>
      </c>
      <c r="C238" s="1855"/>
      <c r="D238" s="1855"/>
      <c r="E238" s="1855"/>
      <c r="F238" s="1847">
        <v>0.05</v>
      </c>
    </row>
    <row r="239" spans="1:6" ht="24.75" thickBot="1">
      <c r="A239" s="1841" t="s">
        <v>1413</v>
      </c>
      <c r="B239" s="1845" t="s">
        <v>2168</v>
      </c>
      <c r="C239" s="1855"/>
      <c r="D239" s="1855"/>
      <c r="E239" s="1855"/>
      <c r="F239" s="1847">
        <v>0.05</v>
      </c>
    </row>
    <row r="240" spans="1:6" ht="24.75" thickBot="1">
      <c r="A240" s="1841" t="s">
        <v>1413</v>
      </c>
      <c r="B240" s="1845" t="s">
        <v>2169</v>
      </c>
      <c r="C240" s="1855"/>
      <c r="D240" s="1855"/>
      <c r="E240" s="1855"/>
      <c r="F240" s="1847">
        <v>0.05</v>
      </c>
    </row>
    <row r="241" spans="1:6" ht="24.75" thickBot="1">
      <c r="A241" s="1841" t="s">
        <v>1413</v>
      </c>
      <c r="B241" s="1845" t="s">
        <v>2170</v>
      </c>
      <c r="C241" s="1855"/>
      <c r="D241" s="1855"/>
      <c r="E241" s="1855"/>
      <c r="F241" s="1847">
        <v>0.05</v>
      </c>
    </row>
    <row r="242" spans="1:6" ht="24.75" thickBot="1">
      <c r="A242" s="1841" t="s">
        <v>1413</v>
      </c>
      <c r="B242" s="1845" t="s">
        <v>2171</v>
      </c>
      <c r="C242" s="1855"/>
      <c r="D242" s="1855"/>
      <c r="E242" s="1855"/>
      <c r="F242" s="1847">
        <v>0.05</v>
      </c>
    </row>
    <row r="243" spans="1:6" ht="24.75" thickBot="1">
      <c r="A243" s="1841" t="s">
        <v>1413</v>
      </c>
      <c r="B243" s="1845" t="s">
        <v>2172</v>
      </c>
      <c r="C243" s="1855"/>
      <c r="D243" s="1855"/>
      <c r="E243" s="1855"/>
      <c r="F243" s="1847">
        <v>0.05</v>
      </c>
    </row>
    <row r="244" spans="1:6" ht="24.75" thickBot="1">
      <c r="A244" s="1849" t="s">
        <v>1413</v>
      </c>
      <c r="B244" s="1856" t="s">
        <v>2173</v>
      </c>
      <c r="C244" s="1852"/>
      <c r="D244" s="1852"/>
      <c r="E244" s="1852"/>
      <c r="F244" s="1857">
        <v>0.05</v>
      </c>
    </row>
    <row r="245" spans="1:6" ht="14.25" thickBot="1">
      <c r="A245" s="1841" t="s">
        <v>1415</v>
      </c>
      <c r="B245" s="1842" t="s">
        <v>2174</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2175</v>
      </c>
      <c r="C247" s="1846">
        <v>0.15</v>
      </c>
      <c r="D247" s="1846">
        <v>0.15</v>
      </c>
      <c r="E247" s="1846">
        <v>0.15</v>
      </c>
      <c r="F247" s="1847">
        <v>0.15</v>
      </c>
    </row>
    <row r="248" spans="1:6" ht="14.25" thickBot="1">
      <c r="A248" s="1841" t="s">
        <v>1415</v>
      </c>
      <c r="B248" s="1845" t="s">
        <v>2176</v>
      </c>
      <c r="C248" s="1846">
        <v>0.15</v>
      </c>
      <c r="D248" s="1846">
        <v>0.15</v>
      </c>
      <c r="E248" s="1846">
        <v>0.15</v>
      </c>
      <c r="F248" s="1847">
        <v>0.14000000000000001</v>
      </c>
    </row>
    <row r="249" spans="1:6" ht="14.25" thickBot="1">
      <c r="A249" s="1841" t="s">
        <v>1415</v>
      </c>
      <c r="B249" s="1845" t="s">
        <v>2177</v>
      </c>
      <c r="C249" s="1846">
        <v>0.15</v>
      </c>
      <c r="D249" s="1846">
        <v>0.14899999999999999</v>
      </c>
      <c r="E249" s="1846">
        <v>0.15</v>
      </c>
      <c r="F249" s="1847">
        <v>0.1</v>
      </c>
    </row>
    <row r="250" spans="1:6" ht="14.25" thickBot="1">
      <c r="A250" s="1841" t="s">
        <v>1415</v>
      </c>
      <c r="B250" s="1845" t="s">
        <v>2178</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2179</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2180</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2181</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2182</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2183</v>
      </c>
      <c r="C273" s="1846">
        <v>0.14199999999999999</v>
      </c>
      <c r="D273" s="1846">
        <v>0.14299999999999999</v>
      </c>
      <c r="E273" s="1846">
        <v>0.15</v>
      </c>
      <c r="F273" s="1847">
        <v>0.1</v>
      </c>
    </row>
    <row r="274" spans="1:6" ht="14.25" thickBot="1">
      <c r="A274" s="1841" t="s">
        <v>1415</v>
      </c>
      <c r="B274" s="1845" t="s">
        <v>2184</v>
      </c>
      <c r="C274" s="1846">
        <v>0.14799999999999999</v>
      </c>
      <c r="D274" s="1846">
        <v>0.14799999999999999</v>
      </c>
      <c r="E274" s="1846">
        <v>0.15</v>
      </c>
      <c r="F274" s="1847">
        <v>6.7000000000000004E-2</v>
      </c>
    </row>
    <row r="275" spans="1:6" ht="14.25" thickBot="1">
      <c r="A275" s="1841" t="s">
        <v>1415</v>
      </c>
      <c r="B275" s="1845" t="s">
        <v>2185</v>
      </c>
      <c r="C275" s="1846">
        <v>0.15</v>
      </c>
      <c r="D275" s="1846">
        <v>0.15</v>
      </c>
      <c r="E275" s="1846">
        <v>0.15</v>
      </c>
      <c r="F275" s="1847">
        <v>0.15</v>
      </c>
    </row>
    <row r="276" spans="1:6" ht="14.25" thickBot="1">
      <c r="A276" s="1841" t="s">
        <v>1415</v>
      </c>
      <c r="B276" s="1845" t="s">
        <v>2186</v>
      </c>
      <c r="C276" s="1846">
        <v>0.14499999999999999</v>
      </c>
      <c r="D276" s="1846">
        <v>0.14299999999999999</v>
      </c>
      <c r="E276" s="1846">
        <v>0.15</v>
      </c>
      <c r="F276" s="1847">
        <v>5.8999999999999997E-2</v>
      </c>
    </row>
    <row r="277" spans="1:6" ht="14.25" thickBot="1">
      <c r="A277" s="1841" t="s">
        <v>1415</v>
      </c>
      <c r="B277" s="1845" t="s">
        <v>2187</v>
      </c>
      <c r="C277" s="1846">
        <v>0.15</v>
      </c>
      <c r="D277" s="1846">
        <v>0.15</v>
      </c>
      <c r="E277" s="1846">
        <v>0.15</v>
      </c>
      <c r="F277" s="1847">
        <v>0.121</v>
      </c>
    </row>
    <row r="278" spans="1:6" ht="14.25" thickBot="1">
      <c r="A278" s="1841" t="s">
        <v>1415</v>
      </c>
      <c r="B278" s="1845" t="s">
        <v>2188</v>
      </c>
      <c r="C278" s="1846">
        <v>0.15</v>
      </c>
      <c r="D278" s="1846">
        <v>0.15</v>
      </c>
      <c r="E278" s="1846">
        <v>0.15</v>
      </c>
      <c r="F278" s="1847">
        <v>0.13800000000000001</v>
      </c>
    </row>
    <row r="279" spans="1:6" ht="24.75" thickBot="1">
      <c r="A279" s="1841" t="s">
        <v>1415</v>
      </c>
      <c r="B279" s="1845" t="s">
        <v>2189</v>
      </c>
      <c r="C279" s="1855"/>
      <c r="D279" s="1855"/>
      <c r="E279" s="1855"/>
      <c r="F279" s="1847">
        <v>0.05</v>
      </c>
    </row>
    <row r="280" spans="1:6" ht="24.75" thickBot="1">
      <c r="A280" s="1841" t="s">
        <v>1415</v>
      </c>
      <c r="B280" s="1845" t="s">
        <v>2190</v>
      </c>
      <c r="C280" s="1855"/>
      <c r="D280" s="1855"/>
      <c r="E280" s="1855"/>
      <c r="F280" s="1847">
        <v>0.05</v>
      </c>
    </row>
    <row r="281" spans="1:6" ht="24.75" thickBot="1">
      <c r="A281" s="1841" t="s">
        <v>1415</v>
      </c>
      <c r="B281" s="1845" t="s">
        <v>2191</v>
      </c>
      <c r="C281" s="1855"/>
      <c r="D281" s="1855"/>
      <c r="E281" s="1855"/>
      <c r="F281" s="1847">
        <v>0.05</v>
      </c>
    </row>
    <row r="282" spans="1:6" ht="24.75" thickBot="1">
      <c r="A282" s="1841" t="s">
        <v>1415</v>
      </c>
      <c r="B282" s="1845" t="s">
        <v>2192</v>
      </c>
      <c r="C282" s="1855"/>
      <c r="D282" s="1855"/>
      <c r="E282" s="1855"/>
      <c r="F282" s="1847">
        <v>0.05</v>
      </c>
    </row>
    <row r="283" spans="1:6" ht="24.75" thickBot="1">
      <c r="A283" s="1841" t="s">
        <v>1415</v>
      </c>
      <c r="B283" s="1845" t="s">
        <v>2193</v>
      </c>
      <c r="C283" s="1855"/>
      <c r="D283" s="1855"/>
      <c r="E283" s="1855"/>
      <c r="F283" s="1847">
        <v>0.05</v>
      </c>
    </row>
    <row r="284" spans="1:6" ht="24.75" thickBot="1">
      <c r="A284" s="1841" t="s">
        <v>1415</v>
      </c>
      <c r="B284" s="1845" t="s">
        <v>2194</v>
      </c>
      <c r="C284" s="1855"/>
      <c r="D284" s="1855"/>
      <c r="E284" s="1855"/>
      <c r="F284" s="1847">
        <v>0.05</v>
      </c>
    </row>
    <row r="285" spans="1:6" ht="24.75" thickBot="1">
      <c r="A285" s="1841" t="s">
        <v>1415</v>
      </c>
      <c r="B285" s="1845" t="s">
        <v>2195</v>
      </c>
      <c r="C285" s="1855"/>
      <c r="D285" s="1855"/>
      <c r="E285" s="1855"/>
      <c r="F285" s="1847">
        <v>0.05</v>
      </c>
    </row>
    <row r="286" spans="1:6" ht="24.75" thickBot="1">
      <c r="A286" s="1841" t="s">
        <v>1415</v>
      </c>
      <c r="B286" s="1845" t="s">
        <v>2196</v>
      </c>
      <c r="C286" s="1855"/>
      <c r="D286" s="1855"/>
      <c r="E286" s="1855"/>
      <c r="F286" s="1847">
        <v>0.05</v>
      </c>
    </row>
    <row r="287" spans="1:6" ht="24.75" thickBot="1">
      <c r="A287" s="1841" t="s">
        <v>1415</v>
      </c>
      <c r="B287" s="1845" t="s">
        <v>2197</v>
      </c>
      <c r="C287" s="1855"/>
      <c r="D287" s="1855"/>
      <c r="E287" s="1855"/>
      <c r="F287" s="1847">
        <v>0.05</v>
      </c>
    </row>
    <row r="288" spans="1:6" ht="24.75" thickBot="1">
      <c r="A288" s="1841" t="s">
        <v>1415</v>
      </c>
      <c r="B288" s="1845" t="s">
        <v>2198</v>
      </c>
      <c r="C288" s="1855"/>
      <c r="D288" s="1855"/>
      <c r="E288" s="1855"/>
      <c r="F288" s="1847">
        <v>0.05</v>
      </c>
    </row>
    <row r="289" spans="1:6" ht="24.75" thickBot="1">
      <c r="A289" s="1849" t="s">
        <v>1415</v>
      </c>
      <c r="B289" s="1856" t="s">
        <v>2199</v>
      </c>
      <c r="C289" s="1852"/>
      <c r="D289" s="1852"/>
      <c r="E289" s="1852"/>
      <c r="F289" s="1857">
        <v>0.05</v>
      </c>
    </row>
    <row r="290" spans="1:6" ht="14.25" thickBot="1">
      <c r="A290" s="1841" t="s">
        <v>1419</v>
      </c>
      <c r="B290" s="1842" t="s">
        <v>2200</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2201</v>
      </c>
      <c r="C292" s="1846">
        <v>0.15</v>
      </c>
      <c r="D292" s="1846">
        <v>0.15</v>
      </c>
      <c r="E292" s="1846">
        <v>0.15</v>
      </c>
      <c r="F292" s="1847">
        <v>0.14699999999999999</v>
      </c>
    </row>
    <row r="293" spans="1:6" ht="14.25" thickBot="1">
      <c r="A293" s="1841" t="s">
        <v>1419</v>
      </c>
      <c r="B293" s="1845" t="s">
        <v>2202</v>
      </c>
      <c r="C293" s="1855"/>
      <c r="D293" s="1855"/>
      <c r="E293" s="1855"/>
      <c r="F293" s="1847">
        <v>0.1</v>
      </c>
    </row>
    <row r="294" spans="1:6" ht="14.25" thickBot="1">
      <c r="A294" s="1841" t="s">
        <v>1419</v>
      </c>
      <c r="B294" s="1845" t="s">
        <v>2203</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2204</v>
      </c>
      <c r="C296" s="1846">
        <v>0.15</v>
      </c>
      <c r="D296" s="1846">
        <v>0.15</v>
      </c>
      <c r="E296" s="1846">
        <v>0.15</v>
      </c>
      <c r="F296" s="1847">
        <v>0.15</v>
      </c>
    </row>
    <row r="297" spans="1:6" ht="14.25" thickBot="1">
      <c r="A297" s="1841" t="s">
        <v>1419</v>
      </c>
      <c r="B297" s="1845" t="s">
        <v>2205</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2206</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2207</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2208</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2209</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2210</v>
      </c>
      <c r="C310" s="1846">
        <v>0.15</v>
      </c>
      <c r="D310" s="1846">
        <v>0.15</v>
      </c>
      <c r="E310" s="1846">
        <v>0.15</v>
      </c>
      <c r="F310" s="1847">
        <v>0.13700000000000001</v>
      </c>
    </row>
    <row r="311" spans="1:6" ht="14.25" thickBot="1">
      <c r="A311" s="1841" t="s">
        <v>1419</v>
      </c>
      <c r="B311" s="1845" t="s">
        <v>2211</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2212</v>
      </c>
      <c r="C313" s="1846">
        <v>0.15</v>
      </c>
      <c r="D313" s="1846">
        <v>0.15</v>
      </c>
      <c r="E313" s="1846">
        <v>0.15</v>
      </c>
      <c r="F313" s="1847">
        <v>0.15</v>
      </c>
    </row>
    <row r="314" spans="1:6" ht="24.75" thickBot="1">
      <c r="A314" s="1841" t="s">
        <v>1419</v>
      </c>
      <c r="B314" s="1845" t="s">
        <v>2213</v>
      </c>
      <c r="C314" s="1855"/>
      <c r="D314" s="1855"/>
      <c r="E314" s="1855"/>
      <c r="F314" s="1847">
        <v>0.05</v>
      </c>
    </row>
    <row r="315" spans="1:6" ht="24.75" thickBot="1">
      <c r="A315" s="1841" t="s">
        <v>1419</v>
      </c>
      <c r="B315" s="1845" t="s">
        <v>2214</v>
      </c>
      <c r="C315" s="1855"/>
      <c r="D315" s="1855"/>
      <c r="E315" s="1855"/>
      <c r="F315" s="1847">
        <v>0.05</v>
      </c>
    </row>
    <row r="316" spans="1:6" ht="24.75" thickBot="1">
      <c r="A316" s="1849" t="s">
        <v>1419</v>
      </c>
      <c r="B316" s="1856" t="s">
        <v>2215</v>
      </c>
      <c r="C316" s="1852"/>
      <c r="D316" s="1852"/>
      <c r="E316" s="1852"/>
      <c r="F316" s="1857">
        <v>0.05</v>
      </c>
    </row>
    <row r="317" spans="1:6" ht="14.25" thickBot="1">
      <c r="A317" s="1841" t="s">
        <v>2216</v>
      </c>
      <c r="B317" s="1842" t="s">
        <v>2217</v>
      </c>
      <c r="C317" s="1843">
        <v>0.15</v>
      </c>
      <c r="D317" s="1843">
        <v>0.15</v>
      </c>
      <c r="E317" s="1843">
        <v>0.15</v>
      </c>
      <c r="F317" s="1844">
        <v>0.15</v>
      </c>
    </row>
    <row r="318" spans="1:6" ht="14.25" thickBot="1">
      <c r="A318" s="1841" t="s">
        <v>2216</v>
      </c>
      <c r="B318" s="1845" t="s">
        <v>2218</v>
      </c>
      <c r="C318" s="1846">
        <v>0.107</v>
      </c>
      <c r="D318" s="1846">
        <v>0.11</v>
      </c>
      <c r="E318" s="1846">
        <v>0.112</v>
      </c>
      <c r="F318" s="1854"/>
    </row>
    <row r="319" spans="1:6" ht="14.25" thickBot="1">
      <c r="A319" s="1841" t="s">
        <v>2216</v>
      </c>
      <c r="B319" s="1845" t="s">
        <v>2219</v>
      </c>
      <c r="C319" s="1846">
        <v>0.15</v>
      </c>
      <c r="D319" s="1846">
        <v>0.15</v>
      </c>
      <c r="E319" s="1846">
        <v>0.15</v>
      </c>
      <c r="F319" s="1847">
        <v>0.15</v>
      </c>
    </row>
    <row r="320" spans="1:6" ht="14.25" thickBot="1">
      <c r="A320" s="1841" t="s">
        <v>2216</v>
      </c>
      <c r="B320" s="1845" t="s">
        <v>1107</v>
      </c>
      <c r="C320" s="1846">
        <v>0.15</v>
      </c>
      <c r="D320" s="1846">
        <v>0.15</v>
      </c>
      <c r="E320" s="1846">
        <v>0.15</v>
      </c>
      <c r="F320" s="1854"/>
    </row>
    <row r="321" spans="1:6" ht="14.25" thickBot="1">
      <c r="A321" s="1841" t="s">
        <v>2216</v>
      </c>
      <c r="B321" s="1845" t="s">
        <v>2220</v>
      </c>
      <c r="C321" s="1846">
        <v>0.15</v>
      </c>
      <c r="D321" s="1846">
        <v>0.15</v>
      </c>
      <c r="E321" s="1846">
        <v>0.15</v>
      </c>
      <c r="F321" s="1854"/>
    </row>
    <row r="322" spans="1:6" ht="14.25" thickBot="1">
      <c r="A322" s="1841" t="s">
        <v>2216</v>
      </c>
      <c r="B322" s="1845" t="s">
        <v>2221</v>
      </c>
      <c r="C322" s="1846">
        <v>0.15</v>
      </c>
      <c r="D322" s="1846">
        <v>0.15</v>
      </c>
      <c r="E322" s="1846">
        <v>0.15</v>
      </c>
      <c r="F322" s="1847">
        <v>0.15</v>
      </c>
    </row>
    <row r="323" spans="1:6" ht="14.25" thickBot="1">
      <c r="A323" s="1841" t="s">
        <v>2216</v>
      </c>
      <c r="B323" s="1845" t="s">
        <v>2222</v>
      </c>
      <c r="C323" s="1846">
        <v>0.15</v>
      </c>
      <c r="D323" s="1846">
        <v>0.15</v>
      </c>
      <c r="E323" s="1846">
        <v>0.15</v>
      </c>
      <c r="F323" s="1854"/>
    </row>
    <row r="324" spans="1:6" ht="14.25" thickBot="1">
      <c r="A324" s="1841" t="s">
        <v>2216</v>
      </c>
      <c r="B324" s="1845" t="s">
        <v>2223</v>
      </c>
      <c r="C324" s="1846">
        <v>0.15</v>
      </c>
      <c r="D324" s="1846">
        <v>0.15</v>
      </c>
      <c r="E324" s="1846">
        <v>0.15</v>
      </c>
      <c r="F324" s="1854"/>
    </row>
    <row r="325" spans="1:6" ht="14.25" thickBot="1">
      <c r="A325" s="1841" t="s">
        <v>2216</v>
      </c>
      <c r="B325" s="1845" t="s">
        <v>2224</v>
      </c>
      <c r="C325" s="1846">
        <v>0.15</v>
      </c>
      <c r="D325" s="1846">
        <v>0.15</v>
      </c>
      <c r="E325" s="1846">
        <v>0.15</v>
      </c>
      <c r="F325" s="1847">
        <v>0.14699999999999999</v>
      </c>
    </row>
    <row r="326" spans="1:6" ht="14.25" thickBot="1">
      <c r="A326" s="1841" t="s">
        <v>2216</v>
      </c>
      <c r="B326" s="1845" t="s">
        <v>1176</v>
      </c>
      <c r="C326" s="1846">
        <v>0.15</v>
      </c>
      <c r="D326" s="1846">
        <v>0.15</v>
      </c>
      <c r="E326" s="1846">
        <v>0.15</v>
      </c>
      <c r="F326" s="1854"/>
    </row>
    <row r="327" spans="1:6" ht="14.25" thickBot="1">
      <c r="A327" s="1841" t="s">
        <v>2216</v>
      </c>
      <c r="B327" s="1845" t="s">
        <v>2225</v>
      </c>
      <c r="C327" s="1846">
        <v>0.15</v>
      </c>
      <c r="D327" s="1846">
        <v>0.15</v>
      </c>
      <c r="E327" s="1846">
        <v>0.15</v>
      </c>
      <c r="F327" s="1847">
        <v>0.15</v>
      </c>
    </row>
    <row r="328" spans="1:6" ht="14.25" thickBot="1">
      <c r="A328" s="1841" t="s">
        <v>2216</v>
      </c>
      <c r="B328" s="1845" t="s">
        <v>1196</v>
      </c>
      <c r="C328" s="1846">
        <v>0.15</v>
      </c>
      <c r="D328" s="1846">
        <v>0.15</v>
      </c>
      <c r="E328" s="1846">
        <v>0.15</v>
      </c>
      <c r="F328" s="1847">
        <v>0.14099999999999999</v>
      </c>
    </row>
    <row r="329" spans="1:6" ht="14.25" thickBot="1">
      <c r="A329" s="1841" t="s">
        <v>2216</v>
      </c>
      <c r="B329" s="1845" t="s">
        <v>1206</v>
      </c>
      <c r="C329" s="1846">
        <v>0.15</v>
      </c>
      <c r="D329" s="1846">
        <v>0.15</v>
      </c>
      <c r="E329" s="1846">
        <v>0.15</v>
      </c>
      <c r="F329" s="1847">
        <v>0.15</v>
      </c>
    </row>
    <row r="330" spans="1:6" ht="14.25" thickBot="1">
      <c r="A330" s="1841" t="s">
        <v>2216</v>
      </c>
      <c r="B330" s="1845" t="s">
        <v>1216</v>
      </c>
      <c r="C330" s="1846">
        <v>0.15</v>
      </c>
      <c r="D330" s="1846">
        <v>0.15</v>
      </c>
      <c r="E330" s="1846">
        <v>0.15</v>
      </c>
      <c r="F330" s="1854"/>
    </row>
    <row r="331" spans="1:6" ht="14.25" thickBot="1">
      <c r="A331" s="1841" t="s">
        <v>2216</v>
      </c>
      <c r="B331" s="1845" t="s">
        <v>2226</v>
      </c>
      <c r="C331" s="1846">
        <v>0.15</v>
      </c>
      <c r="D331" s="1846">
        <v>0.15</v>
      </c>
      <c r="E331" s="1846">
        <v>0.15</v>
      </c>
      <c r="F331" s="1847">
        <v>0.15</v>
      </c>
    </row>
    <row r="332" spans="1:6" ht="14.25" thickBot="1">
      <c r="A332" s="1841" t="s">
        <v>2216</v>
      </c>
      <c r="B332" s="1845" t="s">
        <v>1236</v>
      </c>
      <c r="C332" s="1846">
        <v>0.15</v>
      </c>
      <c r="D332" s="1846">
        <v>0.15</v>
      </c>
      <c r="E332" s="1846">
        <v>0.15</v>
      </c>
      <c r="F332" s="1847">
        <v>0.15</v>
      </c>
    </row>
    <row r="333" spans="1:6" ht="14.25" thickBot="1">
      <c r="A333" s="1841" t="s">
        <v>2216</v>
      </c>
      <c r="B333" s="1845" t="s">
        <v>2227</v>
      </c>
      <c r="C333" s="1846">
        <v>0.15</v>
      </c>
      <c r="D333" s="1846">
        <v>0.15</v>
      </c>
      <c r="E333" s="1846">
        <v>0.15</v>
      </c>
      <c r="F333" s="1847">
        <v>0.14099999999999999</v>
      </c>
    </row>
    <row r="334" spans="1:6" ht="14.25" thickBot="1">
      <c r="A334" s="1841" t="s">
        <v>2216</v>
      </c>
      <c r="B334" s="1845" t="s">
        <v>1256</v>
      </c>
      <c r="C334" s="1846">
        <v>0.15</v>
      </c>
      <c r="D334" s="1846">
        <v>0.15</v>
      </c>
      <c r="E334" s="1846">
        <v>0.15</v>
      </c>
      <c r="F334" s="1847">
        <v>0.15</v>
      </c>
    </row>
    <row r="335" spans="1:6" ht="14.25" thickBot="1">
      <c r="A335" s="1841" t="s">
        <v>2216</v>
      </c>
      <c r="B335" s="1845" t="s">
        <v>1266</v>
      </c>
      <c r="C335" s="1846">
        <v>0.15</v>
      </c>
      <c r="D335" s="1846">
        <v>0.15</v>
      </c>
      <c r="E335" s="1846">
        <v>0.15</v>
      </c>
      <c r="F335" s="1854"/>
    </row>
    <row r="336" spans="1:6" ht="14.25" thickBot="1">
      <c r="A336" s="1841" t="s">
        <v>2216</v>
      </c>
      <c r="B336" s="1845" t="s">
        <v>2228</v>
      </c>
      <c r="C336" s="1846">
        <v>0.15</v>
      </c>
      <c r="D336" s="1846">
        <v>0.15</v>
      </c>
      <c r="E336" s="1846">
        <v>0.15</v>
      </c>
      <c r="F336" s="1847">
        <v>0.11799999999999999</v>
      </c>
    </row>
    <row r="337" spans="1:6" ht="14.25" thickBot="1">
      <c r="A337" s="1849" t="s">
        <v>2216</v>
      </c>
      <c r="B337" s="1856" t="s">
        <v>1284</v>
      </c>
      <c r="C337" s="1852"/>
      <c r="D337" s="1852"/>
      <c r="E337" s="1852"/>
      <c r="F337" s="1857">
        <v>0.14299999999999999</v>
      </c>
    </row>
    <row r="338" spans="1:6" ht="14.25" thickBot="1">
      <c r="A338" s="1841" t="s">
        <v>2229</v>
      </c>
      <c r="B338" s="1842" t="s">
        <v>2230</v>
      </c>
      <c r="C338" s="1843">
        <v>0.15</v>
      </c>
      <c r="D338" s="1843">
        <v>0.15</v>
      </c>
      <c r="E338" s="1843">
        <v>0.15</v>
      </c>
      <c r="F338" s="1865"/>
    </row>
    <row r="339" spans="1:6" ht="14.25" thickBot="1">
      <c r="A339" s="1841" t="s">
        <v>2229</v>
      </c>
      <c r="B339" s="1845" t="s">
        <v>2231</v>
      </c>
      <c r="C339" s="1846">
        <v>0.15</v>
      </c>
      <c r="D339" s="1846">
        <v>0.15</v>
      </c>
      <c r="E339" s="1846">
        <v>0.15</v>
      </c>
      <c r="F339" s="1854"/>
    </row>
    <row r="340" spans="1:6" ht="14.25" thickBot="1">
      <c r="A340" s="1841" t="s">
        <v>2229</v>
      </c>
      <c r="B340" s="1845" t="s">
        <v>2232</v>
      </c>
      <c r="C340" s="1846">
        <v>0.15</v>
      </c>
      <c r="D340" s="1846">
        <v>0.15</v>
      </c>
      <c r="E340" s="1846">
        <v>0.15</v>
      </c>
      <c r="F340" s="1854"/>
    </row>
    <row r="341" spans="1:6" ht="14.25" thickBot="1">
      <c r="A341" s="1841" t="s">
        <v>2233</v>
      </c>
      <c r="B341" s="1845" t="s">
        <v>2234</v>
      </c>
      <c r="C341" s="1846">
        <v>0.15</v>
      </c>
      <c r="D341" s="1846">
        <v>0.15</v>
      </c>
      <c r="E341" s="1846">
        <v>0.15</v>
      </c>
      <c r="F341" s="1847">
        <v>0.15</v>
      </c>
    </row>
    <row r="342" spans="1:6" ht="14.25" thickBot="1">
      <c r="A342" s="1841" t="s">
        <v>2229</v>
      </c>
      <c r="B342" s="1845" t="s">
        <v>2235</v>
      </c>
      <c r="C342" s="1846">
        <v>0.15</v>
      </c>
      <c r="D342" s="1846">
        <v>0.15</v>
      </c>
      <c r="E342" s="1846">
        <v>0.15</v>
      </c>
      <c r="F342" s="1847">
        <v>0.15</v>
      </c>
    </row>
    <row r="343" spans="1:6" ht="14.25" thickBot="1">
      <c r="A343" s="1841" t="s">
        <v>2229</v>
      </c>
      <c r="B343" s="1845" t="s">
        <v>2236</v>
      </c>
      <c r="C343" s="1846">
        <v>0.15</v>
      </c>
      <c r="D343" s="1846">
        <v>0.15</v>
      </c>
      <c r="E343" s="1846">
        <v>0.15</v>
      </c>
      <c r="F343" s="1847">
        <v>0.15</v>
      </c>
    </row>
    <row r="344" spans="1:6" ht="14.2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O36" sqref="O3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78" t="s">
        <v>2576</v>
      </c>
      <c r="C1" s="3478"/>
      <c r="D1" s="3478"/>
      <c r="E1" s="3478"/>
      <c r="F1" s="3478"/>
      <c r="G1" s="3477" t="s">
        <v>2577</v>
      </c>
      <c r="H1" s="3477"/>
      <c r="I1" s="3477"/>
      <c r="J1" s="3477"/>
      <c r="K1" s="3477"/>
      <c r="L1" s="3477"/>
      <c r="N1" s="3477" t="s">
        <v>2578</v>
      </c>
      <c r="O1" s="3477"/>
      <c r="P1" s="3477"/>
      <c r="Q1" s="3477"/>
      <c r="R1" s="2619"/>
      <c r="S1" s="3477" t="s">
        <v>2579</v>
      </c>
      <c r="T1" s="3477"/>
      <c r="U1" s="3477"/>
      <c r="V1" s="3477"/>
      <c r="X1" s="3476" t="s">
        <v>2639</v>
      </c>
      <c r="Y1" s="3477"/>
      <c r="Z1" s="3477"/>
      <c r="AA1" s="3477"/>
      <c r="AB1" s="3477"/>
      <c r="AD1" s="3476" t="s">
        <v>2643</v>
      </c>
      <c r="AE1" s="3477"/>
      <c r="AF1" s="3477"/>
      <c r="AG1" s="3477"/>
      <c r="AH1" s="3477"/>
    </row>
    <row r="2" spans="1:34" s="2720" customFormat="1" ht="14.25" thickBot="1">
      <c r="B2" s="2728" t="s">
        <v>2580</v>
      </c>
      <c r="C2" s="2728" t="s">
        <v>2641</v>
      </c>
      <c r="D2" s="2721" t="s">
        <v>1644</v>
      </c>
      <c r="E2" s="2721" t="s">
        <v>1949</v>
      </c>
      <c r="F2" s="2728" t="s">
        <v>2642</v>
      </c>
      <c r="G2" s="2724"/>
      <c r="H2" s="2723"/>
      <c r="I2" s="2728" t="s">
        <v>2957</v>
      </c>
      <c r="J2" s="2721" t="s">
        <v>2959</v>
      </c>
      <c r="K2" s="2721" t="s">
        <v>2960</v>
      </c>
      <c r="L2" s="2728" t="s">
        <v>2961</v>
      </c>
      <c r="N2" s="2728" t="s">
        <v>2580</v>
      </c>
      <c r="O2" s="2721" t="s">
        <v>2958</v>
      </c>
      <c r="P2" s="2721" t="s">
        <v>1949</v>
      </c>
      <c r="Q2" s="2728" t="s">
        <v>2642</v>
      </c>
      <c r="R2" s="2722"/>
      <c r="S2" s="2728" t="s">
        <v>2580</v>
      </c>
      <c r="T2" s="2721" t="s">
        <v>2958</v>
      </c>
      <c r="U2" s="2721" t="s">
        <v>1949</v>
      </c>
      <c r="V2" s="2728" t="s">
        <v>2642</v>
      </c>
      <c r="X2" s="2728" t="s">
        <v>2580</v>
      </c>
      <c r="Y2" s="2728" t="s">
        <v>2641</v>
      </c>
      <c r="Z2" s="2721" t="s">
        <v>1644</v>
      </c>
      <c r="AA2" s="2721" t="s">
        <v>1949</v>
      </c>
      <c r="AB2" s="2728" t="s">
        <v>2642</v>
      </c>
      <c r="AD2" s="2728" t="s">
        <v>2580</v>
      </c>
      <c r="AE2" s="2728" t="s">
        <v>2641</v>
      </c>
      <c r="AF2" s="2721" t="s">
        <v>1644</v>
      </c>
      <c r="AG2" s="2721" t="s">
        <v>1949</v>
      </c>
      <c r="AH2" s="2728" t="s">
        <v>2642</v>
      </c>
    </row>
    <row r="3" spans="1:34" s="3083" customFormat="1" ht="14.25">
      <c r="A3" s="3095" t="s">
        <v>2970</v>
      </c>
      <c r="B3" s="3084"/>
      <c r="C3" s="3084"/>
      <c r="D3" s="3085"/>
      <c r="E3" s="3085"/>
      <c r="F3" s="3084"/>
      <c r="G3" s="3086"/>
      <c r="H3" s="3087"/>
      <c r="I3" s="3094">
        <f>ROUND(AVERAGE($I4:$I27),2)</f>
        <v>2.04</v>
      </c>
      <c r="J3" s="3094">
        <f>ROUND(AVERAGE($J4:$J27),2)</f>
        <v>1.44</v>
      </c>
      <c r="K3" s="3094">
        <f>ROUND(AVERAGE($K4:$K27),2)</f>
        <v>2.23</v>
      </c>
      <c r="L3" s="3094">
        <f>ROUND(AVERAGE($L4:$L27),2)</f>
        <v>1.4</v>
      </c>
      <c r="N3" s="3086"/>
      <c r="O3" s="3088"/>
      <c r="P3" s="3088"/>
      <c r="Q3" s="3088"/>
      <c r="R3" s="3088"/>
      <c r="S3" s="3086"/>
      <c r="T3" s="3088"/>
      <c r="U3" s="3088"/>
      <c r="V3" s="3088"/>
      <c r="W3" s="3091"/>
      <c r="X3" s="3089">
        <f>ROUND(SUMPRODUCT(PRODUCT(1+N3:N$26)),4)</f>
        <v>1.5422</v>
      </c>
      <c r="Y3" s="3089">
        <f>ROUND(SUMPRODUCT(PRODUCT(1+O3:O$26)),4)</f>
        <v>1.3557999999999999</v>
      </c>
      <c r="Z3" s="3089">
        <f t="shared" ref="Z3:Z24" si="0">Y3</f>
        <v>1.3557999999999999</v>
      </c>
      <c r="AA3" s="3089">
        <f>ROUND(SUMPRODUCT(PRODUCT(1+P3:P$26)),4)</f>
        <v>1.6036999999999999</v>
      </c>
      <c r="AB3" s="3089">
        <f>ROUND(SUMPRODUCT(PRODUCT(1+Q3:Q$26)),4)</f>
        <v>1.3573</v>
      </c>
      <c r="AD3" s="3090">
        <f>ROUND(AVERAGE(I3:I$27)/100,4)</f>
        <v>2.0400000000000001E-2</v>
      </c>
      <c r="AE3" s="3090">
        <f>ROUND(AVERAGE(J3:J$27)/100,4)</f>
        <v>1.44E-2</v>
      </c>
      <c r="AF3" s="3090">
        <f t="shared" ref="AF3:AF25" si="1">AE3</f>
        <v>1.44E-2</v>
      </c>
      <c r="AG3" s="3090">
        <f>ROUND(AVERAGE(K3:K$27)/100,4)</f>
        <v>2.23E-2</v>
      </c>
      <c r="AH3" s="3090">
        <f>ROUND(AVERAGE(L3:L$27)/100,4)</f>
        <v>1.4E-2</v>
      </c>
    </row>
    <row r="4" spans="1:34" s="2713" customFormat="1" ht="14.25">
      <c r="B4" s="2714"/>
      <c r="C4" s="2714"/>
      <c r="D4" s="2715"/>
      <c r="E4" s="2715"/>
      <c r="F4" s="2714"/>
      <c r="G4" s="2719"/>
      <c r="H4" s="2716"/>
      <c r="I4" s="3079"/>
      <c r="J4" s="3079"/>
      <c r="K4" s="3079"/>
      <c r="L4" s="3079"/>
      <c r="N4" s="2719"/>
      <c r="O4" s="2717"/>
      <c r="P4" s="2717"/>
      <c r="Q4" s="2717"/>
      <c r="R4" s="2717"/>
      <c r="S4" s="2719"/>
      <c r="T4" s="2717"/>
      <c r="U4" s="2717"/>
      <c r="V4" s="2717"/>
      <c r="W4" s="3092"/>
      <c r="X4" s="2718"/>
      <c r="Y4" s="2718"/>
      <c r="Z4" s="2718"/>
      <c r="AA4" s="2718"/>
      <c r="AB4" s="2718"/>
      <c r="AD4" s="2638"/>
      <c r="AE4" s="2638"/>
      <c r="AF4" s="2638"/>
      <c r="AG4" s="2638"/>
      <c r="AH4" s="2638"/>
    </row>
    <row r="5" spans="1:34" s="3067" customFormat="1" ht="13.5" thickBot="1">
      <c r="A5" s="3065" t="s">
        <v>2996</v>
      </c>
      <c r="B5" s="2752">
        <f t="shared" ref="B5" si="2">B6*(1+N5)</f>
        <v>474.30670301923408</v>
      </c>
      <c r="C5" s="2752">
        <f t="shared" ref="C5" si="3">C6*(1+O5)</f>
        <v>349.50705005996491</v>
      </c>
      <c r="D5" s="2752">
        <f t="shared" ref="D5" si="4">C5</f>
        <v>349.50705005996491</v>
      </c>
      <c r="E5" s="2752">
        <f t="shared" ref="E5" si="5">E6*(1+P5)</f>
        <v>678.22831959706957</v>
      </c>
      <c r="F5" s="2752">
        <f t="shared" ref="F5" si="6">F6*(1+Q5)</f>
        <v>312.0556832169558</v>
      </c>
      <c r="G5" s="2719">
        <v>2019</v>
      </c>
      <c r="H5" s="3066">
        <v>3</v>
      </c>
      <c r="I5" s="3080">
        <v>0</v>
      </c>
      <c r="J5" s="3080">
        <v>0</v>
      </c>
      <c r="K5" s="3080">
        <v>0</v>
      </c>
      <c r="L5" s="3080">
        <v>0</v>
      </c>
      <c r="N5" s="2726">
        <f t="shared" ref="N5" si="7">I5/100</f>
        <v>0</v>
      </c>
      <c r="O5" s="2726">
        <f t="shared" ref="O5" si="8">J5/100</f>
        <v>0</v>
      </c>
      <c r="P5" s="2726">
        <f t="shared" ref="P5" si="9">K5/100</f>
        <v>0</v>
      </c>
      <c r="Q5" s="2726">
        <f t="shared" ref="Q5" si="10">L5/100</f>
        <v>0</v>
      </c>
      <c r="R5" s="3068"/>
      <c r="S5" s="3069"/>
      <c r="T5" s="3068"/>
      <c r="U5" s="3068"/>
      <c r="V5" s="3068"/>
      <c r="W5" s="3093" t="s">
        <v>2971</v>
      </c>
      <c r="X5" s="3070">
        <f>ROUND(IF(项目基本情况!B8="出让",SUMPRODUCT(PRODUCT(1+N5:N$27)),SUMPRODUCT(PRODUCT(1+N5:N$26))),4)</f>
        <v>1.5422</v>
      </c>
      <c r="Y5" s="3070">
        <f>ROUND(IF(项目基本情况!B8="出让",SUMPRODUCT(PRODUCT(1+O5:O$27)),SUMPRODUCT(PRODUCT(1+O5:O$26))),4)</f>
        <v>1.3557999999999999</v>
      </c>
      <c r="Z5" s="3070">
        <f t="shared" ref="Z5" si="11">Y5</f>
        <v>1.3557999999999999</v>
      </c>
      <c r="AA5" s="3070">
        <f>ROUND(IF(项目基本情况!B8="出让",SUMPRODUCT(PRODUCT(1+P5:P$27)),SUMPRODUCT(PRODUCT(1+P5:P$26))),4)</f>
        <v>1.6036999999999999</v>
      </c>
      <c r="AB5" s="3070">
        <f>ROUND(IF(项目基本情况!B8="出让",SUMPRODUCT(PRODUCT(1+Q5:Q$27)),SUMPRODUCT(PRODUCT(1+Q5:Q$26))),4)</f>
        <v>1.3573</v>
      </c>
      <c r="AD5" s="3071">
        <f>ROUND(AVERAGE(I5:I$27)/100,4)</f>
        <v>2.0400000000000001E-2</v>
      </c>
      <c r="AE5" s="3071">
        <f>ROUND(AVERAGE(J5:J$27)/100,4)</f>
        <v>1.44E-2</v>
      </c>
      <c r="AF5" s="3071">
        <f t="shared" ref="AF5" si="12">AE5</f>
        <v>1.44E-2</v>
      </c>
      <c r="AG5" s="3071">
        <f>ROUND(AVERAGE(K5:K$27)/100,4)</f>
        <v>2.23E-2</v>
      </c>
      <c r="AH5" s="3071">
        <f>ROUND(AVERAGE(L5:L$27)/100,4)</f>
        <v>1.4E-2</v>
      </c>
    </row>
    <row r="6" spans="1:34" s="2725" customFormat="1">
      <c r="A6" s="2620" t="s">
        <v>2995</v>
      </c>
      <c r="B6" s="2633">
        <f t="shared" ref="B6:B11" si="13">B7*(1+N6)</f>
        <v>474.30670301923408</v>
      </c>
      <c r="C6" s="2633">
        <f t="shared" ref="C6" si="14">C7*(1+O6)</f>
        <v>349.50705005996491</v>
      </c>
      <c r="D6" s="2633">
        <f t="shared" ref="D6" si="15">C6</f>
        <v>349.50705005996491</v>
      </c>
      <c r="E6" s="2633">
        <f t="shared" ref="E6" si="16">E7*(1+P6)</f>
        <v>678.22831959706957</v>
      </c>
      <c r="F6" s="2633">
        <f t="shared" ref="F6" si="17">F7*(1+Q6)</f>
        <v>312.0556832169558</v>
      </c>
      <c r="G6" s="2719">
        <v>2019</v>
      </c>
      <c r="H6" s="2621">
        <v>2</v>
      </c>
      <c r="I6" s="3182">
        <v>1.53</v>
      </c>
      <c r="J6" s="3182">
        <v>1.01</v>
      </c>
      <c r="K6" s="3182">
        <v>1.62</v>
      </c>
      <c r="L6" s="3183">
        <v>1.25</v>
      </c>
      <c r="M6" s="2627"/>
      <c r="N6" s="2628">
        <f t="shared" ref="N6" si="18">I6/100</f>
        <v>1.5300000000000001E-2</v>
      </c>
      <c r="O6" s="2629">
        <f t="shared" ref="O6" si="19">J6/100</f>
        <v>1.01E-2</v>
      </c>
      <c r="P6" s="2629">
        <f t="shared" ref="P6" si="20">K6/100</f>
        <v>1.6200000000000003E-2</v>
      </c>
      <c r="Q6" s="2629">
        <f t="shared" ref="Q6" si="21">L6/100</f>
        <v>1.2500000000000001E-2</v>
      </c>
      <c r="R6" s="2630"/>
      <c r="S6" s="2636"/>
      <c r="T6" s="2637"/>
      <c r="U6" s="2637"/>
      <c r="V6" s="2637"/>
      <c r="W6" s="2627"/>
      <c r="X6" s="2718">
        <f>ROUND(IF(项目基本情况!B8="出让",SUMPRODUCT(PRODUCT(1+N6:N$27)),SUMPRODUCT(PRODUCT(1+N6:N$26))),4)</f>
        <v>1.5422</v>
      </c>
      <c r="Y6" s="2718">
        <f>ROUND(IF(项目基本情况!B8="出让",SUMPRODUCT(PRODUCT(1+O6:O$27)),SUMPRODUCT(PRODUCT(1+O6:O$26))),4)</f>
        <v>1.3557999999999999</v>
      </c>
      <c r="Z6" s="2718">
        <f t="shared" ref="Z6" si="22">Y6</f>
        <v>1.3557999999999999</v>
      </c>
      <c r="AA6" s="2718">
        <f>ROUND(IF(项目基本情况!B8="出让",SUMPRODUCT(PRODUCT(1+P6:P$27)),SUMPRODUCT(PRODUCT(1+P6:P$26))),4)</f>
        <v>1.6036999999999999</v>
      </c>
      <c r="AB6" s="2718">
        <f>ROUND(IF(项目基本情况!B8="出让",SUMPRODUCT(PRODUCT(1+Q6:Q$27)),SUMPRODUCT(PRODUCT(1+Q6:Q$26))),4)</f>
        <v>1.3573</v>
      </c>
      <c r="AC6" s="2627"/>
      <c r="AD6" s="2638">
        <f>ROUND(AVERAGE(I6:I$27)/100,4)</f>
        <v>2.1299999999999999E-2</v>
      </c>
      <c r="AE6" s="2638">
        <f>ROUND(AVERAGE(J6:J$27)/100,4)</f>
        <v>1.4999999999999999E-2</v>
      </c>
      <c r="AF6" s="2638">
        <f t="shared" ref="AF6" si="23">AE6</f>
        <v>1.4999999999999999E-2</v>
      </c>
      <c r="AG6" s="2638">
        <f>ROUND(AVERAGE(K6:K$27)/100,4)</f>
        <v>2.3300000000000001E-2</v>
      </c>
      <c r="AH6" s="2638">
        <f>ROUND(AVERAGE(L6:L$27)/100,4)</f>
        <v>1.46E-2</v>
      </c>
    </row>
    <row r="7" spans="1:34" s="2725" customFormat="1" ht="13.5" thickBot="1">
      <c r="A7" s="2620" t="s">
        <v>2993</v>
      </c>
      <c r="B7" s="2633">
        <f t="shared" si="13"/>
        <v>467.15916775261894</v>
      </c>
      <c r="C7" s="2633">
        <f t="shared" ref="C7" si="24">C8*(1+O7)</f>
        <v>346.01232557169084</v>
      </c>
      <c r="D7" s="2633">
        <f t="shared" ref="D7" si="25">C7</f>
        <v>346.01232557169084</v>
      </c>
      <c r="E7" s="2633">
        <f t="shared" ref="E7" si="26">E8*(1+P7)</f>
        <v>667.41617752122568</v>
      </c>
      <c r="F7" s="2633">
        <f t="shared" ref="F7" si="27">F8*(1+Q7)</f>
        <v>308.20314391798104</v>
      </c>
      <c r="G7" s="2719">
        <v>2019</v>
      </c>
      <c r="H7" s="2623">
        <v>1</v>
      </c>
      <c r="I7" s="2623">
        <v>0.6</v>
      </c>
      <c r="J7" s="2623">
        <v>0.37</v>
      </c>
      <c r="K7" s="2623">
        <v>0.63</v>
      </c>
      <c r="L7" s="2634">
        <v>1.1299999999999999</v>
      </c>
      <c r="M7" s="2627"/>
      <c r="N7" s="2628">
        <f t="shared" ref="N7" si="28">I7/100</f>
        <v>6.0000000000000001E-3</v>
      </c>
      <c r="O7" s="2629">
        <f t="shared" ref="O7" si="29">J7/100</f>
        <v>3.7000000000000002E-3</v>
      </c>
      <c r="P7" s="2629">
        <f t="shared" ref="P7" si="30">K7/100</f>
        <v>6.3E-3</v>
      </c>
      <c r="Q7" s="2629">
        <f t="shared" ref="Q7" si="31">L7/100</f>
        <v>1.1299999999999999E-2</v>
      </c>
      <c r="R7" s="2630"/>
      <c r="S7" s="2636">
        <f>B7/B8-1</f>
        <v>6.0000000000000053E-3</v>
      </c>
      <c r="T7" s="2637">
        <f>C7/C8-1</f>
        <v>3.7000000000000366E-3</v>
      </c>
      <c r="U7" s="2637">
        <f>E7/E8-1</f>
        <v>6.2999999999999723E-3</v>
      </c>
      <c r="V7" s="2637">
        <f>F7/F8-1</f>
        <v>1.1300000000000088E-2</v>
      </c>
      <c r="W7" s="2627"/>
      <c r="X7" s="2718">
        <f>ROUND(IF(项目基本情况!B8="出让",SUMPRODUCT(PRODUCT(1+N7:N$27)),SUMPRODUCT(PRODUCT(1+N7:N$26))),4)</f>
        <v>1.5189999999999999</v>
      </c>
      <c r="Y7" s="2718">
        <f>ROUND(IF(项目基本情况!B8="出让",SUMPRODUCT(PRODUCT(1+O7:O$27)),SUMPRODUCT(PRODUCT(1+O7:O$26))),4)</f>
        <v>1.3423</v>
      </c>
      <c r="Z7" s="2718">
        <f t="shared" ref="Z7" si="32">Y7</f>
        <v>1.3423</v>
      </c>
      <c r="AA7" s="2718">
        <f>ROUND(IF(项目基本情况!B8="出让",SUMPRODUCT(PRODUCT(1+P7:P$27)),SUMPRODUCT(PRODUCT(1+P7:P$26))),4)</f>
        <v>1.5782</v>
      </c>
      <c r="AB7" s="2718">
        <f>ROUND(IF(项目基本情况!B8="出让",SUMPRODUCT(PRODUCT(1+Q7:Q$27)),SUMPRODUCT(PRODUCT(1+Q7:Q$26))),4)</f>
        <v>1.3405</v>
      </c>
      <c r="AC7" s="2627"/>
      <c r="AD7" s="2638">
        <f>ROUND(AVERAGE(I7:I$27)/100,4)</f>
        <v>2.1600000000000001E-2</v>
      </c>
      <c r="AE7" s="2638">
        <f>ROUND(AVERAGE(J7:J$27)/100,4)</f>
        <v>1.5299999999999999E-2</v>
      </c>
      <c r="AF7" s="2638">
        <f t="shared" ref="AF7" si="33">AE7</f>
        <v>1.5299999999999999E-2</v>
      </c>
      <c r="AG7" s="2638">
        <f>ROUND(AVERAGE(K7:K$27)/100,4)</f>
        <v>2.3699999999999999E-2</v>
      </c>
      <c r="AH7" s="2638">
        <f>ROUND(AVERAGE(L7:L$27)/100,4)</f>
        <v>1.47E-2</v>
      </c>
    </row>
    <row r="8" spans="1:34" s="2725" customFormat="1">
      <c r="A8" s="2620" t="s">
        <v>2990</v>
      </c>
      <c r="B8" s="3179">
        <f t="shared" si="13"/>
        <v>464.37293017158942</v>
      </c>
      <c r="C8" s="3179">
        <f t="shared" ref="C8" si="34">C9*(1+O8)</f>
        <v>344.73679941385956</v>
      </c>
      <c r="D8" s="3179">
        <f t="shared" ref="D8" si="35">C8</f>
        <v>344.73679941385956</v>
      </c>
      <c r="E8" s="3179">
        <f t="shared" ref="E8" si="36">E9*(1+P8)</f>
        <v>663.2377795103107</v>
      </c>
      <c r="F8" s="3180">
        <f t="shared" ref="F8" si="37">F9*(1+Q8)</f>
        <v>304.75936311478398</v>
      </c>
      <c r="G8" s="3480">
        <v>2018</v>
      </c>
      <c r="H8" s="2621">
        <v>4</v>
      </c>
      <c r="I8" s="2621">
        <v>0.96</v>
      </c>
      <c r="J8" s="2621">
        <v>1.03</v>
      </c>
      <c r="K8" s="2621">
        <v>0.92</v>
      </c>
      <c r="L8" s="2622">
        <v>1.29</v>
      </c>
      <c r="M8" s="2627"/>
      <c r="N8" s="2628">
        <f t="shared" ref="N8" si="38">I8/100</f>
        <v>9.5999999999999992E-3</v>
      </c>
      <c r="O8" s="2629">
        <f t="shared" ref="O8" si="39">J8/100</f>
        <v>1.03E-2</v>
      </c>
      <c r="P8" s="2629">
        <f t="shared" ref="P8" si="40">K8/100</f>
        <v>9.1999999999999998E-3</v>
      </c>
      <c r="Q8" s="2629">
        <f t="shared" ref="Q8" si="41">L8/100</f>
        <v>1.29E-2</v>
      </c>
      <c r="R8" s="2630"/>
      <c r="S8" s="2631"/>
      <c r="T8" s="2632"/>
      <c r="U8" s="2632"/>
      <c r="V8" s="2632"/>
      <c r="W8" s="2627"/>
      <c r="X8" s="2718">
        <f>ROUND(SUMPRODUCT(PRODUCT(1+N8:N$26)),4)</f>
        <v>1.5099</v>
      </c>
      <c r="Y8" s="2718">
        <f>ROUND(SUMPRODUCT(PRODUCT(1+O8:O$26)),4)</f>
        <v>1.3372999999999999</v>
      </c>
      <c r="Z8" s="2718">
        <f t="shared" ref="Z8" si="42">Y8</f>
        <v>1.3372999999999999</v>
      </c>
      <c r="AA8" s="2718">
        <f>ROUND(SUMPRODUCT(PRODUCT(1+P8:P$26)),4)</f>
        <v>1.5683</v>
      </c>
      <c r="AB8" s="2718">
        <f>ROUND(SUMPRODUCT(PRODUCT(1+Q8:Q$26)),4)</f>
        <v>1.3255999999999999</v>
      </c>
      <c r="AC8" s="2627"/>
      <c r="AD8" s="2638">
        <f>ROUND(AVERAGE(I8:I$27)/100,4)</f>
        <v>2.24E-2</v>
      </c>
      <c r="AE8" s="2638">
        <f>ROUND(AVERAGE(J8:J$27)/100,4)</f>
        <v>1.5800000000000002E-2</v>
      </c>
      <c r="AF8" s="2638">
        <f t="shared" ref="AF8" si="43">AE8</f>
        <v>1.5800000000000002E-2</v>
      </c>
      <c r="AG8" s="2638">
        <f>ROUND(AVERAGE(K8:K$27)/100,4)</f>
        <v>2.4500000000000001E-2</v>
      </c>
      <c r="AH8" s="2638">
        <f>ROUND(AVERAGE(L8:L$27)/100,4)</f>
        <v>1.49E-2</v>
      </c>
    </row>
    <row r="9" spans="1:34" s="2725" customFormat="1" ht="14.45" customHeight="1">
      <c r="A9" s="2620" t="s">
        <v>2980</v>
      </c>
      <c r="B9" s="2633">
        <f t="shared" si="13"/>
        <v>459.95733971036987</v>
      </c>
      <c r="C9" s="2633">
        <f t="shared" ref="C9" si="44">C10*(1+O9)</f>
        <v>341.22221064422405</v>
      </c>
      <c r="D9" s="2633">
        <f t="shared" ref="D9" si="45">C9</f>
        <v>341.22221064422405</v>
      </c>
      <c r="E9" s="2633">
        <f t="shared" ref="E9" si="46">E10*(1+P9)</f>
        <v>657.19161663724799</v>
      </c>
      <c r="F9" s="2633">
        <f t="shared" ref="F9" si="47">F10*(1+Q9)</f>
        <v>300.87803644464805</v>
      </c>
      <c r="G9" s="3480"/>
      <c r="H9" s="2623">
        <v>3</v>
      </c>
      <c r="I9" s="2623">
        <v>1.51</v>
      </c>
      <c r="J9" s="2623">
        <v>1.41</v>
      </c>
      <c r="K9" s="2623">
        <v>1.52</v>
      </c>
      <c r="L9" s="2634">
        <v>1.74</v>
      </c>
      <c r="M9" s="2627"/>
      <c r="N9" s="2628">
        <f t="shared" ref="N9" si="48">I9/100</f>
        <v>1.5100000000000001E-2</v>
      </c>
      <c r="O9" s="2629">
        <f t="shared" ref="O9" si="49">J9/100</f>
        <v>1.41E-2</v>
      </c>
      <c r="P9" s="2629">
        <f t="shared" ref="P9" si="50">K9/100</f>
        <v>1.52E-2</v>
      </c>
      <c r="Q9" s="2629">
        <f t="shared" ref="Q9" si="51">L9/100</f>
        <v>1.7399999999999999E-2</v>
      </c>
      <c r="R9" s="2630"/>
      <c r="S9" s="2628"/>
      <c r="T9" s="2629"/>
      <c r="U9" s="2629"/>
      <c r="V9" s="2629"/>
      <c r="W9" s="2627"/>
      <c r="X9" s="2718">
        <f>ROUND(SUMPRODUCT(PRODUCT(1+N9:N$26)),4)</f>
        <v>1.4956</v>
      </c>
      <c r="Y9" s="2718">
        <f>ROUND(SUMPRODUCT(PRODUCT(1+O9:O$26)),4)</f>
        <v>1.3237000000000001</v>
      </c>
      <c r="Z9" s="2718">
        <f t="shared" ref="Z9" si="52">Y9</f>
        <v>1.3237000000000001</v>
      </c>
      <c r="AA9" s="2718">
        <f>ROUND(SUMPRODUCT(PRODUCT(1+P9:P$26)),4)</f>
        <v>1.554</v>
      </c>
      <c r="AB9" s="2718">
        <f>ROUND(SUMPRODUCT(PRODUCT(1+Q9:Q$26)),4)</f>
        <v>1.3087</v>
      </c>
      <c r="AC9" s="2627"/>
      <c r="AD9" s="2638">
        <f>ROUND(AVERAGE(I9:I$27)/100,4)</f>
        <v>2.3099999999999999E-2</v>
      </c>
      <c r="AE9" s="2638">
        <f>ROUND(AVERAGE(J9:J$27)/100,4)</f>
        <v>1.61E-2</v>
      </c>
      <c r="AF9" s="2638">
        <f t="shared" ref="AF9" si="53">AE9</f>
        <v>1.61E-2</v>
      </c>
      <c r="AG9" s="2638">
        <f>ROUND(AVERAGE(K9:K$27)/100,4)</f>
        <v>2.53E-2</v>
      </c>
      <c r="AH9" s="2638">
        <f>ROUND(AVERAGE(L9:L$27)/100,4)</f>
        <v>1.4999999999999999E-2</v>
      </c>
    </row>
    <row r="10" spans="1:34" s="2725" customFormat="1" ht="14.45" customHeight="1">
      <c r="A10" s="2620" t="s">
        <v>2981</v>
      </c>
      <c r="B10" s="2633">
        <f t="shared" si="13"/>
        <v>453.11529869999993</v>
      </c>
      <c r="C10" s="2633">
        <f t="shared" ref="C10" si="54">C11*(1+O10)</f>
        <v>336.47787264000004</v>
      </c>
      <c r="D10" s="2633">
        <f t="shared" ref="D10" si="55">C10</f>
        <v>336.47787264000004</v>
      </c>
      <c r="E10" s="2633">
        <f t="shared" ref="E10" si="56">E11*(1+P10)</f>
        <v>647.35186823999993</v>
      </c>
      <c r="F10" s="2633">
        <f t="shared" ref="F10" si="57">F11*(1+Q10)</f>
        <v>295.73229452000004</v>
      </c>
      <c r="G10" s="3480"/>
      <c r="H10" s="2624">
        <v>2</v>
      </c>
      <c r="I10" s="2624">
        <v>1.49</v>
      </c>
      <c r="J10" s="2624">
        <v>0.96</v>
      </c>
      <c r="K10" s="2624">
        <v>1.58</v>
      </c>
      <c r="L10" s="2635">
        <v>2.44</v>
      </c>
      <c r="M10" s="2627"/>
      <c r="N10" s="2628">
        <f t="shared" ref="N10" si="58">I10/100</f>
        <v>1.49E-2</v>
      </c>
      <c r="O10" s="2629">
        <f t="shared" ref="O10" si="59">J10/100</f>
        <v>9.5999999999999992E-3</v>
      </c>
      <c r="P10" s="2629">
        <f t="shared" ref="P10" si="60">K10/100</f>
        <v>1.5800000000000002E-2</v>
      </c>
      <c r="Q10" s="2629">
        <f t="shared" ref="Q10" si="61">L10/100</f>
        <v>2.4399999999999998E-2</v>
      </c>
      <c r="R10" s="2630"/>
      <c r="S10" s="2628"/>
      <c r="T10" s="2629"/>
      <c r="U10" s="2629"/>
      <c r="V10" s="2629"/>
      <c r="W10" s="2627"/>
      <c r="X10" s="2718">
        <f>ROUND(SUMPRODUCT(PRODUCT(1+N10:N$26)),4)</f>
        <v>1.4733000000000001</v>
      </c>
      <c r="Y10" s="2718">
        <f>ROUND(SUMPRODUCT(PRODUCT(1+O10:O$26)),4)</f>
        <v>1.3052999999999999</v>
      </c>
      <c r="Z10" s="2718">
        <f t="shared" ref="Z10" si="62">Y10</f>
        <v>1.3052999999999999</v>
      </c>
      <c r="AA10" s="2718">
        <f>ROUND(SUMPRODUCT(PRODUCT(1+P10:P$26)),4)</f>
        <v>1.5306999999999999</v>
      </c>
      <c r="AB10" s="2718">
        <f>ROUND(SUMPRODUCT(PRODUCT(1+Q10:Q$26)),4)</f>
        <v>1.2863</v>
      </c>
      <c r="AC10" s="2627"/>
      <c r="AD10" s="2638">
        <f>ROUND(AVERAGE(I10:I$27)/100,4)</f>
        <v>2.35E-2</v>
      </c>
      <c r="AE10" s="2638">
        <f>ROUND(AVERAGE(J10:J$27)/100,4)</f>
        <v>1.6199999999999999E-2</v>
      </c>
      <c r="AF10" s="2638">
        <f t="shared" ref="AF10" si="63">AE10</f>
        <v>1.6199999999999999E-2</v>
      </c>
      <c r="AG10" s="2638">
        <f>ROUND(AVERAGE(K10:K$27)/100,4)</f>
        <v>2.5899999999999999E-2</v>
      </c>
      <c r="AH10" s="2638">
        <f>ROUND(AVERAGE(L10:L$27)/100,4)</f>
        <v>1.49E-2</v>
      </c>
    </row>
    <row r="11" spans="1:34" s="2725" customFormat="1" ht="15" customHeight="1" thickBot="1">
      <c r="A11" s="2620" t="s">
        <v>2977</v>
      </c>
      <c r="B11" s="2633">
        <f t="shared" si="13"/>
        <v>446.46299999999997</v>
      </c>
      <c r="C11" s="2633">
        <f t="shared" ref="C11" si="64">C12*(1+O11)</f>
        <v>333.27840000000003</v>
      </c>
      <c r="D11" s="2633">
        <f t="shared" ref="D11:D16" si="65">C11</f>
        <v>333.27840000000003</v>
      </c>
      <c r="E11" s="2633">
        <f t="shared" ref="E11" si="66">E12*(1+P11)</f>
        <v>637.28279999999995</v>
      </c>
      <c r="F11" s="2633">
        <f t="shared" ref="F11" si="67">F12*(1+Q11)</f>
        <v>288.68830000000003</v>
      </c>
      <c r="G11" s="3486"/>
      <c r="H11" s="2623">
        <v>1</v>
      </c>
      <c r="I11" s="2623">
        <v>1.7</v>
      </c>
      <c r="J11" s="2623">
        <v>1.92</v>
      </c>
      <c r="K11" s="2623">
        <v>1.64</v>
      </c>
      <c r="L11" s="2634">
        <v>2.0099999999999998</v>
      </c>
      <c r="M11" s="2627"/>
      <c r="N11" s="2628">
        <f t="shared" ref="N11:N16" si="68">I11/100</f>
        <v>1.7000000000000001E-2</v>
      </c>
      <c r="O11" s="2629">
        <f t="shared" ref="O11" si="69">J11/100</f>
        <v>1.9199999999999998E-2</v>
      </c>
      <c r="P11" s="2629">
        <f t="shared" ref="P11" si="70">K11/100</f>
        <v>1.6399999999999998E-2</v>
      </c>
      <c r="Q11" s="2629">
        <f t="shared" ref="Q11" si="71">L11/100</f>
        <v>2.0099999999999996E-2</v>
      </c>
      <c r="R11" s="2630"/>
      <c r="S11" s="2636">
        <f>B11/B12-1</f>
        <v>1.6999999999999904E-2</v>
      </c>
      <c r="T11" s="2637">
        <f>C11/C12-1</f>
        <v>1.9200000000000106E-2</v>
      </c>
      <c r="U11" s="2637">
        <f>E11/E12-1</f>
        <v>1.639999999999997E-2</v>
      </c>
      <c r="V11" s="2637">
        <f>F11/F12-1</f>
        <v>2.0100000000000007E-2</v>
      </c>
      <c r="W11" s="2627"/>
      <c r="X11" s="2718">
        <f>ROUND(SUMPRODUCT(PRODUCT(1+N11:N$26)),4)</f>
        <v>1.4517</v>
      </c>
      <c r="Y11" s="2718">
        <f>ROUND(SUMPRODUCT(PRODUCT(1+O11:O$26)),4)</f>
        <v>1.2928999999999999</v>
      </c>
      <c r="Z11" s="2718">
        <f t="shared" ref="Z11" si="72">Y11</f>
        <v>1.2928999999999999</v>
      </c>
      <c r="AA11" s="2718">
        <f>ROUND(SUMPRODUCT(PRODUCT(1+P11:P$26)),4)</f>
        <v>1.5068999999999999</v>
      </c>
      <c r="AB11" s="2718">
        <f>ROUND(SUMPRODUCT(PRODUCT(1+Q11:Q$26)),4)</f>
        <v>1.2557</v>
      </c>
      <c r="AC11" s="2627"/>
      <c r="AD11" s="2638">
        <f>ROUND(AVERAGE(I11:I$27)/100,4)</f>
        <v>2.4E-2</v>
      </c>
      <c r="AE11" s="2638">
        <f>ROUND(AVERAGE(J11:J$27)/100,4)</f>
        <v>1.66E-2</v>
      </c>
      <c r="AF11" s="2638">
        <f t="shared" ref="AF11" si="73">AE11</f>
        <v>1.66E-2</v>
      </c>
      <c r="AG11" s="2638">
        <f>ROUND(AVERAGE(K11:K$27)/100,4)</f>
        <v>2.6499999999999999E-2</v>
      </c>
      <c r="AH11" s="2638">
        <f>ROUND(AVERAGE(L11:L$27)/100,4)</f>
        <v>1.43E-2</v>
      </c>
    </row>
    <row r="12" spans="1:34">
      <c r="A12" s="2620" t="s">
        <v>2968</v>
      </c>
      <c r="B12" s="3097">
        <v>439</v>
      </c>
      <c r="C12" s="3097">
        <v>327</v>
      </c>
      <c r="D12" s="3097">
        <f t="shared" si="65"/>
        <v>327</v>
      </c>
      <c r="E12" s="3097">
        <v>627</v>
      </c>
      <c r="F12" s="3098">
        <v>283</v>
      </c>
      <c r="G12" s="3485">
        <v>2017</v>
      </c>
      <c r="H12" s="2621">
        <v>4</v>
      </c>
      <c r="I12" s="2621">
        <v>1.71</v>
      </c>
      <c r="J12" s="2621">
        <v>1.78</v>
      </c>
      <c r="K12" s="2621">
        <v>1.71</v>
      </c>
      <c r="L12" s="2622">
        <v>1.43</v>
      </c>
      <c r="N12" s="2641">
        <f t="shared" si="68"/>
        <v>1.7100000000000001E-2</v>
      </c>
      <c r="O12" s="2642">
        <f t="shared" ref="O12" si="74">J12/100</f>
        <v>1.78E-2</v>
      </c>
      <c r="P12" s="2642">
        <f t="shared" ref="P12" si="75">K12/100</f>
        <v>1.7100000000000001E-2</v>
      </c>
      <c r="Q12" s="2642">
        <f t="shared" ref="Q12" si="76">L12/100</f>
        <v>1.43E-2</v>
      </c>
      <c r="R12" s="2630"/>
      <c r="S12" s="2631"/>
      <c r="T12" s="2632"/>
      <c r="U12" s="2632"/>
      <c r="V12" s="2632"/>
      <c r="X12" s="2718">
        <f>ROUND(SUMPRODUCT(PRODUCT(1+N12:N$26)),4)</f>
        <v>1.4274</v>
      </c>
      <c r="Y12" s="2718">
        <f>ROUND(SUMPRODUCT(PRODUCT(1+O12:O$26)),4)</f>
        <v>1.2685</v>
      </c>
      <c r="Z12" s="2718">
        <f t="shared" si="0"/>
        <v>1.2685</v>
      </c>
      <c r="AA12" s="2718">
        <f>ROUND(SUMPRODUCT(PRODUCT(1+P12:P$26)),4)</f>
        <v>1.4825999999999999</v>
      </c>
      <c r="AB12" s="2718">
        <f>ROUND(SUMPRODUCT(PRODUCT(1+Q12:Q$26)),4)</f>
        <v>1.2309000000000001</v>
      </c>
      <c r="AD12" s="2638">
        <f>ROUND(AVERAGE(I12:I$27)/100,4)</f>
        <v>2.4500000000000001E-2</v>
      </c>
      <c r="AE12" s="2638">
        <f>ROUND(AVERAGE(J12:J$27)/100,4)</f>
        <v>1.6500000000000001E-2</v>
      </c>
      <c r="AF12" s="2638">
        <f t="shared" si="1"/>
        <v>1.6500000000000001E-2</v>
      </c>
      <c r="AG12" s="2638">
        <f>ROUND(AVERAGE(K12:K$27)/100,4)</f>
        <v>2.7099999999999999E-2</v>
      </c>
      <c r="AH12" s="2638">
        <f>ROUND(AVERAGE(L12:L$27)/100,4)</f>
        <v>1.3899999999999999E-2</v>
      </c>
    </row>
    <row r="13" spans="1:34" s="2725" customFormat="1" ht="14.45" customHeight="1">
      <c r="A13" s="2620" t="s">
        <v>2972</v>
      </c>
      <c r="B13" s="2633">
        <f t="shared" ref="B13:C15" si="77">B14*(1+N13)</f>
        <v>431.80730811680002</v>
      </c>
      <c r="C13" s="2633">
        <f t="shared" si="77"/>
        <v>320.57880516480003</v>
      </c>
      <c r="D13" s="2633">
        <f t="shared" si="65"/>
        <v>320.57880516480003</v>
      </c>
      <c r="E13" s="2633">
        <f t="shared" ref="E13:F15" si="78">E14*(1+P13)</f>
        <v>615.96110553196797</v>
      </c>
      <c r="F13" s="2633">
        <f t="shared" si="78"/>
        <v>279.46777300108801</v>
      </c>
      <c r="G13" s="3480"/>
      <c r="H13" s="2623">
        <v>3</v>
      </c>
      <c r="I13" s="2623">
        <v>2.98</v>
      </c>
      <c r="J13" s="2623">
        <v>2.11</v>
      </c>
      <c r="K13" s="2623">
        <v>3.24</v>
      </c>
      <c r="L13" s="2634">
        <v>1.72</v>
      </c>
      <c r="M13" s="2627"/>
      <c r="N13" s="2628">
        <f t="shared" si="68"/>
        <v>2.98E-2</v>
      </c>
      <c r="O13" s="2646">
        <f t="shared" ref="O13:O14" si="79">J13/100</f>
        <v>2.1099999999999997E-2</v>
      </c>
      <c r="P13" s="2646">
        <f t="shared" ref="P13:P14" si="80">K13/100</f>
        <v>3.2400000000000005E-2</v>
      </c>
      <c r="Q13" s="2646">
        <f t="shared" ref="Q13:Q14" si="81">L13/100</f>
        <v>1.72E-2</v>
      </c>
      <c r="R13" s="2630"/>
      <c r="S13" s="2628"/>
      <c r="T13" s="2629"/>
      <c r="U13" s="2629"/>
      <c r="V13" s="2629"/>
      <c r="W13" s="2627"/>
      <c r="X13" s="2718">
        <f>ROUND(SUMPRODUCT(PRODUCT(1+N13:N$26)),4)</f>
        <v>1.4034</v>
      </c>
      <c r="Y13" s="2718">
        <f>ROUND(SUMPRODUCT(PRODUCT(1+O13:O$26)),4)</f>
        <v>1.2463</v>
      </c>
      <c r="Z13" s="2718">
        <f t="shared" si="0"/>
        <v>1.2463</v>
      </c>
      <c r="AA13" s="2718">
        <f>ROUND(SUMPRODUCT(PRODUCT(1+P13:P$26)),4)</f>
        <v>1.4577</v>
      </c>
      <c r="AB13" s="2718">
        <f>ROUND(SUMPRODUCT(PRODUCT(1+Q13:Q$26)),4)</f>
        <v>1.2136</v>
      </c>
      <c r="AC13" s="2627"/>
      <c r="AD13" s="2638">
        <f>ROUND(AVERAGE(I13:I$27)/100,4)</f>
        <v>2.4899999999999999E-2</v>
      </c>
      <c r="AE13" s="2638">
        <f>ROUND(AVERAGE(J13:J$27)/100,4)</f>
        <v>1.6400000000000001E-2</v>
      </c>
      <c r="AF13" s="2638">
        <f t="shared" si="1"/>
        <v>1.6400000000000001E-2</v>
      </c>
      <c r="AG13" s="2638">
        <f>ROUND(AVERAGE(K13:K$27)/100,4)</f>
        <v>2.7799999999999998E-2</v>
      </c>
      <c r="AH13" s="2638">
        <f>ROUND(AVERAGE(L13:L$27)/100,4)</f>
        <v>1.3899999999999999E-2</v>
      </c>
    </row>
    <row r="14" spans="1:34" s="2618" customFormat="1" ht="14.45" customHeight="1">
      <c r="A14" s="2620" t="s">
        <v>2581</v>
      </c>
      <c r="B14" s="2633">
        <f t="shared" si="77"/>
        <v>419.31181600000002</v>
      </c>
      <c r="C14" s="2633">
        <f t="shared" si="77"/>
        <v>313.95436800000004</v>
      </c>
      <c r="D14" s="2633">
        <f t="shared" si="65"/>
        <v>313.95436800000004</v>
      </c>
      <c r="E14" s="2633">
        <f t="shared" si="78"/>
        <v>596.63028431999999</v>
      </c>
      <c r="F14" s="2633">
        <f t="shared" si="78"/>
        <v>274.74220703999998</v>
      </c>
      <c r="G14" s="3480"/>
      <c r="H14" s="2624">
        <v>2</v>
      </c>
      <c r="I14" s="2624">
        <v>3.4</v>
      </c>
      <c r="J14" s="2624">
        <v>2</v>
      </c>
      <c r="K14" s="2624">
        <v>3.82</v>
      </c>
      <c r="L14" s="2635">
        <v>1.68</v>
      </c>
      <c r="N14" s="2628">
        <f t="shared" si="68"/>
        <v>3.4000000000000002E-2</v>
      </c>
      <c r="O14" s="2646">
        <f t="shared" si="79"/>
        <v>0.02</v>
      </c>
      <c r="P14" s="2646">
        <f t="shared" si="80"/>
        <v>3.8199999999999998E-2</v>
      </c>
      <c r="Q14" s="2646">
        <f t="shared" si="81"/>
        <v>1.6799999999999999E-2</v>
      </c>
      <c r="R14" s="2619"/>
      <c r="S14" s="2628"/>
      <c r="T14" s="2629"/>
      <c r="U14" s="2629"/>
      <c r="V14" s="2629"/>
      <c r="X14" s="2718">
        <f>ROUND(SUMPRODUCT(PRODUCT(1+N14:N$26)),4)</f>
        <v>1.3628</v>
      </c>
      <c r="Y14" s="2718">
        <f>ROUND(SUMPRODUCT(PRODUCT(1+O14:O$26)),4)</f>
        <v>1.2205999999999999</v>
      </c>
      <c r="Z14" s="2718">
        <f t="shared" si="0"/>
        <v>1.2205999999999999</v>
      </c>
      <c r="AA14" s="2718">
        <f>ROUND(SUMPRODUCT(PRODUCT(1+P14:P$26)),4)</f>
        <v>1.4118999999999999</v>
      </c>
      <c r="AB14" s="2718">
        <f>ROUND(SUMPRODUCT(PRODUCT(1+Q14:Q$26)),4)</f>
        <v>1.1930000000000001</v>
      </c>
      <c r="AD14" s="2638">
        <f>ROUND(AVERAGE(I14:I$27)/100,4)</f>
        <v>2.46E-2</v>
      </c>
      <c r="AE14" s="2638">
        <f>ROUND(AVERAGE(J14:J$27)/100,4)</f>
        <v>1.6E-2</v>
      </c>
      <c r="AF14" s="2638">
        <f t="shared" si="1"/>
        <v>1.6E-2</v>
      </c>
      <c r="AG14" s="2638">
        <f>ROUND(AVERAGE(K14:K$27)/100,4)</f>
        <v>2.75E-2</v>
      </c>
      <c r="AH14" s="2638">
        <f>ROUND(AVERAGE(L14:L$27)/100,4)</f>
        <v>1.37E-2</v>
      </c>
    </row>
    <row r="15" spans="1:34" s="2725" customFormat="1" ht="15" customHeight="1" thickBot="1">
      <c r="A15" s="2620" t="s">
        <v>2582</v>
      </c>
      <c r="B15" s="2633">
        <f t="shared" si="77"/>
        <v>405.524</v>
      </c>
      <c r="C15" s="2633">
        <f t="shared" si="77"/>
        <v>307.79840000000002</v>
      </c>
      <c r="D15" s="2633">
        <f t="shared" si="65"/>
        <v>307.79840000000002</v>
      </c>
      <c r="E15" s="2633">
        <f t="shared" si="78"/>
        <v>574.67759999999998</v>
      </c>
      <c r="F15" s="2633">
        <f t="shared" si="78"/>
        <v>270.20280000000002</v>
      </c>
      <c r="G15" s="3486"/>
      <c r="H15" s="2623">
        <v>1</v>
      </c>
      <c r="I15" s="2623">
        <v>3.45</v>
      </c>
      <c r="J15" s="2623">
        <v>1.92</v>
      </c>
      <c r="K15" s="2623">
        <v>3.92</v>
      </c>
      <c r="L15" s="2634">
        <v>1.58</v>
      </c>
      <c r="M15" s="2627"/>
      <c r="N15" s="2636">
        <f t="shared" si="68"/>
        <v>3.4500000000000003E-2</v>
      </c>
      <c r="O15" s="2637">
        <f t="shared" ref="O15" si="82">J15/100</f>
        <v>1.9199999999999998E-2</v>
      </c>
      <c r="P15" s="2637">
        <f t="shared" ref="P15" si="83">K15/100</f>
        <v>3.9199999999999999E-2</v>
      </c>
      <c r="Q15" s="2637">
        <f t="shared" ref="Q15" si="84">L15/100</f>
        <v>1.5800000000000002E-2</v>
      </c>
      <c r="R15" s="2630"/>
      <c r="S15" s="2636">
        <f>B15/B16-1</f>
        <v>3.4499999999999975E-2</v>
      </c>
      <c r="T15" s="2637">
        <f>C15/C16-1</f>
        <v>1.9200000000000106E-2</v>
      </c>
      <c r="U15" s="2637">
        <f>E15/E16-1</f>
        <v>3.9199999999999902E-2</v>
      </c>
      <c r="V15" s="2637">
        <f>F15/F16-1</f>
        <v>1.5800000000000036E-2</v>
      </c>
      <c r="W15" s="2627"/>
      <c r="X15" s="2718">
        <f>ROUND(SUMPRODUCT(PRODUCT(1+N15:N$26)),4)</f>
        <v>1.3180000000000001</v>
      </c>
      <c r="Y15" s="2718">
        <f>ROUND(SUMPRODUCT(PRODUCT(1+O15:O$26)),4)</f>
        <v>1.1966000000000001</v>
      </c>
      <c r="Z15" s="2718">
        <f t="shared" si="0"/>
        <v>1.1966000000000001</v>
      </c>
      <c r="AA15" s="2718">
        <f>ROUND(SUMPRODUCT(PRODUCT(1+P15:P$26)),4)</f>
        <v>1.36</v>
      </c>
      <c r="AB15" s="2718">
        <f>ROUND(SUMPRODUCT(PRODUCT(1+Q15:Q$26)),4)</f>
        <v>1.1733</v>
      </c>
      <c r="AC15" s="2627"/>
      <c r="AD15" s="2638">
        <f>ROUND(AVERAGE(I15:I$27)/100,4)</f>
        <v>2.3900000000000001E-2</v>
      </c>
      <c r="AE15" s="2638">
        <f>ROUND(AVERAGE(J15:J$27)/100,4)</f>
        <v>1.5699999999999999E-2</v>
      </c>
      <c r="AF15" s="2638">
        <f t="shared" si="1"/>
        <v>1.5699999999999999E-2</v>
      </c>
      <c r="AG15" s="2638">
        <f>ROUND(AVERAGE(K15:K$27)/100,4)</f>
        <v>2.6599999999999999E-2</v>
      </c>
      <c r="AH15" s="2638">
        <f>ROUND(AVERAGE(L15:L$27)/100,4)</f>
        <v>1.34E-2</v>
      </c>
    </row>
    <row r="16" spans="1:34">
      <c r="A16" s="2620" t="s">
        <v>970</v>
      </c>
      <c r="B16" s="2625">
        <v>392</v>
      </c>
      <c r="C16" s="2625">
        <v>302</v>
      </c>
      <c r="D16" s="2625">
        <f t="shared" si="65"/>
        <v>302</v>
      </c>
      <c r="E16" s="2625">
        <v>553</v>
      </c>
      <c r="F16" s="2626">
        <v>266</v>
      </c>
      <c r="G16" s="3485">
        <v>2016</v>
      </c>
      <c r="H16" s="2621">
        <v>4</v>
      </c>
      <c r="I16" s="2621">
        <v>4.5599999999999996</v>
      </c>
      <c r="J16" s="2621">
        <v>2.15</v>
      </c>
      <c r="K16" s="2621">
        <v>5.32</v>
      </c>
      <c r="L16" s="2622">
        <v>1.57</v>
      </c>
      <c r="N16" s="2628">
        <f t="shared" si="68"/>
        <v>4.5599999999999995E-2</v>
      </c>
      <c r="O16" s="2629">
        <f t="shared" ref="O16:Q31" si="85">J16/100</f>
        <v>2.1499999999999998E-2</v>
      </c>
      <c r="P16" s="2629">
        <f t="shared" si="85"/>
        <v>5.3200000000000004E-2</v>
      </c>
      <c r="Q16" s="2629">
        <f t="shared" si="85"/>
        <v>1.5700000000000002E-2</v>
      </c>
      <c r="R16" s="2630"/>
      <c r="S16" s="2631"/>
      <c r="T16" s="2632"/>
      <c r="U16" s="2632"/>
      <c r="V16" s="2632"/>
      <c r="X16" s="2718">
        <f>ROUND(SUMPRODUCT(PRODUCT(1+N16:N$26)),4)</f>
        <v>1.274</v>
      </c>
      <c r="Y16" s="2718">
        <f>ROUND(SUMPRODUCT(PRODUCT(1+O16:O$26)),4)</f>
        <v>1.1740999999999999</v>
      </c>
      <c r="Z16" s="2718">
        <f t="shared" si="0"/>
        <v>1.1740999999999999</v>
      </c>
      <c r="AA16" s="2718">
        <f>ROUND(SUMPRODUCT(PRODUCT(1+P16:P$26)),4)</f>
        <v>1.3087</v>
      </c>
      <c r="AB16" s="2718">
        <f>ROUND(SUMPRODUCT(PRODUCT(1+Q16:Q$26)),4)</f>
        <v>1.1551</v>
      </c>
      <c r="AD16" s="2638">
        <f>ROUND(AVERAGE(I16:I$27)/100,4)</f>
        <v>2.3E-2</v>
      </c>
      <c r="AE16" s="2638">
        <f>ROUND(AVERAGE(J16:J$27)/100,4)</f>
        <v>1.55E-2</v>
      </c>
      <c r="AF16" s="2638">
        <f t="shared" si="1"/>
        <v>1.55E-2</v>
      </c>
      <c r="AG16" s="2638">
        <f>ROUND(AVERAGE(K16:K$27)/100,4)</f>
        <v>2.5600000000000001E-2</v>
      </c>
      <c r="AH16" s="2638">
        <f>ROUND(AVERAGE(L16:L$27)/100,4)</f>
        <v>1.32E-2</v>
      </c>
    </row>
    <row r="17" spans="1:34">
      <c r="A17" s="2620" t="s">
        <v>969</v>
      </c>
      <c r="B17" s="2633">
        <f t="shared" ref="B17:C19" si="86">B16/(1+N16)</f>
        <v>374.90436113236416</v>
      </c>
      <c r="C17" s="2633">
        <f t="shared" si="86"/>
        <v>295.64366128242779</v>
      </c>
      <c r="D17" s="2633">
        <f t="shared" ref="D17:D76" si="87">C17</f>
        <v>295.64366128242779</v>
      </c>
      <c r="E17" s="2633">
        <f t="shared" ref="E17:F19" si="88">E16/(1+P16)</f>
        <v>525.06646410938095</v>
      </c>
      <c r="F17" s="2633">
        <f t="shared" si="88"/>
        <v>261.88835286009646</v>
      </c>
      <c r="G17" s="3480"/>
      <c r="H17" s="2623">
        <v>3</v>
      </c>
      <c r="I17" s="2623">
        <v>4.12</v>
      </c>
      <c r="J17" s="2623">
        <v>2</v>
      </c>
      <c r="K17" s="2623">
        <v>4.79</v>
      </c>
      <c r="L17" s="2634">
        <v>1.97</v>
      </c>
      <c r="N17" s="2628">
        <f t="shared" ref="N17:Q51" si="89">I17/100</f>
        <v>4.1200000000000001E-2</v>
      </c>
      <c r="O17" s="2629">
        <f t="shared" si="85"/>
        <v>0.02</v>
      </c>
      <c r="P17" s="2629">
        <f t="shared" si="85"/>
        <v>4.7899999999999998E-2</v>
      </c>
      <c r="Q17" s="2629">
        <f t="shared" si="85"/>
        <v>1.9699999999999999E-2</v>
      </c>
      <c r="R17" s="2630"/>
      <c r="S17" s="2628"/>
      <c r="T17" s="2629"/>
      <c r="U17" s="2629"/>
      <c r="V17" s="2629"/>
      <c r="X17" s="2718">
        <f>ROUND(SUMPRODUCT(PRODUCT(1+N17:N$26)),4)</f>
        <v>1.2184999999999999</v>
      </c>
      <c r="Y17" s="2718">
        <f>ROUND(SUMPRODUCT(PRODUCT(1+O17:O$26)),4)</f>
        <v>1.1494</v>
      </c>
      <c r="Z17" s="2718">
        <f t="shared" si="0"/>
        <v>1.1494</v>
      </c>
      <c r="AA17" s="2718">
        <f>ROUND(SUMPRODUCT(PRODUCT(1+P17:P$26)),4)</f>
        <v>1.2425999999999999</v>
      </c>
      <c r="AB17" s="2718">
        <f>ROUND(SUMPRODUCT(PRODUCT(1+Q17:Q$26)),4)</f>
        <v>1.1372</v>
      </c>
      <c r="AD17" s="2638">
        <f>ROUND(AVERAGE(I17:I$27)/100,4)</f>
        <v>2.0899999999999998E-2</v>
      </c>
      <c r="AE17" s="2638">
        <f>ROUND(AVERAGE(J17:J$27)/100,4)</f>
        <v>1.49E-2</v>
      </c>
      <c r="AF17" s="2638">
        <f t="shared" si="1"/>
        <v>1.49E-2</v>
      </c>
      <c r="AG17" s="2638">
        <f>ROUND(AVERAGE(K17:K$27)/100,4)</f>
        <v>2.3099999999999999E-2</v>
      </c>
      <c r="AH17" s="2638">
        <f>ROUND(AVERAGE(L17:L$27)/100,4)</f>
        <v>1.2999999999999999E-2</v>
      </c>
    </row>
    <row r="18" spans="1:34">
      <c r="A18" s="2620" t="s">
        <v>959</v>
      </c>
      <c r="B18" s="2633">
        <f t="shared" si="86"/>
        <v>360.06949782209392</v>
      </c>
      <c r="C18" s="2633">
        <f t="shared" si="86"/>
        <v>289.84672674747821</v>
      </c>
      <c r="D18" s="2633">
        <f t="shared" si="87"/>
        <v>289.84672674747821</v>
      </c>
      <c r="E18" s="2633">
        <f t="shared" si="88"/>
        <v>501.06543001181495</v>
      </c>
      <c r="F18" s="2633">
        <f t="shared" si="88"/>
        <v>256.82882500744967</v>
      </c>
      <c r="G18" s="3480"/>
      <c r="H18" s="2624">
        <v>2</v>
      </c>
      <c r="I18" s="2624">
        <v>3.85</v>
      </c>
      <c r="J18" s="2624">
        <v>1.95</v>
      </c>
      <c r="K18" s="2624">
        <v>4.4800000000000004</v>
      </c>
      <c r="L18" s="2635">
        <v>1.41</v>
      </c>
      <c r="N18" s="2628">
        <f t="shared" si="89"/>
        <v>3.85E-2</v>
      </c>
      <c r="O18" s="2629">
        <f t="shared" si="85"/>
        <v>1.95E-2</v>
      </c>
      <c r="P18" s="2629">
        <f t="shared" si="85"/>
        <v>4.4800000000000006E-2</v>
      </c>
      <c r="Q18" s="2629">
        <f t="shared" si="85"/>
        <v>1.41E-2</v>
      </c>
      <c r="R18" s="2630"/>
      <c r="S18" s="2628"/>
      <c r="T18" s="2629"/>
      <c r="U18" s="2629"/>
      <c r="V18" s="2629"/>
      <c r="X18" s="2718">
        <f>ROUND(SUMPRODUCT(PRODUCT(1+N18:N$26)),4)</f>
        <v>1.1702999999999999</v>
      </c>
      <c r="Y18" s="2718">
        <f>ROUND(SUMPRODUCT(PRODUCT(1+O18:O$26)),4)</f>
        <v>1.1269</v>
      </c>
      <c r="Z18" s="2718">
        <f t="shared" si="0"/>
        <v>1.1269</v>
      </c>
      <c r="AA18" s="2718">
        <f>ROUND(SUMPRODUCT(PRODUCT(1+P18:P$26)),4)</f>
        <v>1.1858</v>
      </c>
      <c r="AB18" s="2718">
        <f>ROUND(SUMPRODUCT(PRODUCT(1+Q18:Q$26)),4)</f>
        <v>1.1152</v>
      </c>
      <c r="AD18" s="2638">
        <f>ROUND(AVERAGE(I18:I$27)/100,4)</f>
        <v>1.89E-2</v>
      </c>
      <c r="AE18" s="2638">
        <f>ROUND(AVERAGE(J18:J$27)/100,4)</f>
        <v>1.44E-2</v>
      </c>
      <c r="AF18" s="2638">
        <f t="shared" si="1"/>
        <v>1.44E-2</v>
      </c>
      <c r="AG18" s="2638">
        <f>ROUND(AVERAGE(K18:K$27)/100,4)</f>
        <v>2.06E-2</v>
      </c>
      <c r="AH18" s="2638">
        <f>ROUND(AVERAGE(L18:L$27)/100,4)</f>
        <v>1.23E-2</v>
      </c>
    </row>
    <row r="19" spans="1:34" ht="13.5" thickBot="1">
      <c r="A19" s="2620" t="s">
        <v>968</v>
      </c>
      <c r="B19" s="2633">
        <f t="shared" si="86"/>
        <v>346.720748986128</v>
      </c>
      <c r="C19" s="2633">
        <f t="shared" si="86"/>
        <v>284.30282172386285</v>
      </c>
      <c r="D19" s="2633">
        <f t="shared" si="87"/>
        <v>284.30282172386285</v>
      </c>
      <c r="E19" s="2633">
        <f t="shared" si="88"/>
        <v>479.58023546306947</v>
      </c>
      <c r="F19" s="2633">
        <f t="shared" si="88"/>
        <v>253.25788877571213</v>
      </c>
      <c r="G19" s="3481"/>
      <c r="H19" s="2623">
        <v>1</v>
      </c>
      <c r="I19" s="2623">
        <v>4.09</v>
      </c>
      <c r="J19" s="2623">
        <v>2.93</v>
      </c>
      <c r="K19" s="2623">
        <v>4.54</v>
      </c>
      <c r="L19" s="2634">
        <v>1.48</v>
      </c>
      <c r="N19" s="2628">
        <f t="shared" si="89"/>
        <v>4.0899999999999999E-2</v>
      </c>
      <c r="O19" s="2629">
        <f t="shared" si="85"/>
        <v>2.9300000000000003E-2</v>
      </c>
      <c r="P19" s="2629">
        <f t="shared" si="85"/>
        <v>4.5400000000000003E-2</v>
      </c>
      <c r="Q19" s="2629">
        <f t="shared" si="85"/>
        <v>1.4800000000000001E-2</v>
      </c>
      <c r="R19" s="2630"/>
      <c r="S19" s="2636">
        <f>B19/B20-1</f>
        <v>4.1203450408792808E-2</v>
      </c>
      <c r="T19" s="2637">
        <f>C19/C20-1</f>
        <v>2.6363977342465095E-2</v>
      </c>
      <c r="U19" s="2637">
        <f>E19/E20-1</f>
        <v>4.4837114298626357E-2</v>
      </c>
      <c r="V19" s="2637">
        <f>F19/F20-1</f>
        <v>1.7099954922538574E-2</v>
      </c>
      <c r="X19" s="2718">
        <f>ROUND(SUMPRODUCT(PRODUCT(1+N19:N$26)),4)</f>
        <v>1.1269</v>
      </c>
      <c r="Y19" s="2718">
        <f>ROUND(SUMPRODUCT(PRODUCT(1+O19:O$26)),4)</f>
        <v>1.1052999999999999</v>
      </c>
      <c r="Z19" s="2718">
        <f t="shared" si="0"/>
        <v>1.1052999999999999</v>
      </c>
      <c r="AA19" s="2718">
        <f>ROUND(SUMPRODUCT(PRODUCT(1+P19:P$26)),4)</f>
        <v>1.1349</v>
      </c>
      <c r="AB19" s="2718">
        <f>ROUND(SUMPRODUCT(PRODUCT(1+Q19:Q$26)),4)</f>
        <v>1.0996999999999999</v>
      </c>
      <c r="AD19" s="2638">
        <f>ROUND(AVERAGE(I19:I$27)/100,4)</f>
        <v>1.67E-2</v>
      </c>
      <c r="AE19" s="2638">
        <f>ROUND(AVERAGE(J19:J$27)/100,4)</f>
        <v>1.38E-2</v>
      </c>
      <c r="AF19" s="2638">
        <f t="shared" si="1"/>
        <v>1.38E-2</v>
      </c>
      <c r="AG19" s="2638">
        <f>ROUND(AVERAGE(K19:K$27)/100,4)</f>
        <v>1.7899999999999999E-2</v>
      </c>
      <c r="AH19" s="2638">
        <f>ROUND(AVERAGE(L19:L$27)/100,4)</f>
        <v>1.21E-2</v>
      </c>
    </row>
    <row r="20" spans="1:34" ht="13.5" thickBot="1">
      <c r="A20" s="2620" t="s">
        <v>967</v>
      </c>
      <c r="B20" s="2625">
        <v>333</v>
      </c>
      <c r="C20" s="2625">
        <v>277</v>
      </c>
      <c r="D20" s="2625">
        <f t="shared" si="87"/>
        <v>277</v>
      </c>
      <c r="E20" s="2625">
        <v>459</v>
      </c>
      <c r="F20" s="2626">
        <v>249</v>
      </c>
      <c r="G20" s="3479">
        <v>2015</v>
      </c>
      <c r="H20" s="2639">
        <v>4</v>
      </c>
      <c r="I20" s="2639">
        <v>1.63</v>
      </c>
      <c r="J20" s="2639">
        <v>1.1100000000000001</v>
      </c>
      <c r="K20" s="2639">
        <v>1.77</v>
      </c>
      <c r="L20" s="2640">
        <v>1.89</v>
      </c>
      <c r="N20" s="2641">
        <f t="shared" si="89"/>
        <v>1.6299999999999999E-2</v>
      </c>
      <c r="O20" s="2642">
        <f t="shared" si="85"/>
        <v>1.11E-2</v>
      </c>
      <c r="P20" s="2642">
        <f t="shared" si="85"/>
        <v>1.77E-2</v>
      </c>
      <c r="Q20" s="2642">
        <f t="shared" si="85"/>
        <v>1.89E-2</v>
      </c>
      <c r="R20" s="2630"/>
      <c r="X20" s="2718">
        <f>ROUND(SUMPRODUCT(PRODUCT(1+N20:N$26)),4)</f>
        <v>1.0826</v>
      </c>
      <c r="Y20" s="2718">
        <f>ROUND(SUMPRODUCT(PRODUCT(1+O20:O$26)),4)</f>
        <v>1.0738000000000001</v>
      </c>
      <c r="Z20" s="2718">
        <f t="shared" si="0"/>
        <v>1.0738000000000001</v>
      </c>
      <c r="AA20" s="2718">
        <f>ROUND(SUMPRODUCT(PRODUCT(1+P20:P$26)),4)</f>
        <v>1.0855999999999999</v>
      </c>
      <c r="AB20" s="2718">
        <f>ROUND(SUMPRODUCT(PRODUCT(1+Q20:Q$26)),4)</f>
        <v>1.0837000000000001</v>
      </c>
      <c r="AD20" s="2638">
        <f>ROUND(AVERAGE(I20:I$27)/100,4)</f>
        <v>1.37E-2</v>
      </c>
      <c r="AE20" s="2638">
        <f>ROUND(AVERAGE(J20:J$27)/100,4)</f>
        <v>1.1900000000000001E-2</v>
      </c>
      <c r="AF20" s="2638">
        <f t="shared" si="1"/>
        <v>1.1900000000000001E-2</v>
      </c>
      <c r="AG20" s="2638">
        <f>ROUND(AVERAGE(K20:K$27)/100,4)</f>
        <v>1.4500000000000001E-2</v>
      </c>
      <c r="AH20" s="2638">
        <f>ROUND(AVERAGE(L20:L$27)/100,4)</f>
        <v>1.18E-2</v>
      </c>
    </row>
    <row r="21" spans="1:34">
      <c r="A21" s="2620" t="s">
        <v>966</v>
      </c>
      <c r="B21" s="2633">
        <f t="shared" ref="B21:C23" si="90">B20/(1+N20)</f>
        <v>327.65915576109415</v>
      </c>
      <c r="C21" s="2633">
        <f t="shared" si="90"/>
        <v>273.95905449510434</v>
      </c>
      <c r="D21" s="2633">
        <f t="shared" si="87"/>
        <v>273.95905449510434</v>
      </c>
      <c r="E21" s="2633">
        <f t="shared" ref="E21:F23" si="91">E20/(1+P20)</f>
        <v>451.01699911565294</v>
      </c>
      <c r="F21" s="2633">
        <f t="shared" si="91"/>
        <v>244.38119540681129</v>
      </c>
      <c r="G21" s="3480"/>
      <c r="H21" s="2644">
        <v>3</v>
      </c>
      <c r="I21" s="2644">
        <v>1.65</v>
      </c>
      <c r="J21" s="2644">
        <v>0.92</v>
      </c>
      <c r="K21" s="2644">
        <v>1.88</v>
      </c>
      <c r="L21" s="2645">
        <v>1.26</v>
      </c>
      <c r="N21" s="2628">
        <f t="shared" si="89"/>
        <v>1.6500000000000001E-2</v>
      </c>
      <c r="O21" s="2646">
        <f t="shared" si="85"/>
        <v>9.1999999999999998E-3</v>
      </c>
      <c r="P21" s="2646">
        <f t="shared" si="85"/>
        <v>1.8799999999999997E-2</v>
      </c>
      <c r="Q21" s="2646">
        <f t="shared" si="85"/>
        <v>1.26E-2</v>
      </c>
      <c r="R21" s="2630"/>
      <c r="S21" s="2628"/>
      <c r="T21" s="2629"/>
      <c r="U21" s="2629"/>
      <c r="V21" s="2629"/>
      <c r="X21" s="2718">
        <f>ROUND(SUMPRODUCT(PRODUCT(1+N21:N$26)),4)</f>
        <v>1.0651999999999999</v>
      </c>
      <c r="Y21" s="2718">
        <f>ROUND(SUMPRODUCT(PRODUCT(1+O21:O$26)),4)</f>
        <v>1.0621</v>
      </c>
      <c r="Z21" s="2718">
        <f t="shared" si="0"/>
        <v>1.0621</v>
      </c>
      <c r="AA21" s="2718">
        <f>ROUND(SUMPRODUCT(PRODUCT(1+P21:P$26)),4)</f>
        <v>1.0668</v>
      </c>
      <c r="AB21" s="2718">
        <f>ROUND(SUMPRODUCT(PRODUCT(1+Q21:Q$26)),4)</f>
        <v>1.0636000000000001</v>
      </c>
      <c r="AD21" s="2638">
        <f>ROUND(AVERAGE(I21:I$27)/100,4)</f>
        <v>1.3299999999999999E-2</v>
      </c>
      <c r="AE21" s="2638">
        <f>ROUND(AVERAGE(J21:J$27)/100,4)</f>
        <v>1.2E-2</v>
      </c>
      <c r="AF21" s="2638">
        <f t="shared" si="1"/>
        <v>1.2E-2</v>
      </c>
      <c r="AG21" s="2638">
        <f>ROUND(AVERAGE(K21:K$27)/100,4)</f>
        <v>1.4E-2</v>
      </c>
      <c r="AH21" s="2638">
        <f>ROUND(AVERAGE(L21:L$27)/100,4)</f>
        <v>1.0800000000000001E-2</v>
      </c>
    </row>
    <row r="22" spans="1:34">
      <c r="A22" s="2620" t="s">
        <v>965</v>
      </c>
      <c r="B22" s="2633">
        <f t="shared" si="90"/>
        <v>322.34053690220776</v>
      </c>
      <c r="C22" s="2633">
        <f t="shared" si="90"/>
        <v>271.46160770422546</v>
      </c>
      <c r="D22" s="2633">
        <f t="shared" si="87"/>
        <v>271.46160770422546</v>
      </c>
      <c r="E22" s="2633">
        <f t="shared" si="91"/>
        <v>442.69434542172456</v>
      </c>
      <c r="F22" s="2633">
        <f t="shared" si="91"/>
        <v>241.34030753190925</v>
      </c>
      <c r="G22" s="3480"/>
      <c r="H22" s="2624">
        <v>2</v>
      </c>
      <c r="I22" s="2624">
        <v>0.77</v>
      </c>
      <c r="J22" s="2624">
        <v>0.69</v>
      </c>
      <c r="K22" s="2624">
        <v>0.8</v>
      </c>
      <c r="L22" s="2635">
        <v>0.88</v>
      </c>
      <c r="N22" s="2628">
        <f t="shared" si="89"/>
        <v>7.7000000000000002E-3</v>
      </c>
      <c r="O22" s="2646">
        <f t="shared" si="85"/>
        <v>6.8999999999999999E-3</v>
      </c>
      <c r="P22" s="2646">
        <f t="shared" si="85"/>
        <v>8.0000000000000002E-3</v>
      </c>
      <c r="Q22" s="2646">
        <f t="shared" si="85"/>
        <v>8.8000000000000005E-3</v>
      </c>
      <c r="R22" s="2630"/>
      <c r="S22" s="2628"/>
      <c r="T22" s="2629"/>
      <c r="U22" s="2629"/>
      <c r="V22" s="2629"/>
      <c r="X22" s="2718">
        <f>ROUND(SUMPRODUCT(PRODUCT(1+N22:N$26)),4)</f>
        <v>1.048</v>
      </c>
      <c r="Y22" s="2718">
        <f>ROUND(SUMPRODUCT(PRODUCT(1+O22:O$26)),4)</f>
        <v>1.0524</v>
      </c>
      <c r="Z22" s="2718">
        <f t="shared" si="0"/>
        <v>1.0524</v>
      </c>
      <c r="AA22" s="2718">
        <f>ROUND(SUMPRODUCT(PRODUCT(1+P22:P$26)),4)</f>
        <v>1.0470999999999999</v>
      </c>
      <c r="AB22" s="2718">
        <f>ROUND(SUMPRODUCT(PRODUCT(1+Q22:Q$26)),4)</f>
        <v>1.0504</v>
      </c>
      <c r="AD22" s="2638">
        <f>ROUND(AVERAGE(I22:I$27)/100,4)</f>
        <v>1.2800000000000001E-2</v>
      </c>
      <c r="AE22" s="2638">
        <f>ROUND(AVERAGE(J22:J$27)/100,4)</f>
        <v>1.2500000000000001E-2</v>
      </c>
      <c r="AF22" s="2638">
        <f t="shared" si="1"/>
        <v>1.2500000000000001E-2</v>
      </c>
      <c r="AG22" s="2638">
        <f>ROUND(AVERAGE(K22:K$27)/100,4)</f>
        <v>1.32E-2</v>
      </c>
      <c r="AH22" s="2638">
        <f>ROUND(AVERAGE(L22:L$27)/100,4)</f>
        <v>1.0500000000000001E-2</v>
      </c>
    </row>
    <row r="23" spans="1:34">
      <c r="A23" s="2620" t="s">
        <v>964</v>
      </c>
      <c r="B23" s="2633">
        <f t="shared" si="90"/>
        <v>319.87748030386797</v>
      </c>
      <c r="C23" s="2633">
        <f t="shared" si="90"/>
        <v>269.60135833173649</v>
      </c>
      <c r="D23" s="2633">
        <f t="shared" si="87"/>
        <v>269.60135833173649</v>
      </c>
      <c r="E23" s="2633">
        <f t="shared" si="91"/>
        <v>439.18089823583784</v>
      </c>
      <c r="F23" s="2633">
        <f t="shared" si="91"/>
        <v>239.23503918706311</v>
      </c>
      <c r="G23" s="3481"/>
      <c r="H23" s="2623">
        <v>1</v>
      </c>
      <c r="I23" s="2623">
        <v>0.51</v>
      </c>
      <c r="J23" s="2623">
        <v>0.54</v>
      </c>
      <c r="K23" s="2623">
        <v>0.48</v>
      </c>
      <c r="L23" s="2634">
        <v>0.93</v>
      </c>
      <c r="N23" s="2636">
        <f t="shared" si="89"/>
        <v>5.1000000000000004E-3</v>
      </c>
      <c r="O23" s="2637">
        <f t="shared" si="85"/>
        <v>5.4000000000000003E-3</v>
      </c>
      <c r="P23" s="2637">
        <f t="shared" si="85"/>
        <v>4.7999999999999996E-3</v>
      </c>
      <c r="Q23" s="2637">
        <f t="shared" si="85"/>
        <v>9.300000000000001E-3</v>
      </c>
      <c r="R23" s="2630"/>
      <c r="S23" s="2636">
        <f>B23/B24-1</f>
        <v>5.9040261127922822E-3</v>
      </c>
      <c r="T23" s="2637">
        <f>C23/C24-1</f>
        <v>5.9752176557332781E-3</v>
      </c>
      <c r="U23" s="2637">
        <f>E23/E24-1</f>
        <v>4.9906138119859556E-3</v>
      </c>
      <c r="V23" s="2637">
        <f>F23/F24-1</f>
        <v>9.4305450930933787E-3</v>
      </c>
      <c r="X23" s="2718">
        <f>ROUND(SUMPRODUCT(PRODUCT(1+N23:N$26)),4)</f>
        <v>1.0399</v>
      </c>
      <c r="Y23" s="2718">
        <f>ROUND(SUMPRODUCT(PRODUCT(1+O23:O$26)),4)</f>
        <v>1.0451999999999999</v>
      </c>
      <c r="Z23" s="2718">
        <f t="shared" si="0"/>
        <v>1.0451999999999999</v>
      </c>
      <c r="AA23" s="2718">
        <f>ROUND(SUMPRODUCT(PRODUCT(1+P23:P$26)),4)</f>
        <v>1.0387999999999999</v>
      </c>
      <c r="AB23" s="2718">
        <f>ROUND(SUMPRODUCT(PRODUCT(1+Q23:Q$26)),4)</f>
        <v>1.0411999999999999</v>
      </c>
      <c r="AD23" s="2638">
        <f>ROUND(AVERAGE(I23:I$27)/100,4)</f>
        <v>1.38E-2</v>
      </c>
      <c r="AE23" s="2638">
        <f>ROUND(AVERAGE(J23:J$27)/100,4)</f>
        <v>1.3599999999999999E-2</v>
      </c>
      <c r="AF23" s="2638">
        <f t="shared" si="1"/>
        <v>1.3599999999999999E-2</v>
      </c>
      <c r="AG23" s="2638">
        <f>ROUND(AVERAGE(K23:K$27)/100,4)</f>
        <v>1.4200000000000001E-2</v>
      </c>
      <c r="AH23" s="2638">
        <f>ROUND(AVERAGE(L23:L$27)/100,4)</f>
        <v>1.0800000000000001E-2</v>
      </c>
    </row>
    <row r="24" spans="1:34" ht="13.5" thickBot="1">
      <c r="A24" s="2620" t="s">
        <v>963</v>
      </c>
      <c r="B24" s="2647">
        <v>318</v>
      </c>
      <c r="C24" s="2647">
        <v>268</v>
      </c>
      <c r="D24" s="2647">
        <f t="shared" si="87"/>
        <v>268</v>
      </c>
      <c r="E24" s="2647">
        <v>437</v>
      </c>
      <c r="F24" s="2648">
        <v>237</v>
      </c>
      <c r="G24" s="3479">
        <v>2014</v>
      </c>
      <c r="H24" s="2639">
        <v>4</v>
      </c>
      <c r="I24" s="2639">
        <v>0.21</v>
      </c>
      <c r="J24" s="2639">
        <v>0.41</v>
      </c>
      <c r="K24" s="2639">
        <v>0.12</v>
      </c>
      <c r="L24" s="2640">
        <v>0.89</v>
      </c>
      <c r="N24" s="2628">
        <f t="shared" si="89"/>
        <v>2.0999999999999999E-3</v>
      </c>
      <c r="O24" s="2629">
        <f t="shared" si="85"/>
        <v>4.0999999999999995E-3</v>
      </c>
      <c r="P24" s="2629">
        <f t="shared" si="85"/>
        <v>1.1999999999999999E-3</v>
      </c>
      <c r="Q24" s="2629">
        <f t="shared" si="85"/>
        <v>8.8999999999999999E-3</v>
      </c>
      <c r="R24" s="2630"/>
      <c r="S24" s="2631"/>
      <c r="T24" s="2632"/>
      <c r="U24" s="2632"/>
      <c r="V24" s="2632"/>
      <c r="X24" s="2718">
        <f>ROUND(SUMPRODUCT(PRODUCT(1+N24:N$26)),4)</f>
        <v>1.0347</v>
      </c>
      <c r="Y24" s="2718">
        <f>ROUND(SUMPRODUCT(PRODUCT(1+O24:O$26)),4)</f>
        <v>1.0395000000000001</v>
      </c>
      <c r="Z24" s="2718">
        <f t="shared" si="0"/>
        <v>1.0395000000000001</v>
      </c>
      <c r="AA24" s="2718">
        <f>ROUND(SUMPRODUCT(PRODUCT(1+P24:P$26)),4)</f>
        <v>1.0338000000000001</v>
      </c>
      <c r="AB24" s="2718">
        <f>ROUND(SUMPRODUCT(PRODUCT(1+Q24:Q$26)),4)</f>
        <v>1.0316000000000001</v>
      </c>
      <c r="AD24" s="2638">
        <f>ROUND(AVERAGE(I24:I$27)/100,4)</f>
        <v>1.6E-2</v>
      </c>
      <c r="AE24" s="2638">
        <f>ROUND(AVERAGE(J24:J$27)/100,4)</f>
        <v>1.5599999999999999E-2</v>
      </c>
      <c r="AF24" s="2638">
        <f t="shared" si="1"/>
        <v>1.5599999999999999E-2</v>
      </c>
      <c r="AG24" s="2638">
        <f>ROUND(AVERAGE(K24:K$27)/100,4)</f>
        <v>1.66E-2</v>
      </c>
      <c r="AH24" s="2638">
        <f>ROUND(AVERAGE(L24:L$27)/100,4)</f>
        <v>1.12E-2</v>
      </c>
    </row>
    <row r="25" spans="1:34">
      <c r="A25" s="2620" t="s">
        <v>962</v>
      </c>
      <c r="B25" s="2633">
        <f t="shared" ref="B25:C27" si="92">B24/(1+N24)</f>
        <v>317.33359944117353</v>
      </c>
      <c r="C25" s="2633">
        <f t="shared" si="92"/>
        <v>266.90568668459315</v>
      </c>
      <c r="D25" s="2633">
        <f t="shared" si="87"/>
        <v>266.90568668459315</v>
      </c>
      <c r="E25" s="2633">
        <f t="shared" ref="E25:F27" si="93">E24/(1+P24)</f>
        <v>436.47622852576905</v>
      </c>
      <c r="F25" s="2633">
        <f t="shared" si="93"/>
        <v>234.90930716622066</v>
      </c>
      <c r="G25" s="3480"/>
      <c r="H25" s="2649">
        <v>3</v>
      </c>
      <c r="I25" s="2649">
        <v>0.83</v>
      </c>
      <c r="J25" s="2649">
        <v>1.47</v>
      </c>
      <c r="K25" s="2649">
        <v>0.65</v>
      </c>
      <c r="L25" s="2650">
        <v>0.72</v>
      </c>
      <c r="N25" s="2628">
        <f t="shared" si="89"/>
        <v>8.3000000000000001E-3</v>
      </c>
      <c r="O25" s="2629">
        <f t="shared" si="85"/>
        <v>1.47E-2</v>
      </c>
      <c r="P25" s="2629">
        <f t="shared" si="85"/>
        <v>6.5000000000000006E-3</v>
      </c>
      <c r="Q25" s="2629">
        <f t="shared" si="85"/>
        <v>7.1999999999999998E-3</v>
      </c>
      <c r="R25" s="2630"/>
      <c r="S25" s="2628"/>
      <c r="T25" s="2629"/>
      <c r="U25" s="2629"/>
      <c r="V25" s="2629"/>
      <c r="X25" s="2718">
        <f>ROUND(SUMPRODUCT(PRODUCT(1+N25:N$26)),4)</f>
        <v>1.0325</v>
      </c>
      <c r="Y25" s="2718">
        <f>ROUND(SUMPRODUCT(PRODUCT(1+O25:O$26)),4)</f>
        <v>1.0353000000000001</v>
      </c>
      <c r="Z25" s="2718">
        <f t="shared" ref="Z25:Z26" si="94">Y25</f>
        <v>1.0353000000000001</v>
      </c>
      <c r="AA25" s="2718">
        <f>ROUND(SUMPRODUCT(PRODUCT(1+P25:P$26)),4)</f>
        <v>1.0326</v>
      </c>
      <c r="AB25" s="2718">
        <f>ROUND(SUMPRODUCT(PRODUCT(1+Q25:Q$26)),4)</f>
        <v>1.0225</v>
      </c>
      <c r="AD25" s="2638">
        <f>ROUND(AVERAGE(I25:I$27)/100,4)</f>
        <v>2.07E-2</v>
      </c>
      <c r="AE25" s="2638">
        <f>ROUND(AVERAGE(J25:J$27)/100,4)</f>
        <v>1.95E-2</v>
      </c>
      <c r="AF25" s="2638">
        <f t="shared" si="1"/>
        <v>1.95E-2</v>
      </c>
      <c r="AG25" s="2638">
        <f>ROUND(AVERAGE(K25:K$27)/100,4)</f>
        <v>2.1700000000000001E-2</v>
      </c>
      <c r="AH25" s="2638">
        <f>ROUND(AVERAGE(L25:L$27)/100,4)</f>
        <v>1.2E-2</v>
      </c>
    </row>
    <row r="26" spans="1:34" ht="13.5" thickBot="1">
      <c r="A26" s="2620" t="s">
        <v>961</v>
      </c>
      <c r="B26" s="2633">
        <f t="shared" si="92"/>
        <v>314.72141172386546</v>
      </c>
      <c r="C26" s="2633">
        <f t="shared" si="92"/>
        <v>263.03901319069001</v>
      </c>
      <c r="D26" s="2633">
        <f t="shared" si="87"/>
        <v>263.03901319069001</v>
      </c>
      <c r="E26" s="2633">
        <f t="shared" si="93"/>
        <v>433.65745506782821</v>
      </c>
      <c r="F26" s="2633">
        <f t="shared" si="93"/>
        <v>233.23005080045735</v>
      </c>
      <c r="G26" s="3480"/>
      <c r="H26" s="2639">
        <v>2</v>
      </c>
      <c r="I26" s="2639">
        <v>2.4</v>
      </c>
      <c r="J26" s="2639">
        <v>2.0299999999999998</v>
      </c>
      <c r="K26" s="2639">
        <v>2.59</v>
      </c>
      <c r="L26" s="2640">
        <v>1.52</v>
      </c>
      <c r="N26" s="2628">
        <f t="shared" si="89"/>
        <v>2.4E-2</v>
      </c>
      <c r="O26" s="2629">
        <f t="shared" si="85"/>
        <v>2.0299999999999999E-2</v>
      </c>
      <c r="P26" s="2629">
        <f t="shared" si="85"/>
        <v>2.5899999999999999E-2</v>
      </c>
      <c r="Q26" s="2629">
        <f t="shared" si="85"/>
        <v>1.52E-2</v>
      </c>
      <c r="R26" s="2630"/>
      <c r="S26" s="2628"/>
      <c r="T26" s="2629"/>
      <c r="U26" s="2629"/>
      <c r="V26" s="2629"/>
      <c r="X26" s="2718">
        <f>1+N26</f>
        <v>1.024</v>
      </c>
      <c r="Y26" s="2718">
        <f>1+O26</f>
        <v>1.0203</v>
      </c>
      <c r="Z26" s="2718">
        <f t="shared" si="94"/>
        <v>1.0203</v>
      </c>
      <c r="AA26" s="2718">
        <f>1+P26</f>
        <v>1.0259</v>
      </c>
      <c r="AB26" s="2718">
        <f>1+Q26</f>
        <v>1.0152000000000001</v>
      </c>
      <c r="AD26" s="2638">
        <f>ROUND(AVERAGE(I26:I$27)/100,4)</f>
        <v>2.69E-2</v>
      </c>
      <c r="AE26" s="2638">
        <f>ROUND(AVERAGE(J26:J$27)/100,4)</f>
        <v>2.1899999999999999E-2</v>
      </c>
      <c r="AF26" s="2638">
        <f t="shared" ref="AF26" si="95">AE26</f>
        <v>2.1899999999999999E-2</v>
      </c>
      <c r="AG26" s="2638">
        <f>ROUND(AVERAGE(K26:K$27)/100,4)</f>
        <v>2.9399999999999999E-2</v>
      </c>
      <c r="AH26" s="2638">
        <f>ROUND(AVERAGE(L26:L$27)/100,4)</f>
        <v>1.44E-2</v>
      </c>
    </row>
    <row r="27" spans="1:34" s="2655" customFormat="1" ht="13.5" thickBot="1">
      <c r="A27" s="2651" t="s">
        <v>960</v>
      </c>
      <c r="B27" s="2652">
        <f t="shared" si="92"/>
        <v>307.34512863658733</v>
      </c>
      <c r="C27" s="2652">
        <f t="shared" si="92"/>
        <v>257.80556031626975</v>
      </c>
      <c r="D27" s="2652">
        <f t="shared" si="87"/>
        <v>257.80556031626975</v>
      </c>
      <c r="E27" s="2652">
        <f t="shared" si="93"/>
        <v>422.70928459677179</v>
      </c>
      <c r="F27" s="2652">
        <f t="shared" si="93"/>
        <v>229.73803270336617</v>
      </c>
      <c r="G27" s="3481"/>
      <c r="H27" s="2653">
        <v>1</v>
      </c>
      <c r="I27" s="2653">
        <v>2.97</v>
      </c>
      <c r="J27" s="2653">
        <v>2.34</v>
      </c>
      <c r="K27" s="2653">
        <v>3.28</v>
      </c>
      <c r="L27" s="2654">
        <v>1.36</v>
      </c>
      <c r="N27" s="2656">
        <f t="shared" si="89"/>
        <v>2.9700000000000001E-2</v>
      </c>
      <c r="O27" s="2657">
        <f t="shared" si="85"/>
        <v>2.3399999999999997E-2</v>
      </c>
      <c r="P27" s="2657">
        <f t="shared" si="85"/>
        <v>3.2799999999999996E-2</v>
      </c>
      <c r="Q27" s="2657">
        <f t="shared" si="85"/>
        <v>1.3600000000000001E-2</v>
      </c>
      <c r="R27" s="2658"/>
      <c r="S27" s="2659">
        <f>B27/B28-1</f>
        <v>2.7910129219355539E-2</v>
      </c>
      <c r="T27" s="2660">
        <f>C27/C28-1</f>
        <v>2.3037937762975247E-2</v>
      </c>
      <c r="U27" s="2660">
        <f>E27/E28-1</f>
        <v>3.3519033243940788E-2</v>
      </c>
      <c r="V27" s="2660">
        <f>F27/F28-1</f>
        <v>1.2061818076502862E-2</v>
      </c>
      <c r="W27" s="2727" t="s">
        <v>2640</v>
      </c>
      <c r="X27" s="2729">
        <v>1</v>
      </c>
      <c r="Y27" s="2729">
        <v>1</v>
      </c>
      <c r="Z27" s="2729">
        <v>1</v>
      </c>
      <c r="AA27" s="2729">
        <v>1</v>
      </c>
      <c r="AB27" s="2729">
        <v>1</v>
      </c>
      <c r="AD27" s="2962">
        <f>I27/100</f>
        <v>2.9700000000000001E-2</v>
      </c>
      <c r="AE27" s="2962">
        <f>J27/100</f>
        <v>2.3399999999999997E-2</v>
      </c>
      <c r="AF27" s="2962">
        <f>AE27</f>
        <v>2.3399999999999997E-2</v>
      </c>
      <c r="AG27" s="2962">
        <f>K27/100</f>
        <v>3.2799999999999996E-2</v>
      </c>
      <c r="AH27" s="2962">
        <f>L27/100</f>
        <v>1.3600000000000001E-2</v>
      </c>
    </row>
    <row r="28" spans="1:34" ht="13.5" thickBot="1">
      <c r="A28" s="2620" t="s">
        <v>2583</v>
      </c>
      <c r="B28" s="2625">
        <v>299</v>
      </c>
      <c r="C28" s="2625">
        <v>252</v>
      </c>
      <c r="D28" s="2625">
        <f t="shared" si="87"/>
        <v>252</v>
      </c>
      <c r="E28" s="2625">
        <v>409</v>
      </c>
      <c r="F28" s="2626">
        <v>227</v>
      </c>
      <c r="G28" s="3482">
        <v>2013</v>
      </c>
      <c r="H28" s="2661">
        <v>4</v>
      </c>
      <c r="I28" s="2661">
        <v>1.83</v>
      </c>
      <c r="J28" s="2661">
        <v>1.68</v>
      </c>
      <c r="K28" s="2661">
        <v>1.97</v>
      </c>
      <c r="L28" s="2662">
        <v>0.87</v>
      </c>
      <c r="N28" s="2641">
        <f t="shared" si="89"/>
        <v>1.83E-2</v>
      </c>
      <c r="O28" s="2642">
        <f t="shared" si="85"/>
        <v>1.6799999999999999E-2</v>
      </c>
      <c r="P28" s="2642">
        <f t="shared" si="85"/>
        <v>1.9699999999999999E-2</v>
      </c>
      <c r="Q28" s="2642">
        <f t="shared" si="85"/>
        <v>8.6999999999999994E-3</v>
      </c>
      <c r="R28" s="2630"/>
      <c r="S28" s="2631"/>
      <c r="T28" s="2632"/>
      <c r="U28" s="2632"/>
      <c r="V28" s="2632"/>
      <c r="X28" s="2632"/>
      <c r="Y28" s="2632"/>
      <c r="Z28" s="2632"/>
    </row>
    <row r="29" spans="1:34">
      <c r="A29" s="2620" t="s">
        <v>2584</v>
      </c>
      <c r="B29" s="2633">
        <f t="shared" ref="B29:C31" si="96">B28/(1+N28)</f>
        <v>293.62663262299913</v>
      </c>
      <c r="C29" s="2633">
        <f t="shared" si="96"/>
        <v>247.83634933123525</v>
      </c>
      <c r="D29" s="2633">
        <f t="shared" si="87"/>
        <v>247.83634933123525</v>
      </c>
      <c r="E29" s="2633">
        <f t="shared" ref="E29:F31" si="97">E28/(1+P28)</f>
        <v>401.09836226341076</v>
      </c>
      <c r="F29" s="2633">
        <f t="shared" si="97"/>
        <v>225.04213343908003</v>
      </c>
      <c r="G29" s="3483"/>
      <c r="H29" s="2644">
        <v>3</v>
      </c>
      <c r="I29" s="2644">
        <v>1.86</v>
      </c>
      <c r="J29" s="2644">
        <v>1.72</v>
      </c>
      <c r="K29" s="2644">
        <v>1.98</v>
      </c>
      <c r="L29" s="2645">
        <v>0.88</v>
      </c>
      <c r="N29" s="2628">
        <f t="shared" si="89"/>
        <v>1.8600000000000002E-2</v>
      </c>
      <c r="O29" s="2646">
        <f t="shared" si="85"/>
        <v>1.72E-2</v>
      </c>
      <c r="P29" s="2646">
        <f t="shared" si="85"/>
        <v>1.9799999999999998E-2</v>
      </c>
      <c r="Q29" s="2646">
        <f t="shared" si="85"/>
        <v>8.8000000000000005E-3</v>
      </c>
      <c r="R29" s="2630"/>
      <c r="S29" s="2628"/>
      <c r="T29" s="2629"/>
      <c r="U29" s="2629"/>
      <c r="V29" s="2629"/>
    </row>
    <row r="30" spans="1:34">
      <c r="A30" s="2620" t="s">
        <v>2585</v>
      </c>
      <c r="B30" s="2633">
        <f t="shared" si="96"/>
        <v>288.2649053828776</v>
      </c>
      <c r="C30" s="2633">
        <f t="shared" si="96"/>
        <v>243.64564425013293</v>
      </c>
      <c r="D30" s="2633">
        <f t="shared" si="87"/>
        <v>243.64564425013293</v>
      </c>
      <c r="E30" s="2633">
        <f t="shared" si="97"/>
        <v>393.31080825986544</v>
      </c>
      <c r="F30" s="2633">
        <f t="shared" si="97"/>
        <v>223.07903790551154</v>
      </c>
      <c r="G30" s="3483"/>
      <c r="H30" s="2624">
        <v>2</v>
      </c>
      <c r="I30" s="2624">
        <v>2.04</v>
      </c>
      <c r="J30" s="2624">
        <v>2.33</v>
      </c>
      <c r="K30" s="2624">
        <v>2.0699999999999998</v>
      </c>
      <c r="L30" s="2635">
        <v>0.69</v>
      </c>
      <c r="N30" s="2628">
        <f t="shared" si="89"/>
        <v>2.0400000000000001E-2</v>
      </c>
      <c r="O30" s="2646">
        <f t="shared" si="85"/>
        <v>2.3300000000000001E-2</v>
      </c>
      <c r="P30" s="2646">
        <f t="shared" si="85"/>
        <v>2.07E-2</v>
      </c>
      <c r="Q30" s="2646">
        <f t="shared" si="85"/>
        <v>6.8999999999999999E-3</v>
      </c>
      <c r="R30" s="2630"/>
      <c r="S30" s="2628"/>
      <c r="T30" s="2629"/>
      <c r="U30" s="2629"/>
      <c r="V30" s="2629"/>
      <c r="X30" s="2730"/>
      <c r="Y30" s="2732"/>
    </row>
    <row r="31" spans="1:34">
      <c r="A31" s="2620" t="s">
        <v>2586</v>
      </c>
      <c r="B31" s="2633">
        <f t="shared" si="96"/>
        <v>282.50186729015837</v>
      </c>
      <c r="C31" s="2633">
        <f t="shared" si="96"/>
        <v>238.09796174155468</v>
      </c>
      <c r="D31" s="2633">
        <f t="shared" si="87"/>
        <v>238.09796174155468</v>
      </c>
      <c r="E31" s="2633">
        <f t="shared" si="97"/>
        <v>385.33438646014054</v>
      </c>
      <c r="F31" s="2633">
        <f t="shared" si="97"/>
        <v>221.55034055567739</v>
      </c>
      <c r="G31" s="3484"/>
      <c r="H31" s="2623">
        <v>1</v>
      </c>
      <c r="I31" s="2623">
        <v>1.67</v>
      </c>
      <c r="J31" s="2623">
        <v>1.31</v>
      </c>
      <c r="K31" s="2623">
        <v>1.85</v>
      </c>
      <c r="L31" s="2634">
        <v>0.96</v>
      </c>
      <c r="N31" s="2636">
        <f t="shared" si="89"/>
        <v>1.67E-2</v>
      </c>
      <c r="O31" s="2637">
        <f t="shared" si="85"/>
        <v>1.3100000000000001E-2</v>
      </c>
      <c r="P31" s="2637">
        <f t="shared" si="85"/>
        <v>1.8500000000000003E-2</v>
      </c>
      <c r="Q31" s="2637">
        <f t="shared" si="85"/>
        <v>9.5999999999999992E-3</v>
      </c>
      <c r="R31" s="2630"/>
      <c r="S31" s="2636">
        <f>B31/B32-1</f>
        <v>1.6193767230785472E-2</v>
      </c>
      <c r="T31" s="2637">
        <f>C31/C32-1</f>
        <v>1.7512657015190891E-2</v>
      </c>
      <c r="U31" s="2637">
        <f>E31/E32-1</f>
        <v>1.6713420739157048E-2</v>
      </c>
      <c r="V31" s="2637">
        <f>F31/F32-1</f>
        <v>7.0470025258062563E-3</v>
      </c>
      <c r="X31" s="2731"/>
      <c r="Y31" s="2638"/>
      <c r="Z31" s="2638"/>
    </row>
    <row r="32" spans="1:34" ht="13.5" thickBot="1">
      <c r="A32" s="2620" t="s">
        <v>2587</v>
      </c>
      <c r="B32" s="2663">
        <v>278</v>
      </c>
      <c r="C32" s="2663">
        <v>234</v>
      </c>
      <c r="D32" s="2663">
        <f t="shared" si="87"/>
        <v>234</v>
      </c>
      <c r="E32" s="2663">
        <v>379</v>
      </c>
      <c r="F32" s="2664">
        <v>220</v>
      </c>
      <c r="G32" s="3479">
        <v>2012</v>
      </c>
      <c r="H32" s="2639">
        <v>4</v>
      </c>
      <c r="I32" s="2639">
        <v>0.91</v>
      </c>
      <c r="J32" s="2639">
        <v>0.68</v>
      </c>
      <c r="K32" s="2639">
        <v>0.98</v>
      </c>
      <c r="L32" s="2640">
        <v>0.9</v>
      </c>
      <c r="N32" s="2628">
        <f t="shared" si="89"/>
        <v>9.1000000000000004E-3</v>
      </c>
      <c r="O32" s="2629">
        <f t="shared" si="89"/>
        <v>6.8000000000000005E-3</v>
      </c>
      <c r="P32" s="2629">
        <f t="shared" si="89"/>
        <v>9.7999999999999997E-3</v>
      </c>
      <c r="Q32" s="2629">
        <f t="shared" si="89"/>
        <v>9.0000000000000011E-3</v>
      </c>
      <c r="R32" s="2630"/>
      <c r="S32" s="2631"/>
      <c r="T32" s="2632"/>
      <c r="U32" s="2632"/>
      <c r="V32" s="2632"/>
      <c r="X32" s="2632"/>
      <c r="Y32" s="2632"/>
      <c r="Z32" s="2632"/>
    </row>
    <row r="33" spans="1:26">
      <c r="A33" s="2620" t="s">
        <v>2588</v>
      </c>
      <c r="B33" s="2633">
        <f>B32/(1+N32)</f>
        <v>275.49301357645425</v>
      </c>
      <c r="C33" s="2633">
        <f>C32/(1+O32)</f>
        <v>232.41954707985698</v>
      </c>
      <c r="D33" s="2633">
        <f t="shared" si="87"/>
        <v>232.41954707985698</v>
      </c>
      <c r="E33" s="2633">
        <f t="shared" ref="E33:F35" si="98">E32/(1+P32)</f>
        <v>375.32184591008121</v>
      </c>
      <c r="F33" s="2633">
        <f t="shared" si="98"/>
        <v>218.03766105054513</v>
      </c>
      <c r="G33" s="3480"/>
      <c r="H33" s="2644">
        <v>3</v>
      </c>
      <c r="I33" s="2644">
        <v>0.09</v>
      </c>
      <c r="J33" s="2644">
        <v>0.28999999999999998</v>
      </c>
      <c r="K33" s="2644">
        <v>-0.01</v>
      </c>
      <c r="L33" s="2645">
        <v>0.57999999999999996</v>
      </c>
      <c r="N33" s="2628">
        <f t="shared" si="89"/>
        <v>8.9999999999999998E-4</v>
      </c>
      <c r="O33" s="2629">
        <f t="shared" si="89"/>
        <v>2.8999999999999998E-3</v>
      </c>
      <c r="P33" s="2629">
        <f t="shared" si="89"/>
        <v>-1E-4</v>
      </c>
      <c r="Q33" s="2629">
        <f t="shared" si="89"/>
        <v>5.7999999999999996E-3</v>
      </c>
      <c r="R33" s="2630"/>
      <c r="S33" s="2628"/>
      <c r="T33" s="2629"/>
      <c r="U33" s="2629"/>
      <c r="V33" s="2629"/>
    </row>
    <row r="34" spans="1:26">
      <c r="A34" s="2620" t="s">
        <v>2589</v>
      </c>
      <c r="B34" s="2633">
        <f>B33/(1+N33)</f>
        <v>275.24529281292263</v>
      </c>
      <c r="C34" s="2633">
        <f>C33/(1+O33)</f>
        <v>231.74747938962707</v>
      </c>
      <c r="D34" s="2633">
        <f t="shared" si="87"/>
        <v>231.74747938962707</v>
      </c>
      <c r="E34" s="2633">
        <f t="shared" si="98"/>
        <v>375.35938184826603</v>
      </c>
      <c r="F34" s="2633">
        <f t="shared" si="98"/>
        <v>216.78033510692495</v>
      </c>
      <c r="G34" s="3480"/>
      <c r="H34" s="2624">
        <v>2</v>
      </c>
      <c r="I34" s="2624">
        <v>0.02</v>
      </c>
      <c r="J34" s="2624">
        <v>0.12</v>
      </c>
      <c r="K34" s="2624">
        <v>-0.08</v>
      </c>
      <c r="L34" s="2635">
        <v>1.24</v>
      </c>
      <c r="N34" s="2628">
        <f t="shared" si="89"/>
        <v>2.0000000000000001E-4</v>
      </c>
      <c r="O34" s="2629">
        <f t="shared" si="89"/>
        <v>1.1999999999999999E-3</v>
      </c>
      <c r="P34" s="2629">
        <f t="shared" si="89"/>
        <v>-8.0000000000000004E-4</v>
      </c>
      <c r="Q34" s="2629">
        <f t="shared" si="89"/>
        <v>1.24E-2</v>
      </c>
      <c r="R34" s="2630"/>
      <c r="S34" s="2628"/>
      <c r="T34" s="2629"/>
      <c r="U34" s="2629"/>
      <c r="V34" s="2629"/>
    </row>
    <row r="35" spans="1:26" ht="13.5" thickBot="1">
      <c r="A35" s="2620" t="s">
        <v>2590</v>
      </c>
      <c r="B35" s="2633">
        <f>B34/(1+N34)</f>
        <v>275.19025476197027</v>
      </c>
      <c r="C35" s="2665">
        <v>232</v>
      </c>
      <c r="D35" s="2665">
        <f t="shared" si="87"/>
        <v>232</v>
      </c>
      <c r="E35" s="2633">
        <f t="shared" si="98"/>
        <v>375.65990977608692</v>
      </c>
      <c r="F35" s="2633">
        <f t="shared" si="98"/>
        <v>214.12518283971252</v>
      </c>
      <c r="G35" s="3481"/>
      <c r="H35" s="2623">
        <v>1</v>
      </c>
      <c r="I35" s="2623">
        <v>0.02</v>
      </c>
      <c r="J35" s="2623">
        <v>0.13</v>
      </c>
      <c r="K35" s="2623">
        <v>-0.04</v>
      </c>
      <c r="L35" s="2634">
        <v>0.46</v>
      </c>
      <c r="N35" s="2628">
        <f t="shared" si="89"/>
        <v>2.0000000000000001E-4</v>
      </c>
      <c r="O35" s="2629">
        <f t="shared" si="89"/>
        <v>1.2999999999999999E-3</v>
      </c>
      <c r="P35" s="2629">
        <f t="shared" si="89"/>
        <v>-4.0000000000000002E-4</v>
      </c>
      <c r="Q35" s="2629">
        <f t="shared" si="89"/>
        <v>4.5999999999999999E-3</v>
      </c>
      <c r="R35" s="2630"/>
      <c r="S35" s="2636">
        <f>B35/B36-1</f>
        <v>6.9183549807361189E-4</v>
      </c>
      <c r="T35" s="2637">
        <f>C35/C36-1</f>
        <v>0</v>
      </c>
      <c r="U35" s="2637">
        <f>E35/E36-1</f>
        <v>-9.0449527636460303E-4</v>
      </c>
      <c r="V35" s="2637">
        <f>F35/F36-1</f>
        <v>5.2825485432512753E-3</v>
      </c>
      <c r="X35" s="2638"/>
      <c r="Y35" s="2638"/>
      <c r="Z35" s="2638"/>
    </row>
    <row r="36" spans="1:26" ht="13.5" thickBot="1">
      <c r="A36" s="2620" t="s">
        <v>2591</v>
      </c>
      <c r="B36" s="2625">
        <v>275</v>
      </c>
      <c r="C36" s="2625">
        <v>232</v>
      </c>
      <c r="D36" s="2625">
        <f t="shared" si="87"/>
        <v>232</v>
      </c>
      <c r="E36" s="2625">
        <v>376</v>
      </c>
      <c r="F36" s="2626">
        <v>213</v>
      </c>
      <c r="G36" s="3479">
        <v>2011</v>
      </c>
      <c r="H36" s="2639">
        <v>4</v>
      </c>
      <c r="I36" s="2639">
        <v>-0.2</v>
      </c>
      <c r="J36" s="2639">
        <v>0.04</v>
      </c>
      <c r="K36" s="2639">
        <v>-0.34</v>
      </c>
      <c r="L36" s="2640">
        <v>0.46</v>
      </c>
      <c r="N36" s="2641">
        <f t="shared" si="89"/>
        <v>-2E-3</v>
      </c>
      <c r="O36" s="2642">
        <f t="shared" si="89"/>
        <v>4.0000000000000002E-4</v>
      </c>
      <c r="P36" s="2642">
        <f t="shared" si="89"/>
        <v>-3.4000000000000002E-3</v>
      </c>
      <c r="Q36" s="2642">
        <f t="shared" si="89"/>
        <v>4.5999999999999999E-3</v>
      </c>
      <c r="R36" s="2630"/>
      <c r="S36" s="2631"/>
      <c r="T36" s="2632"/>
      <c r="U36" s="2632"/>
      <c r="V36" s="2632"/>
      <c r="X36" s="2632"/>
      <c r="Y36" s="2632"/>
      <c r="Z36" s="2632"/>
    </row>
    <row r="37" spans="1:26">
      <c r="A37" s="2620" t="s">
        <v>2592</v>
      </c>
      <c r="B37" s="2633">
        <f t="shared" ref="B37:C39" si="99">B36/(1+N36)</f>
        <v>275.55110220440883</v>
      </c>
      <c r="C37" s="2633">
        <f t="shared" si="99"/>
        <v>231.90723710515795</v>
      </c>
      <c r="D37" s="2633">
        <f t="shared" si="87"/>
        <v>231.90723710515795</v>
      </c>
      <c r="E37" s="2633">
        <f t="shared" ref="E37:F39" si="100">E36/(1+P36)</f>
        <v>377.28276138872161</v>
      </c>
      <c r="F37" s="2633">
        <f t="shared" si="100"/>
        <v>212.02468644236512</v>
      </c>
      <c r="G37" s="3480">
        <v>2011</v>
      </c>
      <c r="H37" s="2644">
        <v>3</v>
      </c>
      <c r="I37" s="2644">
        <v>0.13</v>
      </c>
      <c r="J37" s="2644">
        <v>0.75</v>
      </c>
      <c r="K37" s="2644">
        <v>-0.08</v>
      </c>
      <c r="L37" s="2645">
        <v>0.53</v>
      </c>
      <c r="N37" s="2628">
        <f t="shared" si="89"/>
        <v>1.2999999999999999E-3</v>
      </c>
      <c r="O37" s="2646">
        <f t="shared" si="89"/>
        <v>7.4999999999999997E-3</v>
      </c>
      <c r="P37" s="2646">
        <f t="shared" si="89"/>
        <v>-8.0000000000000004E-4</v>
      </c>
      <c r="Q37" s="2646">
        <f t="shared" si="89"/>
        <v>5.3E-3</v>
      </c>
      <c r="R37" s="2630"/>
      <c r="S37" s="2628"/>
      <c r="T37" s="2629"/>
      <c r="U37" s="2629"/>
      <c r="V37" s="2629"/>
    </row>
    <row r="38" spans="1:26">
      <c r="A38" s="2620" t="s">
        <v>2593</v>
      </c>
      <c r="B38" s="2633">
        <f t="shared" si="99"/>
        <v>275.19335084830601</v>
      </c>
      <c r="C38" s="2633">
        <f t="shared" si="99"/>
        <v>230.18088050139744</v>
      </c>
      <c r="D38" s="2633">
        <f t="shared" si="87"/>
        <v>230.18088050139744</v>
      </c>
      <c r="E38" s="2633">
        <f t="shared" si="100"/>
        <v>377.58482925212331</v>
      </c>
      <c r="F38" s="2633">
        <f t="shared" si="100"/>
        <v>210.90687997847917</v>
      </c>
      <c r="G38" s="3480">
        <v>2011</v>
      </c>
      <c r="H38" s="2624">
        <v>2</v>
      </c>
      <c r="I38" s="2624">
        <v>-0.4</v>
      </c>
      <c r="J38" s="2624">
        <v>0.17</v>
      </c>
      <c r="K38" s="2624">
        <v>-0.57999999999999996</v>
      </c>
      <c r="L38" s="2635">
        <v>-0.2</v>
      </c>
      <c r="N38" s="2628">
        <f t="shared" si="89"/>
        <v>-4.0000000000000001E-3</v>
      </c>
      <c r="O38" s="2646">
        <f t="shared" si="89"/>
        <v>1.7000000000000001E-3</v>
      </c>
      <c r="P38" s="2646">
        <f t="shared" si="89"/>
        <v>-5.7999999999999996E-3</v>
      </c>
      <c r="Q38" s="2646">
        <f t="shared" si="89"/>
        <v>-2E-3</v>
      </c>
      <c r="R38" s="2630"/>
      <c r="S38" s="2628"/>
      <c r="T38" s="2629"/>
      <c r="U38" s="2629"/>
      <c r="V38" s="2629"/>
    </row>
    <row r="39" spans="1:26" ht="13.5" thickBot="1">
      <c r="A39" s="2620" t="s">
        <v>2594</v>
      </c>
      <c r="B39" s="2633">
        <f t="shared" si="99"/>
        <v>276.29854502841971</v>
      </c>
      <c r="C39" s="2633">
        <f t="shared" si="99"/>
        <v>229.79023709833027</v>
      </c>
      <c r="D39" s="2633">
        <f t="shared" si="87"/>
        <v>229.79023709833027</v>
      </c>
      <c r="E39" s="2633">
        <f t="shared" si="100"/>
        <v>379.78759731655936</v>
      </c>
      <c r="F39" s="2633">
        <f t="shared" si="100"/>
        <v>211.32953905659235</v>
      </c>
      <c r="G39" s="3481">
        <v>2011</v>
      </c>
      <c r="H39" s="2623">
        <v>1</v>
      </c>
      <c r="I39" s="2623">
        <v>2.65</v>
      </c>
      <c r="J39" s="2623">
        <v>3.76</v>
      </c>
      <c r="K39" s="2623">
        <v>1.89</v>
      </c>
      <c r="L39" s="2634">
        <v>7.95</v>
      </c>
      <c r="N39" s="2636">
        <f t="shared" si="89"/>
        <v>2.6499999999999999E-2</v>
      </c>
      <c r="O39" s="2637">
        <f t="shared" si="89"/>
        <v>3.7599999999999995E-2</v>
      </c>
      <c r="P39" s="2637">
        <f t="shared" si="89"/>
        <v>1.89E-2</v>
      </c>
      <c r="Q39" s="2637">
        <f t="shared" si="89"/>
        <v>7.9500000000000001E-2</v>
      </c>
      <c r="R39" s="2630"/>
      <c r="S39" s="2636">
        <f>B39/B40-1</f>
        <v>2.713213765211786E-2</v>
      </c>
      <c r="T39" s="2637">
        <f>C39/C40-1</f>
        <v>3.9774828499231862E-2</v>
      </c>
      <c r="U39" s="2637">
        <f>E39/E40-1</f>
        <v>1.8197311840641772E-2</v>
      </c>
      <c r="V39" s="2637">
        <f>F39/F40-1</f>
        <v>7.8211933962205826E-2</v>
      </c>
      <c r="X39" s="2638"/>
      <c r="Y39" s="2638"/>
      <c r="Z39" s="2638"/>
    </row>
    <row r="40" spans="1:26" ht="13.5" thickBot="1">
      <c r="A40" s="2620" t="s">
        <v>2595</v>
      </c>
      <c r="B40" s="2625">
        <v>269</v>
      </c>
      <c r="C40" s="2625">
        <v>221</v>
      </c>
      <c r="D40" s="2625">
        <f t="shared" si="87"/>
        <v>221</v>
      </c>
      <c r="E40" s="2625">
        <v>373</v>
      </c>
      <c r="F40" s="2626">
        <v>196</v>
      </c>
      <c r="G40" s="3479">
        <v>2010</v>
      </c>
      <c r="H40" s="2639">
        <v>4</v>
      </c>
      <c r="I40" s="2639">
        <v>5.72</v>
      </c>
      <c r="J40" s="2639">
        <v>6.57</v>
      </c>
      <c r="K40" s="2639">
        <v>5.72</v>
      </c>
      <c r="L40" s="2640">
        <v>2.72</v>
      </c>
      <c r="N40" s="2628">
        <f t="shared" si="89"/>
        <v>5.7200000000000001E-2</v>
      </c>
      <c r="O40" s="2629">
        <f t="shared" si="89"/>
        <v>6.5700000000000008E-2</v>
      </c>
      <c r="P40" s="2629">
        <f t="shared" si="89"/>
        <v>5.7200000000000001E-2</v>
      </c>
      <c r="Q40" s="2629">
        <f t="shared" si="89"/>
        <v>2.7200000000000002E-2</v>
      </c>
      <c r="R40" s="2630"/>
      <c r="S40" s="2631"/>
      <c r="T40" s="2632"/>
      <c r="U40" s="2632"/>
      <c r="V40" s="2632"/>
      <c r="X40" s="2632"/>
      <c r="Y40" s="2632"/>
      <c r="Z40" s="2632"/>
    </row>
    <row r="41" spans="1:26">
      <c r="A41" s="2620" t="s">
        <v>2596</v>
      </c>
      <c r="B41" s="2633">
        <f t="shared" ref="B41:C43" si="101">B40/(1+N40)</f>
        <v>254.44570563753314</v>
      </c>
      <c r="C41" s="2633">
        <f t="shared" si="101"/>
        <v>207.37543398705074</v>
      </c>
      <c r="D41" s="2633">
        <f t="shared" si="87"/>
        <v>207.37543398705074</v>
      </c>
      <c r="E41" s="2633">
        <f t="shared" ref="E41:F43" si="102">E40/(1+P40)</f>
        <v>352.81876655315932</v>
      </c>
      <c r="F41" s="2633">
        <f t="shared" si="102"/>
        <v>190.809968847352</v>
      </c>
      <c r="G41" s="3480">
        <v>2010</v>
      </c>
      <c r="H41" s="2644">
        <v>3</v>
      </c>
      <c r="I41" s="2644">
        <v>4.7300000000000004</v>
      </c>
      <c r="J41" s="2644">
        <v>3.9</v>
      </c>
      <c r="K41" s="2644">
        <v>5.03</v>
      </c>
      <c r="L41" s="2645">
        <v>4.21</v>
      </c>
      <c r="N41" s="2628">
        <f t="shared" si="89"/>
        <v>4.7300000000000002E-2</v>
      </c>
      <c r="O41" s="2629">
        <f t="shared" si="89"/>
        <v>3.9E-2</v>
      </c>
      <c r="P41" s="2629">
        <f t="shared" si="89"/>
        <v>5.0300000000000004E-2</v>
      </c>
      <c r="Q41" s="2629">
        <f t="shared" si="89"/>
        <v>4.2099999999999999E-2</v>
      </c>
      <c r="R41" s="2630"/>
      <c r="S41" s="2628"/>
      <c r="T41" s="2629"/>
      <c r="U41" s="2629"/>
      <c r="V41" s="2629"/>
    </row>
    <row r="42" spans="1:26">
      <c r="A42" s="2620" t="s">
        <v>2597</v>
      </c>
      <c r="B42" s="2633">
        <f t="shared" si="101"/>
        <v>242.95398227588385</v>
      </c>
      <c r="C42" s="2633">
        <f t="shared" si="101"/>
        <v>199.59137053614126</v>
      </c>
      <c r="D42" s="2633">
        <f t="shared" si="87"/>
        <v>199.59137053614126</v>
      </c>
      <c r="E42" s="2633">
        <f t="shared" si="102"/>
        <v>335.92189522342125</v>
      </c>
      <c r="F42" s="2633">
        <f t="shared" si="102"/>
        <v>183.10139991109489</v>
      </c>
      <c r="G42" s="3480">
        <v>2010</v>
      </c>
      <c r="H42" s="2624">
        <v>2</v>
      </c>
      <c r="I42" s="2624">
        <v>4.6900000000000004</v>
      </c>
      <c r="J42" s="2624">
        <v>3.55</v>
      </c>
      <c r="K42" s="2624">
        <v>5.07</v>
      </c>
      <c r="L42" s="2635">
        <v>4.2300000000000004</v>
      </c>
      <c r="N42" s="2628">
        <f t="shared" si="89"/>
        <v>4.6900000000000004E-2</v>
      </c>
      <c r="O42" s="2629">
        <f t="shared" si="89"/>
        <v>3.5499999999999997E-2</v>
      </c>
      <c r="P42" s="2629">
        <f t="shared" si="89"/>
        <v>5.0700000000000002E-2</v>
      </c>
      <c r="Q42" s="2629">
        <f t="shared" si="89"/>
        <v>4.2300000000000004E-2</v>
      </c>
      <c r="R42" s="2630"/>
      <c r="S42" s="2628"/>
      <c r="T42" s="2629"/>
      <c r="U42" s="2629"/>
      <c r="V42" s="2629"/>
    </row>
    <row r="43" spans="1:26" ht="13.5" thickBot="1">
      <c r="A43" s="2620" t="s">
        <v>2598</v>
      </c>
      <c r="B43" s="2633">
        <f t="shared" si="101"/>
        <v>232.06990378821649</v>
      </c>
      <c r="C43" s="2633">
        <f t="shared" si="101"/>
        <v>192.74878854286936</v>
      </c>
      <c r="D43" s="2633">
        <f t="shared" si="87"/>
        <v>192.74878854286936</v>
      </c>
      <c r="E43" s="2633">
        <f t="shared" si="102"/>
        <v>319.71247284992984</v>
      </c>
      <c r="F43" s="2633">
        <f t="shared" si="102"/>
        <v>175.67053622862409</v>
      </c>
      <c r="G43" s="3481">
        <v>2010</v>
      </c>
      <c r="H43" s="2623">
        <v>1</v>
      </c>
      <c r="I43" s="2623">
        <v>5.4</v>
      </c>
      <c r="J43" s="2623">
        <v>3.2</v>
      </c>
      <c r="K43" s="2623">
        <v>6.16</v>
      </c>
      <c r="L43" s="2634">
        <v>4.51</v>
      </c>
      <c r="N43" s="2628">
        <f t="shared" si="89"/>
        <v>5.4000000000000006E-2</v>
      </c>
      <c r="O43" s="2629">
        <f t="shared" si="89"/>
        <v>3.2000000000000001E-2</v>
      </c>
      <c r="P43" s="2629">
        <f t="shared" si="89"/>
        <v>6.1600000000000002E-2</v>
      </c>
      <c r="Q43" s="2629">
        <f t="shared" si="89"/>
        <v>4.5100000000000001E-2</v>
      </c>
      <c r="R43" s="2630"/>
      <c r="S43" s="2636">
        <f>B43/B44-1</f>
        <v>5.4863199037347599E-2</v>
      </c>
      <c r="T43" s="2637">
        <f>C43/C44-1</f>
        <v>3.0742184721226584E-2</v>
      </c>
      <c r="U43" s="2637">
        <f>E43/E44-1</f>
        <v>6.2167683886810154E-2</v>
      </c>
      <c r="V43" s="2637">
        <f>F43/F44-1</f>
        <v>4.5657953741810031E-2</v>
      </c>
      <c r="X43" s="2638"/>
      <c r="Y43" s="2638"/>
      <c r="Z43" s="2638"/>
    </row>
    <row r="44" spans="1:26" ht="13.5" thickBot="1">
      <c r="A44" s="2620" t="s">
        <v>2599</v>
      </c>
      <c r="B44" s="2625">
        <v>220</v>
      </c>
      <c r="C44" s="2625">
        <v>187</v>
      </c>
      <c r="D44" s="2625">
        <f t="shared" si="87"/>
        <v>187</v>
      </c>
      <c r="E44" s="2625">
        <v>301</v>
      </c>
      <c r="F44" s="2626">
        <v>168</v>
      </c>
      <c r="G44" s="3479">
        <v>2009</v>
      </c>
      <c r="H44" s="2639">
        <v>4</v>
      </c>
      <c r="I44" s="2639">
        <v>2.2999999999999998</v>
      </c>
      <c r="J44" s="2639">
        <v>1.04</v>
      </c>
      <c r="K44" s="2639">
        <v>2.84</v>
      </c>
      <c r="L44" s="2640">
        <v>0.67</v>
      </c>
      <c r="N44" s="2641">
        <f t="shared" si="89"/>
        <v>2.3E-2</v>
      </c>
      <c r="O44" s="2642">
        <f t="shared" si="89"/>
        <v>1.04E-2</v>
      </c>
      <c r="P44" s="2642">
        <f t="shared" si="89"/>
        <v>2.8399999999999998E-2</v>
      </c>
      <c r="Q44" s="2642">
        <f t="shared" si="89"/>
        <v>6.7000000000000002E-3</v>
      </c>
      <c r="R44" s="2630"/>
      <c r="S44" s="2631"/>
      <c r="T44" s="2632"/>
      <c r="U44" s="2632"/>
      <c r="V44" s="2632"/>
      <c r="X44" s="2632"/>
      <c r="Y44" s="2632"/>
      <c r="Z44" s="2632"/>
    </row>
    <row r="45" spans="1:26">
      <c r="A45" s="2620" t="s">
        <v>2600</v>
      </c>
      <c r="B45" s="2633">
        <f t="shared" ref="B45:C47" si="103">B44/(1+N44)</f>
        <v>215.05376344086022</v>
      </c>
      <c r="C45" s="2633">
        <f t="shared" si="103"/>
        <v>185.0752177355503</v>
      </c>
      <c r="D45" s="2633">
        <f t="shared" si="87"/>
        <v>185.0752177355503</v>
      </c>
      <c r="E45" s="2633">
        <f t="shared" ref="E45:F47" si="104">E44/(1+P44)</f>
        <v>292.68767016725008</v>
      </c>
      <c r="F45" s="2633">
        <f t="shared" si="104"/>
        <v>166.88189132810174</v>
      </c>
      <c r="G45" s="3480">
        <v>2009</v>
      </c>
      <c r="H45" s="2644">
        <v>3</v>
      </c>
      <c r="I45" s="2644">
        <v>2.1</v>
      </c>
      <c r="J45" s="2644">
        <v>1.86</v>
      </c>
      <c r="K45" s="2644">
        <v>2.29</v>
      </c>
      <c r="L45" s="2645">
        <v>0.85</v>
      </c>
      <c r="N45" s="2628">
        <f t="shared" si="89"/>
        <v>2.1000000000000001E-2</v>
      </c>
      <c r="O45" s="2646">
        <f t="shared" si="89"/>
        <v>1.8600000000000002E-2</v>
      </c>
      <c r="P45" s="2646">
        <f t="shared" si="89"/>
        <v>2.29E-2</v>
      </c>
      <c r="Q45" s="2646">
        <f t="shared" si="89"/>
        <v>8.5000000000000006E-3</v>
      </c>
      <c r="R45" s="2630"/>
      <c r="S45" s="2628"/>
      <c r="T45" s="2629"/>
      <c r="U45" s="2629"/>
      <c r="V45" s="2629"/>
    </row>
    <row r="46" spans="1:26">
      <c r="A46" s="2620" t="s">
        <v>2601</v>
      </c>
      <c r="B46" s="2633">
        <f t="shared" si="103"/>
        <v>210.630522469011</v>
      </c>
      <c r="C46" s="2633">
        <f t="shared" si="103"/>
        <v>181.69567812247232</v>
      </c>
      <c r="D46" s="2633">
        <f t="shared" si="87"/>
        <v>181.69567812247232</v>
      </c>
      <c r="E46" s="2633">
        <f t="shared" si="104"/>
        <v>286.13517466736738</v>
      </c>
      <c r="F46" s="2633">
        <f t="shared" si="104"/>
        <v>165.47535084591149</v>
      </c>
      <c r="G46" s="3480">
        <v>2009</v>
      </c>
      <c r="H46" s="2624">
        <v>2</v>
      </c>
      <c r="I46" s="2624">
        <v>0.86</v>
      </c>
      <c r="J46" s="2624">
        <v>-1.1299999999999999</v>
      </c>
      <c r="K46" s="2624">
        <v>1.79</v>
      </c>
      <c r="L46" s="2635">
        <v>-2.0699999999999998</v>
      </c>
      <c r="N46" s="2628">
        <f t="shared" si="89"/>
        <v>8.6E-3</v>
      </c>
      <c r="O46" s="2646">
        <f t="shared" si="89"/>
        <v>-1.1299999999999999E-2</v>
      </c>
      <c r="P46" s="2646">
        <f t="shared" si="89"/>
        <v>1.7899999999999999E-2</v>
      </c>
      <c r="Q46" s="2646">
        <f t="shared" si="89"/>
        <v>-2.07E-2</v>
      </c>
      <c r="R46" s="2630"/>
      <c r="S46" s="2628"/>
      <c r="T46" s="2629"/>
      <c r="U46" s="2629"/>
      <c r="V46" s="2629"/>
    </row>
    <row r="47" spans="1:26">
      <c r="A47" s="2620" t="s">
        <v>2602</v>
      </c>
      <c r="B47" s="2633">
        <f t="shared" si="103"/>
        <v>208.83454537875372</v>
      </c>
      <c r="C47" s="2633">
        <f t="shared" si="103"/>
        <v>183.77230517090351</v>
      </c>
      <c r="D47" s="2633">
        <f t="shared" si="87"/>
        <v>183.77230517090351</v>
      </c>
      <c r="E47" s="2633">
        <f t="shared" si="104"/>
        <v>281.10342338870947</v>
      </c>
      <c r="F47" s="2633">
        <f t="shared" si="104"/>
        <v>168.97309388942256</v>
      </c>
      <c r="G47" s="3481">
        <v>2009</v>
      </c>
      <c r="H47" s="2623">
        <v>1</v>
      </c>
      <c r="I47" s="2623">
        <v>-2.64</v>
      </c>
      <c r="J47" s="2623">
        <v>-2.5299999999999998</v>
      </c>
      <c r="K47" s="2623">
        <v>-3.02</v>
      </c>
      <c r="L47" s="2634">
        <v>1.52</v>
      </c>
      <c r="N47" s="2636">
        <f t="shared" si="89"/>
        <v>-2.64E-2</v>
      </c>
      <c r="O47" s="2637">
        <f t="shared" si="89"/>
        <v>-2.53E-2</v>
      </c>
      <c r="P47" s="2637">
        <f t="shared" si="89"/>
        <v>-3.0200000000000001E-2</v>
      </c>
      <c r="Q47" s="2637">
        <f t="shared" si="89"/>
        <v>1.52E-2</v>
      </c>
      <c r="R47" s="2630"/>
      <c r="S47" s="2636">
        <f>B47/B48-1</f>
        <v>-2.4137638417038754E-2</v>
      </c>
      <c r="T47" s="2637">
        <f>C47/C48-1</f>
        <v>-2.248773845264096E-2</v>
      </c>
      <c r="U47" s="2637">
        <f>E47/E48-1</f>
        <v>-2.7323794502735366E-2</v>
      </c>
      <c r="V47" s="2637">
        <f>F47/F48-1</f>
        <v>1.7910204153148035E-2</v>
      </c>
      <c r="X47" s="2638"/>
      <c r="Y47" s="2638"/>
      <c r="Z47" s="2638"/>
    </row>
    <row r="48" spans="1:26" ht="13.5" thickBot="1">
      <c r="A48" s="2620" t="s">
        <v>2603</v>
      </c>
      <c r="B48" s="2663">
        <v>214</v>
      </c>
      <c r="C48" s="2663">
        <v>188</v>
      </c>
      <c r="D48" s="2663">
        <f t="shared" si="87"/>
        <v>188</v>
      </c>
      <c r="E48" s="2663">
        <v>289</v>
      </c>
      <c r="F48" s="2664">
        <v>166</v>
      </c>
      <c r="G48" s="3479">
        <v>2008</v>
      </c>
      <c r="H48" s="2639">
        <v>4</v>
      </c>
      <c r="I48" s="2639">
        <v>1.73</v>
      </c>
      <c r="J48" s="2639">
        <v>0.03</v>
      </c>
      <c r="K48" s="2639">
        <v>2.59</v>
      </c>
      <c r="L48" s="2640">
        <v>-1.66</v>
      </c>
      <c r="N48" s="2628">
        <f t="shared" si="89"/>
        <v>1.7299999999999999E-2</v>
      </c>
      <c r="O48" s="2629">
        <f t="shared" si="89"/>
        <v>2.9999999999999997E-4</v>
      </c>
      <c r="P48" s="2629">
        <f t="shared" si="89"/>
        <v>2.5899999999999999E-2</v>
      </c>
      <c r="Q48" s="2629">
        <f t="shared" si="89"/>
        <v>-1.66E-2</v>
      </c>
      <c r="R48" s="2630"/>
      <c r="S48" s="2631"/>
      <c r="T48" s="2632"/>
      <c r="U48" s="2632"/>
      <c r="V48" s="2632"/>
      <c r="X48" s="2632"/>
      <c r="Y48" s="2632"/>
      <c r="Z48" s="2632"/>
    </row>
    <row r="49" spans="1:26">
      <c r="A49" s="2620" t="s">
        <v>2604</v>
      </c>
      <c r="B49" s="2633">
        <f t="shared" ref="B49:C51" si="105">B48/(1+N48)</f>
        <v>210.36075887152265</v>
      </c>
      <c r="C49" s="2633">
        <f t="shared" si="105"/>
        <v>187.94361691492554</v>
      </c>
      <c r="D49" s="2633">
        <f t="shared" si="87"/>
        <v>187.94361691492554</v>
      </c>
      <c r="E49" s="2633">
        <f t="shared" ref="E49:F51" si="106">E48/(1+P48)</f>
        <v>281.70386977288234</v>
      </c>
      <c r="F49" s="2633">
        <f t="shared" si="106"/>
        <v>168.80211511083994</v>
      </c>
      <c r="G49" s="3480">
        <v>2008</v>
      </c>
      <c r="H49" s="2644">
        <v>3</v>
      </c>
      <c r="I49" s="2644">
        <v>1.96</v>
      </c>
      <c r="J49" s="2644">
        <v>2.36</v>
      </c>
      <c r="K49" s="2644">
        <v>1.82</v>
      </c>
      <c r="L49" s="2645">
        <v>2.2200000000000002</v>
      </c>
      <c r="N49" s="2628">
        <f t="shared" si="89"/>
        <v>1.9599999999999999E-2</v>
      </c>
      <c r="O49" s="2629">
        <f t="shared" si="89"/>
        <v>2.3599999999999999E-2</v>
      </c>
      <c r="P49" s="2629">
        <f t="shared" si="89"/>
        <v>1.8200000000000001E-2</v>
      </c>
      <c r="Q49" s="2629">
        <f t="shared" si="89"/>
        <v>2.2200000000000001E-2</v>
      </c>
      <c r="R49" s="2630"/>
      <c r="S49" s="2628"/>
      <c r="T49" s="2629"/>
      <c r="U49" s="2629"/>
      <c r="V49" s="2629"/>
    </row>
    <row r="50" spans="1:26">
      <c r="A50" s="2620" t="s">
        <v>2605</v>
      </c>
      <c r="B50" s="2633">
        <f t="shared" si="105"/>
        <v>206.31694671589116</v>
      </c>
      <c r="C50" s="2633">
        <f t="shared" si="105"/>
        <v>183.61041121036101</v>
      </c>
      <c r="D50" s="2633">
        <f t="shared" si="87"/>
        <v>183.61041121036101</v>
      </c>
      <c r="E50" s="2633">
        <f t="shared" si="106"/>
        <v>276.66850301795557</v>
      </c>
      <c r="F50" s="2633">
        <f t="shared" si="106"/>
        <v>165.1360938278614</v>
      </c>
      <c r="G50" s="3480">
        <v>2008</v>
      </c>
      <c r="H50" s="2624">
        <v>2</v>
      </c>
      <c r="I50" s="2624">
        <v>4.93</v>
      </c>
      <c r="J50" s="2624">
        <v>7.38</v>
      </c>
      <c r="K50" s="2624">
        <v>3.98</v>
      </c>
      <c r="L50" s="2635">
        <v>6.86</v>
      </c>
      <c r="N50" s="2628">
        <f t="shared" si="89"/>
        <v>4.9299999999999997E-2</v>
      </c>
      <c r="O50" s="2629">
        <f t="shared" si="89"/>
        <v>7.3800000000000004E-2</v>
      </c>
      <c r="P50" s="2629">
        <f t="shared" si="89"/>
        <v>3.9800000000000002E-2</v>
      </c>
      <c r="Q50" s="2629">
        <f t="shared" si="89"/>
        <v>6.8600000000000008E-2</v>
      </c>
      <c r="R50" s="2630"/>
      <c r="S50" s="2628"/>
      <c r="T50" s="2629"/>
      <c r="U50" s="2629"/>
      <c r="V50" s="2629"/>
    </row>
    <row r="51" spans="1:26" s="2669" customFormat="1" ht="13.5" thickBot="1">
      <c r="A51" s="2620" t="s">
        <v>2606</v>
      </c>
      <c r="B51" s="2666">
        <f t="shared" si="105"/>
        <v>196.62341248059772</v>
      </c>
      <c r="C51" s="2666">
        <f t="shared" si="105"/>
        <v>170.99125648199012</v>
      </c>
      <c r="D51" s="2666">
        <f t="shared" si="87"/>
        <v>170.99125648199012</v>
      </c>
      <c r="E51" s="2666">
        <f t="shared" si="106"/>
        <v>266.07857570490052</v>
      </c>
      <c r="F51" s="2666">
        <f t="shared" si="106"/>
        <v>154.53499328828505</v>
      </c>
      <c r="G51" s="3481">
        <v>2008</v>
      </c>
      <c r="H51" s="2667">
        <v>1</v>
      </c>
      <c r="I51" s="2667">
        <v>4.1399999999999997</v>
      </c>
      <c r="J51" s="2667">
        <v>3.45</v>
      </c>
      <c r="K51" s="2667">
        <v>4.95</v>
      </c>
      <c r="L51" s="2668">
        <v>4.82</v>
      </c>
      <c r="N51" s="2670">
        <f t="shared" si="89"/>
        <v>4.1399999999999999E-2</v>
      </c>
      <c r="O51" s="2671">
        <f t="shared" si="89"/>
        <v>3.4500000000000003E-2</v>
      </c>
      <c r="P51" s="2671">
        <f t="shared" si="89"/>
        <v>4.9500000000000002E-2</v>
      </c>
      <c r="Q51" s="2671">
        <f t="shared" si="89"/>
        <v>4.82E-2</v>
      </c>
      <c r="R51" s="2672"/>
      <c r="S51" s="2670">
        <f>B51/B52-1</f>
        <v>4.5869215322328349E-2</v>
      </c>
      <c r="T51" s="2671">
        <f>C51/C52-1</f>
        <v>3.6310645345394743E-2</v>
      </c>
      <c r="U51" s="2671">
        <f>E51/E52-1</f>
        <v>4.7553447657088688E-2</v>
      </c>
      <c r="V51" s="2671">
        <f>F51/F52-1</f>
        <v>4.4155360055980086E-2</v>
      </c>
      <c r="X51" s="2673"/>
      <c r="Y51" s="2673"/>
      <c r="Z51" s="2673"/>
    </row>
    <row r="52" spans="1:26" ht="13.5" thickBot="1">
      <c r="A52" s="2620" t="s">
        <v>2607</v>
      </c>
      <c r="B52" s="2625">
        <v>188</v>
      </c>
      <c r="C52" s="2625">
        <v>165</v>
      </c>
      <c r="D52" s="2625">
        <f t="shared" si="87"/>
        <v>165</v>
      </c>
      <c r="E52" s="2625">
        <v>254</v>
      </c>
      <c r="F52" s="2626">
        <v>148</v>
      </c>
      <c r="G52" s="3479">
        <v>2007</v>
      </c>
      <c r="H52" s="2674">
        <v>4</v>
      </c>
      <c r="I52" s="2674">
        <v>5.51</v>
      </c>
      <c r="J52" s="2674">
        <v>4.8899999999999997</v>
      </c>
      <c r="K52" s="2674">
        <v>6.43</v>
      </c>
      <c r="L52" s="2675">
        <v>5.36</v>
      </c>
      <c r="N52" s="2676">
        <f t="shared" ref="N52:O55" si="107">B52/B53-1</f>
        <v>4.1339718365245526E-2</v>
      </c>
      <c r="O52" s="2677">
        <f t="shared" si="107"/>
        <v>4.0324492593776018E-2</v>
      </c>
      <c r="P52" s="2677">
        <f t="shared" ref="P52:Q55" si="108">E52/E53-1</f>
        <v>6.1625555347990968E-2</v>
      </c>
      <c r="Q52" s="2677">
        <f t="shared" si="108"/>
        <v>4.6757569250590603E-2</v>
      </c>
      <c r="R52" s="2630"/>
      <c r="S52" s="2631"/>
      <c r="T52" s="2632"/>
      <c r="U52" s="2632"/>
      <c r="V52" s="2632"/>
      <c r="X52" s="2632"/>
      <c r="Y52" s="2632"/>
      <c r="Z52" s="2632"/>
    </row>
    <row r="53" spans="1:26">
      <c r="A53" s="2620" t="s">
        <v>2608</v>
      </c>
      <c r="B53" s="2633">
        <f t="shared" ref="B53:C55" si="109">B54+(B$52-B$56)*I53/SUM(I$52:I$55)</f>
        <v>180.5366651097618</v>
      </c>
      <c r="C53" s="2633">
        <f t="shared" si="109"/>
        <v>158.60435967302453</v>
      </c>
      <c r="D53" s="2633">
        <f t="shared" si="87"/>
        <v>158.60435967302453</v>
      </c>
      <c r="E53" s="2633">
        <f t="shared" ref="E53:F55" si="110">E54+(E$52-E$56)*K53/SUM(K$52:K$55)</f>
        <v>239.25573260785075</v>
      </c>
      <c r="F53" s="2633">
        <f t="shared" si="110"/>
        <v>141.38899430740037</v>
      </c>
      <c r="G53" s="3480">
        <v>2007</v>
      </c>
      <c r="H53" s="2644">
        <v>3</v>
      </c>
      <c r="I53" s="2644">
        <v>8.65</v>
      </c>
      <c r="J53" s="2644">
        <v>8.06</v>
      </c>
      <c r="K53" s="2644">
        <v>9.94</v>
      </c>
      <c r="L53" s="2645">
        <v>5.8</v>
      </c>
      <c r="N53" s="2676">
        <f t="shared" si="107"/>
        <v>6.940217571740015E-2</v>
      </c>
      <c r="O53" s="2677">
        <f t="shared" si="107"/>
        <v>7.1197482471153428E-2</v>
      </c>
      <c r="P53" s="2677">
        <f t="shared" si="108"/>
        <v>0.10529679922579582</v>
      </c>
      <c r="Q53" s="2677">
        <f t="shared" si="108"/>
        <v>5.3292245059512133E-2</v>
      </c>
      <c r="R53" s="2630"/>
      <c r="S53" s="2628"/>
      <c r="T53" s="2629"/>
      <c r="U53" s="2629"/>
      <c r="V53" s="2629"/>
      <c r="X53" s="2678"/>
      <c r="Y53" s="2678"/>
      <c r="Z53" s="2678"/>
    </row>
    <row r="54" spans="1:26">
      <c r="A54" s="2620" t="s">
        <v>2609</v>
      </c>
      <c r="B54" s="2633">
        <f t="shared" si="109"/>
        <v>168.82017748715555</v>
      </c>
      <c r="C54" s="2633">
        <f t="shared" si="109"/>
        <v>148.06267029972753</v>
      </c>
      <c r="D54" s="2633">
        <f t="shared" si="87"/>
        <v>148.06267029972753</v>
      </c>
      <c r="E54" s="2633">
        <f t="shared" si="110"/>
        <v>216.46288379323747</v>
      </c>
      <c r="F54" s="2633">
        <f t="shared" si="110"/>
        <v>134.23529411764704</v>
      </c>
      <c r="G54" s="3480">
        <v>2007</v>
      </c>
      <c r="H54" s="2624">
        <v>2</v>
      </c>
      <c r="I54" s="2624">
        <v>3.67</v>
      </c>
      <c r="J54" s="2624">
        <v>2.3199999999999998</v>
      </c>
      <c r="K54" s="2624">
        <v>5.0199999999999996</v>
      </c>
      <c r="L54" s="2635">
        <v>6.71</v>
      </c>
      <c r="N54" s="2676">
        <f t="shared" si="107"/>
        <v>3.0339138143848032E-2</v>
      </c>
      <c r="O54" s="2677">
        <f t="shared" si="107"/>
        <v>2.0922341588790472E-2</v>
      </c>
      <c r="P54" s="2677">
        <f t="shared" si="108"/>
        <v>5.6164796592717003E-2</v>
      </c>
      <c r="Q54" s="2677">
        <f t="shared" si="108"/>
        <v>6.5704536723887319E-2</v>
      </c>
      <c r="R54" s="2630"/>
      <c r="S54" s="2628"/>
      <c r="T54" s="2629"/>
      <c r="U54" s="2629"/>
      <c r="V54" s="2629"/>
      <c r="X54" s="2678"/>
      <c r="Y54" s="2678"/>
      <c r="Z54" s="2678"/>
    </row>
    <row r="55" spans="1:26">
      <c r="A55" s="2620" t="s">
        <v>2610</v>
      </c>
      <c r="B55" s="2633">
        <f t="shared" si="109"/>
        <v>163.84913591779542</v>
      </c>
      <c r="C55" s="2633">
        <f t="shared" si="109"/>
        <v>145.0283378746594</v>
      </c>
      <c r="D55" s="2633">
        <f t="shared" si="87"/>
        <v>145.0283378746594</v>
      </c>
      <c r="E55" s="2633">
        <f t="shared" si="110"/>
        <v>204.95180722891567</v>
      </c>
      <c r="F55" s="2633">
        <f t="shared" si="110"/>
        <v>125.95920303605313</v>
      </c>
      <c r="G55" s="3481">
        <v>2007</v>
      </c>
      <c r="H55" s="2623">
        <v>1</v>
      </c>
      <c r="I55" s="2623">
        <v>3.58</v>
      </c>
      <c r="J55" s="2623">
        <v>3.08</v>
      </c>
      <c r="K55" s="2623">
        <v>4.34</v>
      </c>
      <c r="L55" s="2634">
        <v>3.21</v>
      </c>
      <c r="N55" s="2679">
        <f t="shared" si="107"/>
        <v>3.0497710174814063E-2</v>
      </c>
      <c r="O55" s="2680">
        <f t="shared" si="107"/>
        <v>2.8569772160704998E-2</v>
      </c>
      <c r="P55" s="2680">
        <f t="shared" si="108"/>
        <v>5.1034908866234296E-2</v>
      </c>
      <c r="Q55" s="2680">
        <f t="shared" si="108"/>
        <v>3.245248390207478E-2</v>
      </c>
      <c r="R55" s="2630"/>
      <c r="S55" s="2636">
        <f>B55/B56-1</f>
        <v>3.0497710174814063E-2</v>
      </c>
      <c r="T55" s="2637">
        <f>C55/C56-1</f>
        <v>2.8569772160704998E-2</v>
      </c>
      <c r="U55" s="2637">
        <f>E55/E56-1</f>
        <v>5.1034908866234296E-2</v>
      </c>
      <c r="V55" s="2637">
        <f>F55/F56-1</f>
        <v>3.245248390207478E-2</v>
      </c>
      <c r="X55" s="2678"/>
      <c r="Y55" s="2678"/>
      <c r="Z55" s="2678"/>
    </row>
    <row r="56" spans="1:26" ht="13.5" thickBot="1">
      <c r="A56" s="2620" t="s">
        <v>2611</v>
      </c>
      <c r="B56" s="2647">
        <v>159</v>
      </c>
      <c r="C56" s="2647">
        <v>141</v>
      </c>
      <c r="D56" s="2647">
        <f t="shared" si="87"/>
        <v>141</v>
      </c>
      <c r="E56" s="2647">
        <v>195</v>
      </c>
      <c r="F56" s="2648">
        <v>122</v>
      </c>
      <c r="G56" s="3479">
        <v>2006</v>
      </c>
      <c r="H56" s="2639">
        <v>4</v>
      </c>
      <c r="I56" s="2639">
        <v>3.79</v>
      </c>
      <c r="J56" s="2639">
        <v>2.21</v>
      </c>
      <c r="K56" s="2639">
        <v>5.65</v>
      </c>
      <c r="L56" s="2640">
        <v>5.41</v>
      </c>
      <c r="N56" s="2676">
        <f t="shared" ref="N56:O59" si="111">I56/SUM(I$56:I$59)*(B$56/B$60-1)</f>
        <v>7.245466462748526E-2</v>
      </c>
      <c r="O56" s="2677">
        <f t="shared" si="111"/>
        <v>2.3237230038062766E-2</v>
      </c>
      <c r="P56" s="2677">
        <f t="shared" ref="P56:Q59" si="112">K56/SUM(K$56:K$59)*(E$56/E$60-1)</f>
        <v>0.16146893866323722</v>
      </c>
      <c r="Q56" s="2677">
        <f t="shared" si="112"/>
        <v>5.0755230321793784E-2</v>
      </c>
      <c r="R56" s="2630"/>
      <c r="S56" s="2631"/>
      <c r="T56" s="2632"/>
      <c r="U56" s="2632"/>
      <c r="V56" s="2632"/>
      <c r="X56" s="2678"/>
      <c r="Y56" s="2678"/>
      <c r="Z56" s="2678"/>
    </row>
    <row r="57" spans="1:26">
      <c r="A57" s="2620" t="s">
        <v>2612</v>
      </c>
      <c r="B57" s="2633">
        <f t="shared" ref="B57:C59" si="113">B58+(B$56-B$60)*I57/SUM(I$56:I$59)</f>
        <v>149.00125628140702</v>
      </c>
      <c r="C57" s="2633">
        <f t="shared" si="113"/>
        <v>137.95592286501378</v>
      </c>
      <c r="D57" s="2633">
        <f t="shared" si="87"/>
        <v>137.95592286501378</v>
      </c>
      <c r="E57" s="2633">
        <f t="shared" ref="E57:F59" si="114">E58+(E$56-E$60)*K57/SUM(K$56:K$59)</f>
        <v>169.97231450719823</v>
      </c>
      <c r="F57" s="2633">
        <f t="shared" si="114"/>
        <v>116.21390374331551</v>
      </c>
      <c r="G57" s="3480">
        <v>2006</v>
      </c>
      <c r="H57" s="2644">
        <v>3</v>
      </c>
      <c r="I57" s="2644">
        <v>0.92</v>
      </c>
      <c r="J57" s="2644">
        <v>1.08</v>
      </c>
      <c r="K57" s="2644">
        <v>0.73</v>
      </c>
      <c r="L57" s="2645">
        <v>1.08</v>
      </c>
      <c r="N57" s="2676">
        <f t="shared" si="111"/>
        <v>1.7587939698492462E-2</v>
      </c>
      <c r="O57" s="2677">
        <f t="shared" si="111"/>
        <v>1.1355750425840628E-2</v>
      </c>
      <c r="P57" s="2677">
        <f t="shared" si="112"/>
        <v>2.0862358446754544E-2</v>
      </c>
      <c r="Q57" s="2677">
        <f t="shared" si="112"/>
        <v>1.0132282578103011E-2</v>
      </c>
      <c r="R57" s="2630"/>
      <c r="S57" s="2628"/>
      <c r="T57" s="2629"/>
      <c r="U57" s="2629"/>
      <c r="V57" s="2629"/>
      <c r="X57" s="2678"/>
      <c r="Y57" s="2678"/>
      <c r="Z57" s="2678"/>
    </row>
    <row r="58" spans="1:26">
      <c r="A58" s="2620" t="s">
        <v>2613</v>
      </c>
      <c r="B58" s="2633">
        <f t="shared" si="113"/>
        <v>146.57412060301507</v>
      </c>
      <c r="C58" s="2633">
        <f t="shared" si="113"/>
        <v>136.46831955922866</v>
      </c>
      <c r="D58" s="2633">
        <f t="shared" si="87"/>
        <v>136.46831955922866</v>
      </c>
      <c r="E58" s="2633">
        <f t="shared" si="114"/>
        <v>166.73864894795128</v>
      </c>
      <c r="F58" s="2633">
        <f t="shared" si="114"/>
        <v>115.05882352941177</v>
      </c>
      <c r="G58" s="3480">
        <v>2006</v>
      </c>
      <c r="H58" s="2624">
        <v>2</v>
      </c>
      <c r="I58" s="2624">
        <v>0.96</v>
      </c>
      <c r="J58" s="2624">
        <v>0.25</v>
      </c>
      <c r="K58" s="2624">
        <v>1.9</v>
      </c>
      <c r="L58" s="2635">
        <v>0.95</v>
      </c>
      <c r="N58" s="2676">
        <f t="shared" si="111"/>
        <v>1.8352632728861701E-2</v>
      </c>
      <c r="O58" s="2677">
        <f t="shared" si="111"/>
        <v>2.6286459319075526E-3</v>
      </c>
      <c r="P58" s="2677">
        <f t="shared" si="112"/>
        <v>5.4299289107991269E-2</v>
      </c>
      <c r="Q58" s="2677">
        <f t="shared" si="112"/>
        <v>8.9126559714794995E-3</v>
      </c>
      <c r="R58" s="2630"/>
      <c r="S58" s="2628"/>
      <c r="T58" s="2629"/>
      <c r="U58" s="2629"/>
      <c r="V58" s="2629"/>
      <c r="X58" s="2678"/>
      <c r="Y58" s="2678"/>
      <c r="Z58" s="2678"/>
    </row>
    <row r="59" spans="1:26">
      <c r="A59" s="2620" t="s">
        <v>2614</v>
      </c>
      <c r="B59" s="2633">
        <f t="shared" si="113"/>
        <v>144.04145728643215</v>
      </c>
      <c r="C59" s="2633">
        <f t="shared" si="113"/>
        <v>136.12396694214877</v>
      </c>
      <c r="D59" s="2633">
        <f t="shared" si="87"/>
        <v>136.12396694214877</v>
      </c>
      <c r="E59" s="2633">
        <f t="shared" si="114"/>
        <v>158.32225913621264</v>
      </c>
      <c r="F59" s="2633">
        <f t="shared" si="114"/>
        <v>114.04278074866311</v>
      </c>
      <c r="G59" s="3481">
        <v>2006</v>
      </c>
      <c r="H59" s="2623">
        <v>1</v>
      </c>
      <c r="I59" s="2623">
        <v>2.29</v>
      </c>
      <c r="J59" s="2623">
        <v>3.72</v>
      </c>
      <c r="K59" s="2623">
        <v>0.75</v>
      </c>
      <c r="L59" s="2634">
        <v>0.04</v>
      </c>
      <c r="N59" s="2679">
        <f t="shared" si="111"/>
        <v>4.3778675988638847E-2</v>
      </c>
      <c r="O59" s="2680">
        <f t="shared" si="111"/>
        <v>3.9114251466784385E-2</v>
      </c>
      <c r="P59" s="2680">
        <f t="shared" si="112"/>
        <v>2.1433929911049188E-2</v>
      </c>
      <c r="Q59" s="2680">
        <f t="shared" si="112"/>
        <v>3.7526972511492629E-4</v>
      </c>
      <c r="R59" s="2630"/>
      <c r="S59" s="2636">
        <f>B59/B60-1</f>
        <v>4.3778675988638716E-2</v>
      </c>
      <c r="T59" s="2637">
        <f>C59/C60-1</f>
        <v>3.91142514667846E-2</v>
      </c>
      <c r="U59" s="2637">
        <f>E59/E60-1</f>
        <v>2.143392991104931E-2</v>
      </c>
      <c r="V59" s="2637">
        <f>F59/F60-1</f>
        <v>3.7526972511492396E-4</v>
      </c>
      <c r="X59" s="2678"/>
      <c r="Y59" s="2678"/>
      <c r="Z59" s="2678"/>
    </row>
    <row r="60" spans="1:26" ht="13.5" thickBot="1">
      <c r="A60" s="2620" t="s">
        <v>2615</v>
      </c>
      <c r="B60" s="2647">
        <v>138</v>
      </c>
      <c r="C60" s="2647">
        <v>131</v>
      </c>
      <c r="D60" s="2647">
        <f t="shared" si="87"/>
        <v>131</v>
      </c>
      <c r="E60" s="2647">
        <v>155</v>
      </c>
      <c r="F60" s="2648">
        <v>114</v>
      </c>
      <c r="G60" s="3479">
        <v>2005</v>
      </c>
      <c r="H60" s="2639">
        <v>4</v>
      </c>
      <c r="I60" s="2639">
        <v>3.29</v>
      </c>
      <c r="J60" s="2639">
        <v>1.44</v>
      </c>
      <c r="K60" s="2639">
        <v>0.66</v>
      </c>
      <c r="L60" s="2640">
        <v>7.78</v>
      </c>
      <c r="N60" s="2676">
        <f t="shared" ref="N60:O63" si="115">I60/SUM(I$60:I$63)*(B$60/B$64-1)</f>
        <v>9.9404603216919935E-2</v>
      </c>
      <c r="O60" s="2677">
        <f t="shared" si="115"/>
        <v>4.7636550760861554E-2</v>
      </c>
      <c r="P60" s="2677">
        <f t="shared" ref="P60:Q63" si="116">K60/SUM(K$60:K$63)*(E$60/E$64-1)</f>
        <v>8.3756345177664976E-2</v>
      </c>
      <c r="Q60" s="2677">
        <f t="shared" si="116"/>
        <v>5.2148766661559584E-2</v>
      </c>
      <c r="R60" s="2630"/>
      <c r="S60" s="2631"/>
      <c r="T60" s="2632"/>
      <c r="U60" s="2632"/>
      <c r="V60" s="2632"/>
      <c r="X60" s="2678"/>
      <c r="Y60" s="2678"/>
      <c r="Z60" s="2678"/>
    </row>
    <row r="61" spans="1:26">
      <c r="A61" s="2620" t="s">
        <v>2616</v>
      </c>
      <c r="B61" s="2633">
        <f t="shared" ref="B61:C63" si="117">B62+(B$60-B$64)*I61/SUM(I$60:I$63)</f>
        <v>125.9720430107527</v>
      </c>
      <c r="C61" s="2633">
        <f t="shared" si="117"/>
        <v>125.1883408071749</v>
      </c>
      <c r="D61" s="2633">
        <f t="shared" si="87"/>
        <v>125.1883408071749</v>
      </c>
      <c r="E61" s="2633">
        <f t="shared" ref="E61:F63" si="118">E62+(E$60-E$64)*K61/SUM(K$60:K$63)</f>
        <v>144.61421319796952</v>
      </c>
      <c r="F61" s="2633">
        <f t="shared" si="118"/>
        <v>108.42008196721311</v>
      </c>
      <c r="G61" s="3480">
        <v>2005</v>
      </c>
      <c r="H61" s="2644">
        <v>3</v>
      </c>
      <c r="I61" s="2644">
        <v>0.46</v>
      </c>
      <c r="J61" s="2644">
        <v>0.32</v>
      </c>
      <c r="K61" s="2644">
        <v>0.42</v>
      </c>
      <c r="L61" s="2645">
        <v>0.64</v>
      </c>
      <c r="N61" s="2676">
        <f t="shared" si="115"/>
        <v>1.3898515951301874E-2</v>
      </c>
      <c r="O61" s="2677">
        <f t="shared" si="115"/>
        <v>1.0585900169080346E-2</v>
      </c>
      <c r="P61" s="2677">
        <f t="shared" si="116"/>
        <v>5.3299492385786795E-2</v>
      </c>
      <c r="Q61" s="2677">
        <f t="shared" si="116"/>
        <v>4.2898728359123568E-3</v>
      </c>
      <c r="R61" s="2630"/>
      <c r="S61" s="2628"/>
      <c r="T61" s="2629"/>
      <c r="U61" s="2629"/>
      <c r="V61" s="2629"/>
      <c r="X61" s="2678"/>
      <c r="Y61" s="2678"/>
      <c r="Z61" s="2678"/>
    </row>
    <row r="62" spans="1:26">
      <c r="A62" s="2620" t="s">
        <v>2617</v>
      </c>
      <c r="B62" s="2633">
        <f t="shared" si="117"/>
        <v>124.29032258064517</v>
      </c>
      <c r="C62" s="2633">
        <f t="shared" si="117"/>
        <v>123.8968609865471</v>
      </c>
      <c r="D62" s="2633">
        <f t="shared" si="87"/>
        <v>123.8968609865471</v>
      </c>
      <c r="E62" s="2633">
        <f t="shared" si="118"/>
        <v>138.00507614213197</v>
      </c>
      <c r="F62" s="2633">
        <f t="shared" si="118"/>
        <v>107.96106557377048</v>
      </c>
      <c r="G62" s="3480">
        <v>2005</v>
      </c>
      <c r="H62" s="2624">
        <v>2</v>
      </c>
      <c r="I62" s="2624">
        <v>0.47</v>
      </c>
      <c r="J62" s="2624">
        <v>0.1</v>
      </c>
      <c r="K62" s="2624">
        <v>0.52</v>
      </c>
      <c r="L62" s="2635">
        <v>0.79</v>
      </c>
      <c r="N62" s="2676">
        <f t="shared" si="115"/>
        <v>1.420065760241713E-2</v>
      </c>
      <c r="O62" s="2677">
        <f t="shared" si="115"/>
        <v>3.3080938028376083E-3</v>
      </c>
      <c r="P62" s="2677">
        <f t="shared" si="116"/>
        <v>6.598984771573603E-2</v>
      </c>
      <c r="Q62" s="2677">
        <f t="shared" si="116"/>
        <v>5.2953117818293153E-3</v>
      </c>
      <c r="R62" s="2630"/>
      <c r="S62" s="2628"/>
      <c r="T62" s="2629"/>
      <c r="U62" s="2629"/>
      <c r="V62" s="2629"/>
      <c r="X62" s="2678"/>
      <c r="Y62" s="2678"/>
      <c r="Z62" s="2678"/>
    </row>
    <row r="63" spans="1:26">
      <c r="A63" s="2620" t="s">
        <v>2618</v>
      </c>
      <c r="B63" s="2633">
        <f t="shared" si="117"/>
        <v>122.57204301075269</v>
      </c>
      <c r="C63" s="2633">
        <f t="shared" si="117"/>
        <v>123.4932735426009</v>
      </c>
      <c r="D63" s="2633">
        <f t="shared" si="87"/>
        <v>123.4932735426009</v>
      </c>
      <c r="E63" s="2633">
        <f t="shared" si="118"/>
        <v>129.82233502538071</v>
      </c>
      <c r="F63" s="2633">
        <f t="shared" si="118"/>
        <v>107.39446721311475</v>
      </c>
      <c r="G63" s="3481">
        <v>2005</v>
      </c>
      <c r="H63" s="2623">
        <v>1</v>
      </c>
      <c r="I63" s="2623">
        <v>0.43</v>
      </c>
      <c r="J63" s="2623">
        <v>0.37</v>
      </c>
      <c r="K63" s="2623">
        <v>0.37</v>
      </c>
      <c r="L63" s="2634">
        <v>0.55000000000000004</v>
      </c>
      <c r="N63" s="2679">
        <f t="shared" si="115"/>
        <v>1.2992090997956099E-2</v>
      </c>
      <c r="O63" s="2680">
        <f t="shared" si="115"/>
        <v>1.2239947070499151E-2</v>
      </c>
      <c r="P63" s="2680">
        <f t="shared" si="116"/>
        <v>4.6954314720812178E-2</v>
      </c>
      <c r="Q63" s="2680">
        <f t="shared" si="116"/>
        <v>3.6866094683621815E-3</v>
      </c>
      <c r="R63" s="2630"/>
      <c r="S63" s="2636">
        <f>B63/B64-1</f>
        <v>1.2992090997956174E-2</v>
      </c>
      <c r="T63" s="2637">
        <f>C63/C64-1</f>
        <v>1.2239947070499246E-2</v>
      </c>
      <c r="U63" s="2637">
        <f>E63/E64-1</f>
        <v>4.695431472081224E-2</v>
      </c>
      <c r="V63" s="2637">
        <f>F63/F64-1</f>
        <v>3.6866094683620787E-3</v>
      </c>
      <c r="X63" s="2678"/>
      <c r="Y63" s="2678"/>
      <c r="Z63" s="2678"/>
    </row>
    <row r="64" spans="1:26" ht="13.5" thickBot="1">
      <c r="A64" s="2620" t="s">
        <v>2619</v>
      </c>
      <c r="B64" s="2663">
        <v>121</v>
      </c>
      <c r="C64" s="2663">
        <v>122</v>
      </c>
      <c r="D64" s="2663">
        <f t="shared" si="87"/>
        <v>122</v>
      </c>
      <c r="E64" s="2663">
        <v>124</v>
      </c>
      <c r="F64" s="2664">
        <v>107</v>
      </c>
      <c r="G64" s="3479">
        <v>2004</v>
      </c>
      <c r="H64" s="2639">
        <v>4</v>
      </c>
      <c r="I64" s="2639">
        <v>0.33</v>
      </c>
      <c r="J64" s="2639">
        <v>0.5</v>
      </c>
      <c r="K64" s="2639">
        <v>0.5</v>
      </c>
      <c r="L64" s="2640">
        <v>0</v>
      </c>
      <c r="N64" s="2676">
        <f t="shared" ref="N64:O67" si="119">I64/SUM(I$64:I$67)*(B$64/B$68-1)</f>
        <v>1.3391770148526898E-2</v>
      </c>
      <c r="O64" s="2677">
        <f t="shared" si="119"/>
        <v>1.063264221158958E-2</v>
      </c>
      <c r="P64" s="2677">
        <f t="shared" ref="P64:Q67" si="120">K64/SUM(K$64:K$67)*(E$64/E$68-1)</f>
        <v>2.2244466688911134E-2</v>
      </c>
      <c r="Q64" s="2677">
        <f t="shared" si="120"/>
        <v>0</v>
      </c>
      <c r="R64" s="2630"/>
      <c r="S64" s="2631"/>
      <c r="T64" s="2632"/>
      <c r="U64" s="2632"/>
      <c r="V64" s="2632"/>
      <c r="X64" s="2678"/>
      <c r="Y64" s="2678"/>
      <c r="Z64" s="2678"/>
    </row>
    <row r="65" spans="1:26">
      <c r="A65" s="2620" t="s">
        <v>2620</v>
      </c>
      <c r="B65" s="2633">
        <f t="shared" ref="B65:C67" si="121">B66+(B$64-B$68)*I65/SUM(I$64:I$67)</f>
        <v>119.51351351351352</v>
      </c>
      <c r="C65" s="2633">
        <f t="shared" si="121"/>
        <v>120.7878787878788</v>
      </c>
      <c r="D65" s="2633">
        <f t="shared" si="87"/>
        <v>120.7878787878788</v>
      </c>
      <c r="E65" s="2633">
        <f t="shared" ref="E65:F67" si="122">E66+(E$64-E$68)*K65/SUM(K$64:K$67)</f>
        <v>121.5975975975976</v>
      </c>
      <c r="F65" s="2633">
        <f t="shared" si="122"/>
        <v>107</v>
      </c>
      <c r="G65" s="3480">
        <v>2004</v>
      </c>
      <c r="H65" s="2644">
        <v>3</v>
      </c>
      <c r="I65" s="2644">
        <v>0.56000000000000005</v>
      </c>
      <c r="J65" s="2644">
        <v>0.8</v>
      </c>
      <c r="K65" s="2644">
        <v>0.83</v>
      </c>
      <c r="L65" s="2645">
        <v>0.06</v>
      </c>
      <c r="N65" s="2676">
        <f t="shared" si="119"/>
        <v>2.2725428130833527E-2</v>
      </c>
      <c r="O65" s="2677">
        <f t="shared" si="119"/>
        <v>1.7012227538543329E-2</v>
      </c>
      <c r="P65" s="2677">
        <f t="shared" si="120"/>
        <v>3.6925814703592477E-2</v>
      </c>
      <c r="Q65" s="2677">
        <f t="shared" si="120"/>
        <v>2.8846153846153744E-2</v>
      </c>
      <c r="R65" s="2630"/>
      <c r="S65" s="2628"/>
      <c r="T65" s="2629"/>
      <c r="U65" s="2629"/>
      <c r="V65" s="2629"/>
      <c r="X65" s="2678"/>
      <c r="Y65" s="2678"/>
      <c r="Z65" s="2678"/>
    </row>
    <row r="66" spans="1:26">
      <c r="A66" s="2620" t="s">
        <v>2621</v>
      </c>
      <c r="B66" s="2633">
        <f t="shared" si="121"/>
        <v>116.99099099099099</v>
      </c>
      <c r="C66" s="2633">
        <f t="shared" si="121"/>
        <v>118.84848484848486</v>
      </c>
      <c r="D66" s="2633">
        <f t="shared" si="87"/>
        <v>118.84848484848486</v>
      </c>
      <c r="E66" s="2633">
        <f t="shared" si="122"/>
        <v>117.60960960960961</v>
      </c>
      <c r="F66" s="2633">
        <f t="shared" si="122"/>
        <v>104</v>
      </c>
      <c r="G66" s="3480">
        <v>2004</v>
      </c>
      <c r="H66" s="2624">
        <v>2</v>
      </c>
      <c r="I66" s="2624">
        <v>1</v>
      </c>
      <c r="J66" s="2624">
        <v>1.5</v>
      </c>
      <c r="K66" s="2624">
        <v>1.5</v>
      </c>
      <c r="L66" s="2635">
        <v>0</v>
      </c>
      <c r="N66" s="2676">
        <f t="shared" si="119"/>
        <v>4.0581121662202721E-2</v>
      </c>
      <c r="O66" s="2677">
        <f t="shared" si="119"/>
        <v>3.1897926634768738E-2</v>
      </c>
      <c r="P66" s="2677">
        <f t="shared" si="120"/>
        <v>6.6733400066733395E-2</v>
      </c>
      <c r="Q66" s="2677">
        <f t="shared" si="120"/>
        <v>0</v>
      </c>
      <c r="R66" s="2630"/>
      <c r="S66" s="2628"/>
      <c r="T66" s="2629"/>
      <c r="U66" s="2629"/>
      <c r="V66" s="2629"/>
      <c r="X66" s="2678"/>
      <c r="Y66" s="2678"/>
      <c r="Z66" s="2678"/>
    </row>
    <row r="67" spans="1:26" s="2669" customFormat="1" ht="13.5" thickBot="1">
      <c r="A67" s="2620" t="s">
        <v>2622</v>
      </c>
      <c r="B67" s="2666">
        <f t="shared" si="121"/>
        <v>112.48648648648648</v>
      </c>
      <c r="C67" s="2666">
        <f t="shared" si="121"/>
        <v>115.21212121212122</v>
      </c>
      <c r="D67" s="2666">
        <f t="shared" si="87"/>
        <v>115.21212121212122</v>
      </c>
      <c r="E67" s="2666">
        <f t="shared" si="122"/>
        <v>110.4024024024024</v>
      </c>
      <c r="F67" s="2666">
        <f t="shared" si="122"/>
        <v>104</v>
      </c>
      <c r="G67" s="3481">
        <v>2004</v>
      </c>
      <c r="H67" s="2667">
        <v>1</v>
      </c>
      <c r="I67" s="2667">
        <v>0.33</v>
      </c>
      <c r="J67" s="2667">
        <v>0.5</v>
      </c>
      <c r="K67" s="2667">
        <v>0.5</v>
      </c>
      <c r="L67" s="2668">
        <v>0</v>
      </c>
      <c r="N67" s="2681">
        <f t="shared" si="119"/>
        <v>1.3391770148526898E-2</v>
      </c>
      <c r="O67" s="2682">
        <f t="shared" si="119"/>
        <v>1.063264221158958E-2</v>
      </c>
      <c r="P67" s="2682">
        <f t="shared" si="120"/>
        <v>2.2244466688911134E-2</v>
      </c>
      <c r="Q67" s="2682">
        <f t="shared" si="120"/>
        <v>0</v>
      </c>
      <c r="R67" s="2672"/>
      <c r="S67" s="2670">
        <f>B67/B68-1</f>
        <v>1.3391770148526883E-2</v>
      </c>
      <c r="T67" s="2671">
        <f>C67/C68-1</f>
        <v>1.063264221158966E-2</v>
      </c>
      <c r="U67" s="2671">
        <f>E67/E68-1</f>
        <v>2.2244466688911224E-2</v>
      </c>
      <c r="V67" s="2671">
        <f>F67/F68-1</f>
        <v>0</v>
      </c>
      <c r="X67" s="2683"/>
      <c r="Y67" s="2683"/>
      <c r="Z67" s="2683"/>
    </row>
    <row r="68" spans="1:26" ht="13.5" thickBot="1">
      <c r="A68" s="2620" t="s">
        <v>2623</v>
      </c>
      <c r="B68" s="2684">
        <v>111</v>
      </c>
      <c r="C68" s="2684">
        <v>114</v>
      </c>
      <c r="D68" s="2684">
        <f t="shared" si="87"/>
        <v>114</v>
      </c>
      <c r="E68" s="2684">
        <v>108</v>
      </c>
      <c r="F68" s="2685">
        <v>104</v>
      </c>
      <c r="G68" s="3479">
        <v>2003</v>
      </c>
      <c r="H68" s="2674">
        <v>4</v>
      </c>
      <c r="I68" s="2686"/>
      <c r="J68" s="2686"/>
      <c r="K68" s="2686"/>
      <c r="L68" s="2686"/>
      <c r="N68" s="2687"/>
      <c r="O68" s="2686"/>
      <c r="P68" s="2686"/>
      <c r="Q68" s="2686"/>
      <c r="S68" s="2687"/>
      <c r="T68" s="2686"/>
      <c r="U68" s="2686"/>
      <c r="V68" s="2686"/>
      <c r="X68" s="2678"/>
      <c r="Y68" s="2678"/>
      <c r="Z68" s="2678"/>
    </row>
    <row r="69" spans="1:26">
      <c r="A69" s="2620" t="s">
        <v>2624</v>
      </c>
      <c r="B69" s="2688">
        <f t="shared" ref="B69:C71" si="123">B70+(B$68-B$72)/4</f>
        <v>109.75</v>
      </c>
      <c r="C69" s="2688">
        <f t="shared" si="123"/>
        <v>112.25</v>
      </c>
      <c r="D69" s="2688">
        <f t="shared" si="87"/>
        <v>112.25</v>
      </c>
      <c r="E69" s="2688">
        <f t="shared" ref="E69:F71" si="124">E70+(E$68-E$72)/4</f>
        <v>107.25</v>
      </c>
      <c r="F69" s="2688">
        <f t="shared" si="124"/>
        <v>103.5</v>
      </c>
      <c r="G69" s="3480">
        <v>2003</v>
      </c>
      <c r="H69" s="2644">
        <v>3</v>
      </c>
      <c r="I69" s="2686"/>
      <c r="J69" s="2686"/>
      <c r="K69" s="2686"/>
      <c r="L69" s="2686"/>
      <c r="X69" s="2678"/>
      <c r="Y69" s="2678"/>
      <c r="Z69" s="2678"/>
    </row>
    <row r="70" spans="1:26">
      <c r="A70" s="2620" t="s">
        <v>2625</v>
      </c>
      <c r="B70" s="2688">
        <f t="shared" si="123"/>
        <v>108.5</v>
      </c>
      <c r="C70" s="2688">
        <f t="shared" si="123"/>
        <v>110.5</v>
      </c>
      <c r="D70" s="2688">
        <f t="shared" si="87"/>
        <v>110.5</v>
      </c>
      <c r="E70" s="2688">
        <f t="shared" si="124"/>
        <v>106.5</v>
      </c>
      <c r="F70" s="2688">
        <f t="shared" si="124"/>
        <v>103</v>
      </c>
      <c r="G70" s="3480">
        <v>2003</v>
      </c>
      <c r="H70" s="2624">
        <v>2</v>
      </c>
      <c r="I70" s="2686"/>
      <c r="J70" s="2686"/>
      <c r="K70" s="2686"/>
      <c r="L70" s="2686"/>
      <c r="X70" s="2678"/>
      <c r="Y70" s="2678"/>
      <c r="Z70" s="2678"/>
    </row>
    <row r="71" spans="1:26" ht="13.5" thickBot="1">
      <c r="A71" s="2620" t="s">
        <v>2626</v>
      </c>
      <c r="B71" s="2688">
        <f t="shared" si="123"/>
        <v>107.25</v>
      </c>
      <c r="C71" s="2688">
        <f t="shared" si="123"/>
        <v>108.75</v>
      </c>
      <c r="D71" s="2688">
        <f t="shared" si="87"/>
        <v>108.75</v>
      </c>
      <c r="E71" s="2688">
        <f t="shared" si="124"/>
        <v>105.75</v>
      </c>
      <c r="F71" s="2688">
        <f t="shared" si="124"/>
        <v>102.5</v>
      </c>
      <c r="G71" s="3481">
        <v>2003</v>
      </c>
      <c r="H71" s="2689">
        <v>1</v>
      </c>
      <c r="I71" s="2686"/>
      <c r="J71" s="2686"/>
      <c r="K71" s="2686"/>
      <c r="L71" s="2686"/>
      <c r="S71" s="2628"/>
      <c r="T71" s="2629"/>
      <c r="U71" s="2629"/>
      <c r="X71" s="2678"/>
      <c r="Y71" s="2678"/>
      <c r="Z71" s="2678"/>
    </row>
    <row r="72" spans="1:26" ht="13.5" thickBot="1">
      <c r="A72" s="2620" t="s">
        <v>2627</v>
      </c>
      <c r="B72" s="2690">
        <v>106</v>
      </c>
      <c r="C72" s="2690">
        <v>107</v>
      </c>
      <c r="D72" s="2690">
        <f t="shared" si="87"/>
        <v>107</v>
      </c>
      <c r="E72" s="2690">
        <v>105</v>
      </c>
      <c r="F72" s="2691">
        <v>102</v>
      </c>
      <c r="G72" s="3479">
        <v>2002</v>
      </c>
      <c r="H72" s="2639">
        <v>4</v>
      </c>
      <c r="I72" s="2686"/>
      <c r="J72" s="2686"/>
      <c r="K72" s="2686"/>
      <c r="L72" s="2686"/>
      <c r="N72" s="2687"/>
      <c r="O72" s="2686"/>
      <c r="P72" s="2686"/>
      <c r="Q72" s="2686"/>
      <c r="S72" s="2687"/>
      <c r="T72" s="2686"/>
      <c r="U72" s="2686"/>
      <c r="V72" s="2686"/>
      <c r="X72" s="2678"/>
      <c r="Y72" s="2678"/>
      <c r="Z72" s="2678"/>
    </row>
    <row r="73" spans="1:26">
      <c r="A73" s="2620" t="s">
        <v>2628</v>
      </c>
      <c r="B73" s="2688">
        <f t="shared" ref="B73:C75" si="125">B74+(B$72-B$76)/4</f>
        <v>105</v>
      </c>
      <c r="C73" s="2688">
        <f t="shared" si="125"/>
        <v>106</v>
      </c>
      <c r="D73" s="2688">
        <f t="shared" si="87"/>
        <v>106</v>
      </c>
      <c r="E73" s="2688">
        <f t="shared" ref="E73:F75" si="126">E74+(E$72-E$76)/4</f>
        <v>104.5</v>
      </c>
      <c r="F73" s="2688">
        <f t="shared" si="126"/>
        <v>101.5</v>
      </c>
      <c r="G73" s="3480">
        <v>2002</v>
      </c>
      <c r="H73" s="2644">
        <v>3</v>
      </c>
      <c r="I73" s="2686"/>
      <c r="J73" s="2686"/>
      <c r="K73" s="2686"/>
      <c r="L73" s="2686"/>
      <c r="X73" s="2678"/>
      <c r="Y73" s="2678"/>
      <c r="Z73" s="2678"/>
    </row>
    <row r="74" spans="1:26">
      <c r="A74" s="2620" t="s">
        <v>2629</v>
      </c>
      <c r="B74" s="2688">
        <f t="shared" si="125"/>
        <v>104</v>
      </c>
      <c r="C74" s="2688">
        <f t="shared" si="125"/>
        <v>105</v>
      </c>
      <c r="D74" s="2688">
        <f t="shared" si="87"/>
        <v>105</v>
      </c>
      <c r="E74" s="2688">
        <f t="shared" si="126"/>
        <v>104</v>
      </c>
      <c r="F74" s="2688">
        <f t="shared" si="126"/>
        <v>101</v>
      </c>
      <c r="G74" s="3480">
        <v>2002</v>
      </c>
      <c r="H74" s="2624">
        <v>2</v>
      </c>
      <c r="I74" s="2686"/>
      <c r="J74" s="2686"/>
      <c r="K74" s="2686"/>
      <c r="L74" s="2686"/>
      <c r="X74" s="2678"/>
      <c r="Y74" s="2678"/>
      <c r="Z74" s="2678"/>
    </row>
    <row r="75" spans="1:26" s="2655" customFormat="1" ht="13.5" thickBot="1">
      <c r="A75" s="2651" t="s">
        <v>2630</v>
      </c>
      <c r="B75" s="2692">
        <f t="shared" si="125"/>
        <v>103</v>
      </c>
      <c r="C75" s="2692">
        <f t="shared" si="125"/>
        <v>104</v>
      </c>
      <c r="D75" s="2692">
        <f t="shared" si="87"/>
        <v>104</v>
      </c>
      <c r="E75" s="2692">
        <f t="shared" si="126"/>
        <v>103.5</v>
      </c>
      <c r="F75" s="2692">
        <f t="shared" si="126"/>
        <v>100.5</v>
      </c>
      <c r="G75" s="3481">
        <v>2002</v>
      </c>
      <c r="H75" s="2693">
        <v>1</v>
      </c>
      <c r="I75" s="2694"/>
      <c r="J75" s="2694"/>
      <c r="K75" s="2694"/>
      <c r="L75" s="2694"/>
      <c r="N75" s="2695"/>
      <c r="S75" s="2695"/>
      <c r="X75" s="2696"/>
      <c r="Y75" s="2696"/>
      <c r="Z75" s="2696"/>
    </row>
    <row r="76" spans="1:26" ht="13.5" thickBot="1">
      <c r="B76" s="2697">
        <v>102</v>
      </c>
      <c r="C76" s="2698">
        <v>103</v>
      </c>
      <c r="D76" s="2698">
        <f t="shared" si="87"/>
        <v>103</v>
      </c>
      <c r="E76" s="2698">
        <v>103</v>
      </c>
      <c r="F76" s="2699">
        <v>100</v>
      </c>
      <c r="I76" s="2686"/>
      <c r="J76" s="2686"/>
      <c r="K76" s="2686"/>
      <c r="L76" s="2686"/>
      <c r="N76" s="2687"/>
      <c r="O76" s="2686"/>
      <c r="P76" s="2686"/>
      <c r="Q76" s="2686"/>
      <c r="S76" s="2687"/>
      <c r="T76" s="2686"/>
      <c r="U76" s="2686"/>
      <c r="V76" s="2686"/>
      <c r="X76" s="2632"/>
      <c r="Y76" s="2632"/>
      <c r="Z76" s="2632"/>
    </row>
    <row r="78" spans="1:26" s="2701" customFormat="1">
      <c r="A78" s="2700" t="s">
        <v>2631</v>
      </c>
      <c r="G78" s="2702"/>
      <c r="N78" s="2702"/>
      <c r="S78" s="2702"/>
    </row>
    <row r="79" spans="1:26" s="2701" customFormat="1">
      <c r="A79" s="2701" t="s">
        <v>2632</v>
      </c>
      <c r="G79" s="2702"/>
      <c r="N79" s="2702"/>
      <c r="S79" s="2702"/>
    </row>
    <row r="80" spans="1:26" s="2701" customFormat="1">
      <c r="A80" s="2701" t="s">
        <v>2633</v>
      </c>
      <c r="G80" s="2702"/>
      <c r="I80" s="2703"/>
      <c r="J80" s="2703"/>
      <c r="K80" s="2703"/>
      <c r="L80" s="2703"/>
      <c r="N80" s="2704"/>
      <c r="O80" s="2703"/>
      <c r="P80" s="2703"/>
      <c r="Q80" s="2703"/>
      <c r="S80" s="2704"/>
      <c r="T80" s="2703"/>
      <c r="U80" s="2703"/>
      <c r="V80" s="2703"/>
    </row>
    <row r="81" spans="1:22" s="2701" customFormat="1">
      <c r="A81" s="2701" t="s">
        <v>2634</v>
      </c>
      <c r="G81" s="2702"/>
      <c r="N81" s="2702"/>
      <c r="S81" s="2702"/>
    </row>
    <row r="88" spans="1:22" ht="13.5" thickBot="1"/>
    <row r="89" spans="1:22">
      <c r="G89" s="2627"/>
      <c r="S89" s="2705" t="s">
        <v>2635</v>
      </c>
      <c r="T89" s="2706" t="s">
        <v>2636</v>
      </c>
      <c r="U89" s="2706" t="s">
        <v>2637</v>
      </c>
      <c r="V89" s="2706" t="s">
        <v>2638</v>
      </c>
    </row>
    <row r="90" spans="1:22">
      <c r="G90" s="2627"/>
      <c r="N90" s="2631"/>
      <c r="O90" s="2632"/>
      <c r="P90" s="2632"/>
      <c r="Q90" s="2632"/>
      <c r="S90" s="2707">
        <v>2006</v>
      </c>
      <c r="T90" s="2708">
        <v>15.1</v>
      </c>
      <c r="U90" s="2708">
        <v>7.43</v>
      </c>
      <c r="V90" s="2708">
        <v>26.26</v>
      </c>
    </row>
    <row r="91" spans="1:22">
      <c r="G91" s="2627"/>
      <c r="N91" s="2631"/>
      <c r="O91" s="2632"/>
      <c r="P91" s="2632"/>
      <c r="Q91" s="2632"/>
      <c r="S91" s="2710">
        <v>2005</v>
      </c>
      <c r="T91" s="2709">
        <v>13.9</v>
      </c>
      <c r="U91" s="2709">
        <v>7.49</v>
      </c>
      <c r="V91" s="2709">
        <v>24.92</v>
      </c>
    </row>
    <row r="92" spans="1:22">
      <c r="G92" s="2627"/>
      <c r="N92" s="2631"/>
      <c r="O92" s="2632"/>
      <c r="P92" s="2632"/>
      <c r="Q92" s="2632"/>
      <c r="S92" s="2707">
        <v>2004</v>
      </c>
      <c r="T92" s="2708">
        <v>9.48</v>
      </c>
      <c r="U92" s="2708">
        <v>7.2</v>
      </c>
      <c r="V92" s="2708">
        <v>14.68</v>
      </c>
    </row>
    <row r="93" spans="1:22">
      <c r="G93" s="2627"/>
      <c r="N93" s="2631"/>
      <c r="O93" s="2632"/>
      <c r="P93" s="2632"/>
      <c r="Q93" s="2632"/>
      <c r="S93" s="2710">
        <v>2003</v>
      </c>
      <c r="T93" s="2709">
        <v>4.5</v>
      </c>
      <c r="U93" s="2709">
        <v>6.12</v>
      </c>
      <c r="V93" s="2709">
        <v>2.34</v>
      </c>
    </row>
    <row r="94" spans="1:22" ht="13.5" thickBot="1">
      <c r="G94" s="2627"/>
      <c r="N94" s="2631"/>
      <c r="O94" s="2632"/>
      <c r="P94" s="2632"/>
      <c r="Q94" s="2632"/>
      <c r="S94" s="2711">
        <v>2002</v>
      </c>
      <c r="T94" s="2712">
        <v>3.59</v>
      </c>
      <c r="U94" s="2712">
        <v>4.54</v>
      </c>
      <c r="V94" s="2712">
        <v>2.5499999999999998</v>
      </c>
    </row>
    <row r="95" spans="1:22">
      <c r="G95" s="2627"/>
      <c r="N95" s="2631"/>
      <c r="O95" s="2632"/>
      <c r="P95" s="2632"/>
      <c r="Q95" s="2632"/>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25" sqref="F2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5" t="s">
        <v>2950</v>
      </c>
      <c r="B1" s="3057"/>
      <c r="C1" s="3057"/>
      <c r="D1" s="3057"/>
      <c r="E1" s="3057"/>
      <c r="F1" s="3057"/>
    </row>
    <row r="2" spans="1:6" ht="14.25">
      <c r="A2" s="3058" t="s">
        <v>2945</v>
      </c>
      <c r="B2" s="3059" t="e">
        <f ca="1">SUMIF(B7:B14,"&lt;&gt;#ref!",B7:B14)</f>
        <v>#DIV/0!</v>
      </c>
      <c r="C2" s="3058" t="s">
        <v>2946</v>
      </c>
      <c r="D2" s="3057"/>
      <c r="E2" s="3057"/>
      <c r="F2" s="3057"/>
    </row>
    <row r="3" spans="1:6" ht="14.25">
      <c r="A3" s="3058" t="s">
        <v>2978</v>
      </c>
      <c r="B3" s="3059" t="e">
        <f ca="1">ROUND(B2*10000/E3,0)</f>
        <v>#DIV/0!</v>
      </c>
      <c r="C3" s="3058" t="s">
        <v>2078</v>
      </c>
      <c r="D3" s="3058" t="s">
        <v>2947</v>
      </c>
      <c r="E3" s="3059">
        <f ca="1">SUMIF(E7:E14,"&lt;&gt;#ref!",E7:E14)</f>
        <v>0</v>
      </c>
      <c r="F3" s="3057"/>
    </row>
    <row r="4" spans="1:6" ht="14.25">
      <c r="A4" s="3058" t="s">
        <v>2954</v>
      </c>
      <c r="B4" s="3059" t="e">
        <f ca="1">ROUND(B2*10000/E4,0)</f>
        <v>#DIV/0!</v>
      </c>
      <c r="C4" s="3058" t="s">
        <v>2078</v>
      </c>
      <c r="D4" s="3058" t="s">
        <v>2955</v>
      </c>
      <c r="E4" s="3059">
        <f ca="1">SUMIF(F7:F14,"&lt;&gt;#ref!",F7:F14)</f>
        <v>0</v>
      </c>
      <c r="F4" s="3057"/>
    </row>
    <row r="5" spans="1:6" ht="14.25">
      <c r="A5" s="3060"/>
      <c r="B5" s="1867"/>
      <c r="C5" s="1867"/>
      <c r="D5" s="1867"/>
      <c r="E5" s="1867"/>
      <c r="F5" s="3057"/>
    </row>
    <row r="6" spans="1:6" ht="28.5">
      <c r="A6" s="3061" t="s">
        <v>2951</v>
      </c>
      <c r="B6" s="3058" t="s">
        <v>2948</v>
      </c>
      <c r="C6" s="3059"/>
      <c r="D6" s="1867"/>
      <c r="E6" s="3058" t="s">
        <v>2949</v>
      </c>
      <c r="F6" s="3058" t="s">
        <v>2953</v>
      </c>
    </row>
    <row r="7" spans="1:6" ht="14.25">
      <c r="A7" s="260" t="s">
        <v>2952</v>
      </c>
      <c r="B7" s="3062" t="e">
        <f ca="1">SUMIF(INDIRECT("'"&amp;A7&amp;"'"&amp;"!A:A"),"总价",INDIRECT("'"&amp;A7&amp;"'"&amp;"!B:B"))</f>
        <v>#DIV/0!</v>
      </c>
      <c r="C7" s="3058" t="s">
        <v>2946</v>
      </c>
      <c r="D7" s="1867"/>
      <c r="E7" s="3063">
        <f ca="1">SUMIF(INDIRECT("'"&amp;A7&amp;"'"&amp;"!C:C"),"建筑面积",INDIRECT("'"&amp;A7&amp;"'"&amp;"!D:D"))</f>
        <v>0</v>
      </c>
      <c r="F7" s="3063">
        <f ca="1">SUMIF(INDIRECT("'"&amp;A7&amp;"'"&amp;"!E:E"),"土地面积",INDIRECT("'"&amp;A7&amp;"'"&amp;"!F:F"))</f>
        <v>0</v>
      </c>
    </row>
    <row r="8" spans="1:6" ht="14.25">
      <c r="A8" s="260"/>
      <c r="B8" s="3062" t="e">
        <f t="shared" ref="B8:B14" ca="1" si="0">SUMIF(INDIRECT("'"&amp;A8&amp;"'"&amp;"!A:A"),"总价",INDIRECT("'"&amp;A8&amp;"'"&amp;"!B:B"))</f>
        <v>#REF!</v>
      </c>
      <c r="C8" s="3058" t="s">
        <v>2946</v>
      </c>
      <c r="D8" s="1867"/>
      <c r="E8" s="3063" t="e">
        <f t="shared" ref="E8:E14" ca="1" si="1">SUMIF(INDIRECT("'"&amp;A8&amp;"'"&amp;"!C:C"),"建筑面积",INDIRECT("'"&amp;A8&amp;"'"&amp;"!D:D"))</f>
        <v>#REF!</v>
      </c>
      <c r="F8" s="3063" t="e">
        <f t="shared" ref="F8:F14" ca="1" si="2">SUMIF(INDIRECT("'"&amp;A8&amp;"'"&amp;"!E:E"),"土地面积",INDIRECT("'"&amp;A8&amp;"'"&amp;"!F:F"))</f>
        <v>#REF!</v>
      </c>
    </row>
    <row r="9" spans="1:6" ht="14.25">
      <c r="A9" s="260"/>
      <c r="B9" s="3062" t="e">
        <f t="shared" ca="1" si="0"/>
        <v>#REF!</v>
      </c>
      <c r="C9" s="3058" t="s">
        <v>2946</v>
      </c>
      <c r="D9" s="1867"/>
      <c r="E9" s="3063" t="e">
        <f t="shared" ca="1" si="1"/>
        <v>#REF!</v>
      </c>
      <c r="F9" s="3063" t="e">
        <f t="shared" ca="1" si="2"/>
        <v>#REF!</v>
      </c>
    </row>
    <row r="10" spans="1:6" ht="14.25">
      <c r="A10" s="260"/>
      <c r="B10" s="3062" t="e">
        <f t="shared" ca="1" si="0"/>
        <v>#REF!</v>
      </c>
      <c r="C10" s="3058" t="s">
        <v>2946</v>
      </c>
      <c r="D10" s="1867"/>
      <c r="E10" s="3063" t="e">
        <f t="shared" ca="1" si="1"/>
        <v>#REF!</v>
      </c>
      <c r="F10" s="3063" t="e">
        <f t="shared" ca="1" si="2"/>
        <v>#REF!</v>
      </c>
    </row>
    <row r="11" spans="1:6" ht="14.25">
      <c r="A11" s="260"/>
      <c r="B11" s="3062" t="e">
        <f t="shared" ca="1" si="0"/>
        <v>#REF!</v>
      </c>
      <c r="C11" s="3058" t="s">
        <v>2946</v>
      </c>
      <c r="D11" s="1867"/>
      <c r="E11" s="3063" t="e">
        <f t="shared" ca="1" si="1"/>
        <v>#REF!</v>
      </c>
      <c r="F11" s="3063" t="e">
        <f t="shared" ca="1" si="2"/>
        <v>#REF!</v>
      </c>
    </row>
    <row r="12" spans="1:6" ht="14.25">
      <c r="A12" s="260"/>
      <c r="B12" s="3062" t="e">
        <f t="shared" ca="1" si="0"/>
        <v>#REF!</v>
      </c>
      <c r="C12" s="3058" t="s">
        <v>2946</v>
      </c>
      <c r="D12" s="1867"/>
      <c r="E12" s="3063" t="e">
        <f t="shared" ca="1" si="1"/>
        <v>#REF!</v>
      </c>
      <c r="F12" s="3063" t="e">
        <f t="shared" ca="1" si="2"/>
        <v>#REF!</v>
      </c>
    </row>
    <row r="13" spans="1:6" ht="14.25">
      <c r="A13" s="260"/>
      <c r="B13" s="3062" t="e">
        <f t="shared" ca="1" si="0"/>
        <v>#REF!</v>
      </c>
      <c r="C13" s="3058" t="s">
        <v>2946</v>
      </c>
      <c r="D13" s="1867"/>
      <c r="E13" s="3063" t="e">
        <f t="shared" ca="1" si="1"/>
        <v>#REF!</v>
      </c>
      <c r="F13" s="3063" t="e">
        <f t="shared" ca="1" si="2"/>
        <v>#REF!</v>
      </c>
    </row>
    <row r="14" spans="1:6" ht="14.25">
      <c r="A14" s="3056"/>
      <c r="B14" s="3062" t="e">
        <f t="shared" ca="1" si="0"/>
        <v>#REF!</v>
      </c>
      <c r="C14" s="3058" t="s">
        <v>2946</v>
      </c>
      <c r="D14" s="1867"/>
      <c r="E14" s="3063" t="e">
        <f t="shared" ca="1" si="1"/>
        <v>#REF!</v>
      </c>
      <c r="F14" s="306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F25" sqref="F25"/>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2374</v>
      </c>
      <c r="F1" s="2353">
        <f ca="1">J54</f>
        <v>0</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61" t="s">
        <v>2461</v>
      </c>
      <c r="E7" s="2455"/>
      <c r="F7" s="2456"/>
      <c r="G7" s="1579"/>
      <c r="H7" s="781">
        <v>1</v>
      </c>
      <c r="I7" s="782" t="s">
        <v>2458</v>
      </c>
      <c r="J7" s="53">
        <f ca="1">J8+J12+J14</f>
        <v>0</v>
      </c>
      <c r="K7" s="2461" t="s">
        <v>2461</v>
      </c>
      <c r="L7" s="2455"/>
      <c r="M7" s="2456"/>
    </row>
    <row r="8" spans="1:25" ht="18" customHeight="1">
      <c r="A8" s="1816" t="s">
        <v>1824</v>
      </c>
      <c r="B8" s="3488" t="s">
        <v>2463</v>
      </c>
      <c r="C8" s="1811">
        <f ca="1">ROUND(F8*F10*F9*(1-F11)/10000,0)</f>
        <v>0</v>
      </c>
      <c r="D8" s="1808" t="s">
        <v>2534</v>
      </c>
      <c r="E8" s="61" t="s">
        <v>637</v>
      </c>
      <c r="F8" s="785">
        <f ca="1">INDIRECT("'数据-取费表'!u"&amp;$G$1)</f>
        <v>0</v>
      </c>
      <c r="G8" s="1579"/>
      <c r="H8" s="2469" t="s">
        <v>1824</v>
      </c>
      <c r="I8" s="3488" t="s">
        <v>2463</v>
      </c>
      <c r="J8" s="783">
        <f ca="1">ROUND(M8*M10*M9*(1-M11)/10000,0)</f>
        <v>0</v>
      </c>
      <c r="K8" s="341" t="s">
        <v>2534</v>
      </c>
      <c r="L8" s="784" t="s">
        <v>1738</v>
      </c>
      <c r="M8" s="785">
        <f ca="1">INDIRECT("'数据-取费表'!z"&amp;$G$1)</f>
        <v>0</v>
      </c>
    </row>
    <row r="9" spans="1:25" ht="18" customHeight="1">
      <c r="A9" s="2465"/>
      <c r="B9" s="3489"/>
      <c r="C9" s="1812"/>
      <c r="D9" s="1809"/>
      <c r="E9" s="61" t="s">
        <v>638</v>
      </c>
      <c r="F9" s="785">
        <f ca="1">IF(INDIRECT("'数据-取费表'!ah"&amp;$G$1)="",INDIRECT("'数据-取费表'!k"&amp;$G$1),INDIRECT("'数据-取费表'!ah"&amp;$G$1))</f>
        <v>0</v>
      </c>
      <c r="G9" s="1579"/>
      <c r="H9" s="2454"/>
      <c r="I9" s="3489"/>
      <c r="J9" s="788"/>
      <c r="K9" s="789"/>
      <c r="L9" s="784" t="s">
        <v>1739</v>
      </c>
      <c r="M9" s="785">
        <f ca="1">F9</f>
        <v>0</v>
      </c>
    </row>
    <row r="10" spans="1:25" ht="18" customHeight="1">
      <c r="A10" s="2458"/>
      <c r="B10" s="3490"/>
      <c r="C10" s="1812"/>
      <c r="D10" s="1809"/>
      <c r="E10" s="61" t="s">
        <v>639</v>
      </c>
      <c r="F10" s="785">
        <f ca="1">INDIRECT("'数据-取费表'!ai"&amp;$G$1)</f>
        <v>0</v>
      </c>
      <c r="G10" s="1579"/>
      <c r="H10" s="2454"/>
      <c r="I10" s="3490"/>
      <c r="J10" s="788"/>
      <c r="K10" s="789"/>
      <c r="L10" s="784" t="s">
        <v>1740</v>
      </c>
      <c r="M10" s="785">
        <f ca="1">INDIRECT("'数据-取费表'!ai"&amp;$G$1)</f>
        <v>0</v>
      </c>
    </row>
    <row r="11" spans="1:25" ht="18" customHeight="1">
      <c r="A11" s="786"/>
      <c r="B11" s="3491"/>
      <c r="C11" s="1812"/>
      <c r="D11" s="1809"/>
      <c r="E11" s="61" t="s">
        <v>640</v>
      </c>
      <c r="F11" s="794">
        <f ca="1">INDIRECT("'数据-取费表'!w"&amp;$G$1)</f>
        <v>0</v>
      </c>
      <c r="G11" s="1579"/>
      <c r="H11" s="2470"/>
      <c r="I11" s="3490"/>
      <c r="J11" s="788"/>
      <c r="K11" s="789"/>
      <c r="L11" s="795" t="s">
        <v>1741</v>
      </c>
      <c r="M11" s="796">
        <f ca="1">INDIRECT("'数据-取费表'!ab"&amp;$G$1)</f>
        <v>0</v>
      </c>
    </row>
    <row r="12" spans="1:25" ht="18" customHeight="1">
      <c r="A12" s="1816" t="s">
        <v>1825</v>
      </c>
      <c r="B12" s="2459" t="s">
        <v>2459</v>
      </c>
      <c r="C12" s="799">
        <f ca="1">ROUND(IF(F12="押一",C8/12*F13,IF(F12="押二",C8/12*2*F13,IF(F12="押三",C8/12*3*F13,C13*F13))),0)</f>
        <v>0</v>
      </c>
      <c r="D12" s="2466" t="s">
        <v>2975</v>
      </c>
      <c r="E12" s="2463" t="s">
        <v>2464</v>
      </c>
      <c r="F12" s="2586"/>
      <c r="G12" s="1579"/>
      <c r="H12" s="2526" t="s">
        <v>1825</v>
      </c>
      <c r="I12" s="2531" t="s">
        <v>2459</v>
      </c>
      <c r="J12" s="783">
        <f ca="1">ROUND(IF(M12="押一",J8/12*M13,IF(M12="押二",J8/12*2*M13,IF(M12="押三",J8/12*3*M13,J13*M13))),0)</f>
        <v>0</v>
      </c>
      <c r="K12" s="2466" t="s">
        <v>2975</v>
      </c>
      <c r="L12" s="2463" t="s">
        <v>2464</v>
      </c>
      <c r="M12" s="2586"/>
    </row>
    <row r="13" spans="1:25" ht="18" customHeight="1">
      <c r="A13" s="790"/>
      <c r="B13" s="2460" t="s">
        <v>2573</v>
      </c>
      <c r="C13" s="2464"/>
      <c r="D13" s="789"/>
      <c r="E13" s="2463" t="s">
        <v>2456</v>
      </c>
      <c r="F13" s="796">
        <f ca="1">'数据-取费表'!B39</f>
        <v>1.4999999999999999E-2</v>
      </c>
      <c r="G13" s="1579"/>
      <c r="H13" s="2527"/>
      <c r="I13" s="2460" t="s">
        <v>2573</v>
      </c>
      <c r="J13" s="2464"/>
      <c r="K13" s="2528"/>
      <c r="L13" s="2463" t="s">
        <v>2456</v>
      </c>
      <c r="M13" s="2457">
        <f ca="1">'数据-取费表'!B39</f>
        <v>1.4999999999999999E-2</v>
      </c>
    </row>
    <row r="14" spans="1:25" ht="18" customHeight="1" thickBot="1">
      <c r="A14" s="2502" t="s">
        <v>2467</v>
      </c>
      <c r="B14" s="2503" t="s">
        <v>2460</v>
      </c>
      <c r="C14" s="2504"/>
      <c r="D14" s="2505"/>
      <c r="E14" s="2506"/>
      <c r="F14" s="2507"/>
      <c r="G14" s="1579"/>
      <c r="H14" s="2516" t="s">
        <v>2467</v>
      </c>
      <c r="I14" s="2529" t="s">
        <v>2460</v>
      </c>
      <c r="J14" s="2530"/>
      <c r="K14" s="2505"/>
      <c r="L14" s="2506"/>
      <c r="M14" s="2519"/>
    </row>
    <row r="15" spans="1:25" ht="18" customHeight="1" thickTop="1">
      <c r="A15" s="1815" t="s">
        <v>1874</v>
      </c>
      <c r="B15" s="1813" t="s">
        <v>641</v>
      </c>
      <c r="C15" s="792" t="e">
        <f ca="1">ROUND(C31*F15,0)</f>
        <v>#VALUE!</v>
      </c>
      <c r="D15" s="1820" t="s">
        <v>642</v>
      </c>
      <c r="E15" s="795" t="s">
        <v>643</v>
      </c>
      <c r="F15" s="800">
        <f ca="1">INDIRECT("'数据-取费表'!y"&amp;$G$1)</f>
        <v>0</v>
      </c>
      <c r="G15" s="1579"/>
      <c r="H15" s="1815" t="s">
        <v>1826</v>
      </c>
      <c r="I15" s="1813" t="s">
        <v>644</v>
      </c>
      <c r="J15" s="1805" t="e">
        <f ca="1">ROUND(J16*J17,0)</f>
        <v>#VALUE!</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2825</v>
      </c>
      <c r="J16" s="53" t="e">
        <f ca="1">C31</f>
        <v>#VALUE!</v>
      </c>
      <c r="K16" s="26"/>
      <c r="L16" s="801"/>
      <c r="M16" s="802"/>
    </row>
    <row r="17" spans="1:25" s="2050" customFormat="1" ht="18" customHeight="1">
      <c r="A17" s="803" t="s">
        <v>1849</v>
      </c>
      <c r="B17" s="784" t="s">
        <v>647</v>
      </c>
      <c r="C17" s="53">
        <f ca="1">ROUND(C16*F17,0)</f>
        <v>0</v>
      </c>
      <c r="D17" s="806" t="s">
        <v>648</v>
      </c>
      <c r="E17" s="806" t="s">
        <v>649</v>
      </c>
      <c r="F17" s="807">
        <f>'数据-取费表'!B33</f>
        <v>0</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t="e">
        <f ca="1">ROUND(J19+J24+J25+J26,0)</f>
        <v>#VALUE!</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0</v>
      </c>
      <c r="G19" s="1580"/>
      <c r="H19" s="803" t="s">
        <v>2069</v>
      </c>
      <c r="I19" s="784" t="s">
        <v>656</v>
      </c>
      <c r="J19" s="53" t="e">
        <f ca="1">ROUND(IF(项目基本情况!B11="自然人",J8*M19/(1+'数据-取费表'!C42),J20+J21+J22),0)</f>
        <v>#VALUE!</v>
      </c>
      <c r="K19" s="1965" t="s">
        <v>657</v>
      </c>
      <c r="L19" s="1963" t="s">
        <v>658</v>
      </c>
      <c r="M19" s="810">
        <f ca="1">IF(项目基本情况!B11="企业","",IF(INDIRECT("'数据-取费表'!c"&amp;$G$1)="住宅",5%,IF(M8*M9*M10/12/(1+'数据-取费表'!C42)&gt;20000,12%,7%)))</f>
        <v>7.0000000000000007E-2</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0</v>
      </c>
      <c r="G20" s="1580"/>
      <c r="H20" s="803" t="s">
        <v>1831</v>
      </c>
      <c r="I20" s="784" t="s">
        <v>660</v>
      </c>
      <c r="J20" s="53">
        <f ca="1">ROUND(J8*M20/(1+'数据-取费表'!C42),1)</f>
        <v>0</v>
      </c>
      <c r="K20" s="1963" t="s">
        <v>661</v>
      </c>
      <c r="L20" s="784" t="s">
        <v>649</v>
      </c>
      <c r="M20" s="809">
        <f>'数据-取费表'!B41</f>
        <v>0</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t="e">
        <f ca="1">IF(K21="按租金收入计税",ROUND(J8*M21/(1+'数据-取费表'!C42),1),ROUND(C31*F35*0.7,1))</f>
        <v>#VALUE!</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v>
      </c>
      <c r="G22" s="1580"/>
      <c r="H22" s="1818" t="s">
        <v>1850</v>
      </c>
      <c r="I22" s="1808" t="s">
        <v>668</v>
      </c>
      <c r="J22" s="54">
        <f ca="1">ROUND(M22*M23/10000,0)</f>
        <v>0</v>
      </c>
      <c r="K22" s="814" t="s">
        <v>669</v>
      </c>
      <c r="L22" s="784" t="s">
        <v>670</v>
      </c>
      <c r="M22" s="640">
        <f>'数据-取费表'!B52</f>
        <v>0</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单利计息。建造成本、管理费用、销售费用产生的利息。</v>
      </c>
      <c r="E24" s="1968"/>
      <c r="F24" s="56"/>
      <c r="G24" s="1579"/>
      <c r="H24" s="1817" t="s">
        <v>2070</v>
      </c>
      <c r="I24" s="784" t="s">
        <v>676</v>
      </c>
      <c r="J24" s="53" t="e">
        <f ca="1">ROUND(J16*M24,0)</f>
        <v>#VALUE!</v>
      </c>
      <c r="K24" s="1963" t="s">
        <v>677</v>
      </c>
      <c r="L24" s="784" t="s">
        <v>649</v>
      </c>
      <c r="M24" s="817">
        <f ca="1">INDIRECT("'数据-取费表'!Ak"&amp;$G$1)</f>
        <v>0</v>
      </c>
    </row>
    <row r="25" spans="1:25" s="2050" customFormat="1" ht="18" customHeight="1">
      <c r="A25" s="803" t="s">
        <v>1875</v>
      </c>
      <c r="B25" s="784" t="s">
        <v>2437</v>
      </c>
      <c r="C25" s="53" t="e">
        <f ca="1">ROUND(IF('数据-取费表'!B22&lt;=1,(C21+C22)*F26*F25/2,(C21+C22)*(POWER((1+F26),F25/2)-1)),0)</f>
        <v>#VALUE!</v>
      </c>
      <c r="D25" s="2536" t="str">
        <f>IF(F25&lt;=1,"(建造成本+管理费用)×利率×(建设周期÷2)","(建造成本+管理费用)×((1+利率)^(建设周期÷2)-1)")</f>
        <v>(建造成本+管理费用)×利率×(建设周期÷2)</v>
      </c>
      <c r="E25" s="784" t="s">
        <v>678</v>
      </c>
      <c r="F25" s="640">
        <f>'数据-取费表'!B20</f>
        <v>0</v>
      </c>
      <c r="G25" s="1580"/>
      <c r="H25" s="803" t="s">
        <v>1878</v>
      </c>
      <c r="I25" s="784" t="s">
        <v>679</v>
      </c>
      <c r="J25" s="53" t="e">
        <f ca="1">ROUND(J15*M25,0)</f>
        <v>#VALUE!</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t="e">
        <f ca="1">ROUND(IF('数据-取费表'!B22&lt;=1,F23*F26*F25/2,F23*(POWER((1+F26),F25/2)-1)),4)</f>
        <v>#VALUE!</v>
      </c>
      <c r="D26" s="2536" t="str">
        <f>IF(F25&lt;=1,"销售费用×利率×(建设周期÷2)","销售费用×((1+利率)^(建设周期÷2)-1)")</f>
        <v>销售费用×利率×(建设周期÷2)</v>
      </c>
      <c r="E26" s="784" t="s">
        <v>682</v>
      </c>
      <c r="F26" s="819" t="e">
        <f ca="1">'数据-取费表'!B40</f>
        <v>#VALUE!</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2822</v>
      </c>
      <c r="J27" s="799" t="e">
        <f ca="1">J7-J18</f>
        <v>#VALUE!</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0</v>
      </c>
      <c r="D30" s="812" t="s">
        <v>709</v>
      </c>
      <c r="E30" s="784" t="s">
        <v>649</v>
      </c>
      <c r="F30" s="809">
        <f>'数据-取费表'!B41</f>
        <v>0</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2823</v>
      </c>
      <c r="C31" s="2509" t="e">
        <f ca="1">ROUND((C21+C22+C25+C28)/(1-F23-C26-C29-C30),0)</f>
        <v>#VALUE!</v>
      </c>
      <c r="D31" s="2510"/>
      <c r="E31" s="2511"/>
      <c r="F31" s="2512"/>
      <c r="G31" s="1580"/>
      <c r="H31" s="823" t="s">
        <v>1872</v>
      </c>
      <c r="I31" s="2965" t="s">
        <v>2824</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t="e">
        <f ca="1">ROUND(C33+C38+C39+C40,0)</f>
        <v>#VALUE!</v>
      </c>
      <c r="D32" s="1807" t="s">
        <v>652</v>
      </c>
      <c r="E32" s="2452"/>
      <c r="F32" s="2456"/>
      <c r="G32" s="2048"/>
      <c r="H32" s="2051"/>
      <c r="I32" s="2052"/>
      <c r="J32" s="2053"/>
      <c r="K32" s="2054"/>
      <c r="L32" s="2055"/>
      <c r="M32" s="2056"/>
    </row>
    <row r="33" spans="1:18" ht="18" customHeight="1">
      <c r="A33" s="803" t="s">
        <v>1876</v>
      </c>
      <c r="B33" s="784" t="s">
        <v>656</v>
      </c>
      <c r="C33" s="53" t="e">
        <f ca="1">ROUND(IF(项目基本情况!B11="自然人",C8*F33/(1+'数据-取费表'!C42),C34+C35+C36),1)</f>
        <v>#VALUE!</v>
      </c>
      <c r="D33" s="1965" t="s">
        <v>657</v>
      </c>
      <c r="E33" s="1963" t="s">
        <v>690</v>
      </c>
      <c r="F33" s="810">
        <f ca="1">IF(项目基本情况!B11="企业","",IF(INDIRECT("'数据-取费表'!c"&amp;$G$1)="住宅",5%,IF(F8*F9*F10/12/(1+'数据-取费表'!C42)&gt;20000,12%,7%)))</f>
        <v>7.0000000000000007E-2</v>
      </c>
      <c r="G33" s="2048"/>
      <c r="H33" s="2051"/>
      <c r="I33" s="2052"/>
      <c r="J33" s="2053"/>
      <c r="K33" s="2054"/>
      <c r="L33" s="2055"/>
      <c r="M33" s="2056"/>
    </row>
    <row r="34" spans="1:18" ht="18" customHeight="1">
      <c r="A34" s="803" t="s">
        <v>1875</v>
      </c>
      <c r="B34" s="784" t="s">
        <v>660</v>
      </c>
      <c r="C34" s="53">
        <f ca="1">ROUND(C8*F34/(1+'数据-取费表'!C42),1)</f>
        <v>0</v>
      </c>
      <c r="D34" s="1963" t="s">
        <v>661</v>
      </c>
      <c r="E34" s="784" t="s">
        <v>649</v>
      </c>
      <c r="F34" s="809">
        <f>'数据-取费表'!B41</f>
        <v>0</v>
      </c>
      <c r="G34" s="2048"/>
      <c r="H34" s="2057"/>
      <c r="I34" s="2058"/>
      <c r="J34" s="2059"/>
      <c r="K34" s="2060"/>
      <c r="L34" s="2061"/>
      <c r="M34" s="2062"/>
    </row>
    <row r="35" spans="1:18" ht="18" customHeight="1">
      <c r="A35" s="803" t="s">
        <v>1849</v>
      </c>
      <c r="B35" s="784" t="s">
        <v>664</v>
      </c>
      <c r="C35" s="53" t="e">
        <f ca="1">IF(D35="按租金收入计税",ROUND(C8*F35/(1+'数据-取费表'!C42),1),IF(D35="按房产原值计税",ROUND(C31*F35*0.7,1),INDIRECT("'数据-取费表'!Aj"&amp;$G$1)))</f>
        <v>#VALUE!</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0</v>
      </c>
      <c r="G36" s="2048"/>
      <c r="H36" s="2051"/>
      <c r="I36" s="3487"/>
      <c r="J36" s="2065"/>
      <c r="K36" s="2066"/>
      <c r="L36" s="2065"/>
      <c r="M36" s="2065"/>
    </row>
    <row r="37" spans="1:18" ht="18" customHeight="1">
      <c r="A37" s="815"/>
      <c r="B37" s="793"/>
      <c r="C37" s="69"/>
      <c r="D37" s="816"/>
      <c r="E37" s="784" t="s">
        <v>674</v>
      </c>
      <c r="F37" s="785">
        <f ca="1">INDIRECT("'数据-取费表'!r"&amp;$G$1)</f>
        <v>0</v>
      </c>
      <c r="G37" s="2048"/>
      <c r="H37" s="2051"/>
      <c r="I37" s="3487"/>
      <c r="J37" s="2063"/>
      <c r="K37" s="2064"/>
      <c r="L37" s="2063"/>
      <c r="M37" s="2063"/>
    </row>
    <row r="38" spans="1:18" ht="18" customHeight="1">
      <c r="A38" s="803" t="s">
        <v>1877</v>
      </c>
      <c r="B38" s="784" t="s">
        <v>676</v>
      </c>
      <c r="C38" s="53" t="e">
        <f ca="1">ROUND(C31*F38,1)</f>
        <v>#VALUE!</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t="e">
        <f ca="1">ROUND(C15*F39,1)</f>
        <v>#VALUE!</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t="e">
        <f ca="1">C7-C32</f>
        <v>#VALUE!</v>
      </c>
      <c r="D42" s="1965" t="s">
        <v>694</v>
      </c>
      <c r="E42" s="1967"/>
      <c r="F42" s="820"/>
      <c r="G42" s="2048"/>
      <c r="H42" s="2048"/>
      <c r="I42" s="2048"/>
      <c r="J42" s="2048"/>
      <c r="K42" s="2069"/>
      <c r="L42" s="2048"/>
      <c r="M42" s="2048"/>
    </row>
    <row r="43" spans="1:18" ht="18" customHeight="1">
      <c r="A43" s="803" t="s">
        <v>1877</v>
      </c>
      <c r="B43" s="835" t="s">
        <v>711</v>
      </c>
      <c r="C43" s="836" t="e">
        <f ca="1">ROUND(C15*F43,0)</f>
        <v>#VALUE!</v>
      </c>
      <c r="D43" s="1352" t="s">
        <v>712</v>
      </c>
      <c r="E43" s="3074" t="s">
        <v>2963</v>
      </c>
      <c r="F43" s="3075">
        <f ca="1">INDIRECT("'数据-取费表'!j"&amp;$G$1)</f>
        <v>0</v>
      </c>
      <c r="G43" s="2048"/>
      <c r="H43" s="2048"/>
      <c r="I43" s="2048"/>
      <c r="J43" s="2048"/>
      <c r="K43" s="2069"/>
      <c r="L43" s="2048"/>
      <c r="M43" s="2048"/>
    </row>
    <row r="44" spans="1:18" ht="18" customHeight="1">
      <c r="A44" s="803" t="s">
        <v>1878</v>
      </c>
      <c r="B44" s="835" t="s">
        <v>713</v>
      </c>
      <c r="C44" s="1353" t="e">
        <f ca="1">C42-C43</f>
        <v>#VALUE!</v>
      </c>
      <c r="D44" s="463" t="s">
        <v>714</v>
      </c>
      <c r="E44" s="464"/>
      <c r="F44" s="465"/>
      <c r="G44" s="2048"/>
      <c r="H44" s="2048"/>
      <c r="I44" s="2048"/>
      <c r="J44" s="2048"/>
      <c r="K44" s="2069"/>
      <c r="L44" s="2048"/>
      <c r="M44" s="2048"/>
    </row>
    <row r="45" spans="1:18" ht="18" customHeight="1">
      <c r="A45" s="803" t="s">
        <v>1879</v>
      </c>
      <c r="B45" s="1352" t="s">
        <v>715</v>
      </c>
      <c r="C45" s="2990" t="e">
        <f ca="1">ROUND(-PV(F45,F46,C44,0),0)</f>
        <v>#VALUE!</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6" t="s">
        <v>2966</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08" t="str">
        <f ca="1">IF(M48="住宅",0,IF(L49&gt;J52,L61,J61))</f>
        <v>0</v>
      </c>
      <c r="O47" s="2359" t="s">
        <v>2410</v>
      </c>
      <c r="P47" s="1579"/>
      <c r="Q47" s="1590"/>
      <c r="R47" s="1579"/>
    </row>
    <row r="48" spans="1:18" s="2045" customFormat="1" ht="18" customHeight="1" thickBot="1">
      <c r="A48" s="2070"/>
      <c r="C48" s="2073"/>
      <c r="D48" s="2074"/>
      <c r="E48" s="2074"/>
      <c r="F48" s="2075"/>
      <c r="G48" s="2076"/>
      <c r="I48" s="3099" t="s">
        <v>2344</v>
      </c>
      <c r="J48" s="2346"/>
      <c r="K48" s="3105" t="s">
        <v>2349</v>
      </c>
      <c r="L48" s="3109">
        <f ca="1">INDIRECT("'数据-取费表'!d"&amp;$G$1)</f>
        <v>0</v>
      </c>
      <c r="M48" s="3073"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8" t="s">
        <v>2345</v>
      </c>
      <c r="J49" s="2347"/>
      <c r="K49" s="3106"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8" t="s">
        <v>2346</v>
      </c>
      <c r="J50" s="2348"/>
      <c r="K50" s="3107"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8" t="s">
        <v>2347</v>
      </c>
      <c r="J51" s="3103">
        <f>SUMPRODUCT((I64:I66=J48)*(J63:L63=J49)*(J64:L66))</f>
        <v>0</v>
      </c>
      <c r="K51" s="3107" t="s">
        <v>2353</v>
      </c>
      <c r="L51" s="2349"/>
      <c r="O51" s="2366" t="s">
        <v>2383</v>
      </c>
      <c r="P51" s="2364" t="s">
        <v>2407</v>
      </c>
      <c r="Q51" s="2365" t="e">
        <f ca="1">C31</f>
        <v>#VALUE!</v>
      </c>
      <c r="R51" s="2364" t="s">
        <v>2380</v>
      </c>
    </row>
    <row r="52" spans="1:18" s="2045" customFormat="1" ht="18" customHeight="1" thickBot="1">
      <c r="A52" s="2082"/>
      <c r="F52" s="2071"/>
      <c r="I52" s="3100" t="s">
        <v>2348</v>
      </c>
      <c r="J52" s="3104">
        <f>IF(J50="",J51,J50+J51-YEAR('数据-取费表'!B3))</f>
        <v>0</v>
      </c>
      <c r="K52" s="3078" t="s">
        <v>2354</v>
      </c>
      <c r="L52" s="3110">
        <f ca="1">ROUND(-PV(INDIRECT("'数据-取费表'!h"&amp;$G$1),L49,(C40-C14*J36),0),0)</f>
        <v>0</v>
      </c>
      <c r="O52" s="2366" t="s">
        <v>2384</v>
      </c>
      <c r="P52" s="2364" t="s">
        <v>2385</v>
      </c>
      <c r="Q52" s="2367" t="e">
        <f ca="1">J59</f>
        <v>#VALUE!</v>
      </c>
      <c r="R52" s="2368"/>
    </row>
    <row r="53" spans="1:18" s="2045" customFormat="1" ht="18" customHeight="1" thickBot="1">
      <c r="A53" s="2082"/>
      <c r="F53" s="2071"/>
      <c r="I53" s="3101" t="s">
        <v>2421</v>
      </c>
      <c r="J53" s="2350"/>
      <c r="K53" s="3101" t="s">
        <v>2420</v>
      </c>
      <c r="L53" s="2350"/>
      <c r="O53" s="2366" t="s">
        <v>2386</v>
      </c>
      <c r="P53" s="2364" t="s">
        <v>2387</v>
      </c>
      <c r="Q53" s="2367">
        <f>J53</f>
        <v>0</v>
      </c>
      <c r="R53" s="2368"/>
    </row>
    <row r="54" spans="1:18" s="2045" customFormat="1" ht="29.25" thickBot="1">
      <c r="A54" s="2082"/>
      <c r="I54" s="3102" t="s">
        <v>2979</v>
      </c>
      <c r="J54" s="3181">
        <f ca="1">IF(M48="住宅",MAX(J52,L49-'数据-取费表'!B20),MIN(J52,L49-'数据-取费表'!B20))</f>
        <v>0</v>
      </c>
      <c r="K54" s="3492"/>
      <c r="L54" s="3493"/>
      <c r="O54" s="2366" t="s">
        <v>2388</v>
      </c>
      <c r="P54" s="2364" t="s">
        <v>2389</v>
      </c>
      <c r="Q54" s="2365">
        <f ca="1">J54</f>
        <v>0</v>
      </c>
      <c r="R54" s="2364" t="s">
        <v>2390</v>
      </c>
    </row>
    <row r="55" spans="1:18" s="2045" customFormat="1" ht="18" customHeight="1" thickBot="1">
      <c r="A55" s="2082"/>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3" t="s">
        <v>2391</v>
      </c>
      <c r="P55" s="2364" t="s">
        <v>2408</v>
      </c>
      <c r="Q55" s="2365">
        <f ca="1">Q49+Q50</f>
        <v>0</v>
      </c>
      <c r="R55" s="2368" t="s">
        <v>2392</v>
      </c>
    </row>
    <row r="56" spans="1:18" s="2045" customFormat="1" ht="16.5" thickBot="1">
      <c r="A56" s="2082"/>
      <c r="B56" s="2083"/>
      <c r="C56" s="2083"/>
      <c r="I56" s="3113" t="s">
        <v>2355</v>
      </c>
      <c r="J56" s="3053" t="e">
        <f ca="1">ROUND(IF(J48="钢混",J58/J51,1-(1-2%)*(J51-J58)/J51),3)</f>
        <v>#VALUE!</v>
      </c>
      <c r="K56" s="3114" t="s">
        <v>2356</v>
      </c>
      <c r="L56" s="2351"/>
      <c r="O56" s="2369" t="s">
        <v>2411</v>
      </c>
      <c r="P56" s="1579"/>
      <c r="Q56" s="1590"/>
      <c r="R56" s="1579"/>
    </row>
    <row r="57" spans="1:18" s="2045" customFormat="1" ht="43.5" thickBot="1">
      <c r="A57" s="2082"/>
      <c r="B57" s="2083"/>
      <c r="C57" s="2083"/>
      <c r="I57" s="3115" t="s">
        <v>2357</v>
      </c>
      <c r="J57" s="3125" t="s">
        <v>1678</v>
      </c>
      <c r="K57" s="3078" t="s">
        <v>2362</v>
      </c>
      <c r="L57" s="1894">
        <f ca="1">IF(L49&lt;J52,"——",L49-J52)</f>
        <v>0</v>
      </c>
      <c r="O57" s="2360" t="s">
        <v>2375</v>
      </c>
      <c r="P57" s="2361" t="s">
        <v>2376</v>
      </c>
      <c r="Q57" s="2362" t="s">
        <v>2377</v>
      </c>
      <c r="R57" s="2361" t="s">
        <v>2378</v>
      </c>
    </row>
    <row r="58" spans="1:18" s="2045" customFormat="1" ht="29.25" thickBot="1">
      <c r="A58" s="2082"/>
      <c r="B58" s="2083"/>
      <c r="C58" s="2083"/>
      <c r="I58" s="3116" t="s">
        <v>2358</v>
      </c>
      <c r="J58" s="3117" t="str">
        <f ca="1">IF(OR(M48="住宅",J52&lt;L49,J57="是"),"——",J52-L49)</f>
        <v>——</v>
      </c>
      <c r="K58" s="3078" t="s">
        <v>2363</v>
      </c>
      <c r="L58" s="1894">
        <f ca="1">IF(L49&lt;J52,"——",IF(L56="比较法",L50,IF(L56="基准地价",L51,L52)))</f>
        <v>0</v>
      </c>
      <c r="O58" s="2363" t="s">
        <v>2379</v>
      </c>
      <c r="P58" s="2364" t="s">
        <v>2405</v>
      </c>
      <c r="Q58" s="2365">
        <f ca="1">C41+J31</f>
        <v>0</v>
      </c>
      <c r="R58" s="2364" t="s">
        <v>2380</v>
      </c>
    </row>
    <row r="59" spans="1:18" s="2045" customFormat="1" ht="29.25" thickBot="1">
      <c r="A59" s="2082"/>
      <c r="B59" s="2083"/>
      <c r="C59" s="2083"/>
      <c r="I59" s="3116" t="s">
        <v>2359</v>
      </c>
      <c r="J59" s="3054" t="e">
        <f ca="1">IF(J56&lt;0.4,0.4,J56)</f>
        <v>#VALUE!</v>
      </c>
      <c r="K59" s="3078"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29.25" thickBot="1">
      <c r="A60" s="2082"/>
      <c r="B60" s="2083"/>
      <c r="C60" s="2083"/>
      <c r="I60" s="3116" t="s">
        <v>2360</v>
      </c>
      <c r="J60" s="3117" t="str">
        <f ca="1">IF(OR(M48="住宅",J52&lt;L49,J57="是"),"——",ROUND(C30*J59,0))</f>
        <v>——</v>
      </c>
      <c r="K60" s="3078"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5.75" thickBot="1">
      <c r="A61" s="2082"/>
      <c r="B61" s="2083"/>
      <c r="C61" s="2083"/>
      <c r="I61" s="3118" t="s">
        <v>2361</v>
      </c>
      <c r="J61" s="3119" t="str">
        <f ca="1">IF(OR(M48="住宅",J52&lt;L49,J57="是"),"0",ROUND(J60/(1+J53)^J54,0))</f>
        <v>0</v>
      </c>
      <c r="K61" s="3120" t="s">
        <v>2366</v>
      </c>
      <c r="L61" s="3119" t="e">
        <f ca="1">IF(OR(M48="住宅",L49&lt;J52),0,ROUND(L58*(L59/L60-1),0))</f>
        <v>#DIV/0!</v>
      </c>
      <c r="O61" s="2366" t="s">
        <v>2384</v>
      </c>
      <c r="P61" s="2364" t="s">
        <v>2393</v>
      </c>
      <c r="Q61" s="2367">
        <f>L53</f>
        <v>0</v>
      </c>
      <c r="R61" s="2368"/>
    </row>
    <row r="62" spans="1:18" s="2045" customFormat="1" ht="20.25" thickBot="1">
      <c r="A62" s="2082"/>
      <c r="B62" s="2083"/>
      <c r="C62" s="2083"/>
      <c r="K62" s="2072"/>
      <c r="O62" s="2366" t="s">
        <v>2386</v>
      </c>
      <c r="P62" s="2364" t="s">
        <v>2394</v>
      </c>
      <c r="Q62" s="2365">
        <f ca="1">L59</f>
        <v>0</v>
      </c>
      <c r="R62" s="2368" t="s">
        <v>2395</v>
      </c>
    </row>
    <row r="63" spans="1:18" s="2045" customFormat="1" ht="20.25" thickBot="1">
      <c r="A63" s="2082"/>
      <c r="B63" s="2083"/>
      <c r="C63" s="2083"/>
      <c r="I63" s="3121" t="s">
        <v>2367</v>
      </c>
      <c r="J63" s="3122" t="s">
        <v>2368</v>
      </c>
      <c r="K63" s="3122" t="s">
        <v>2369</v>
      </c>
      <c r="L63" s="3122" t="s">
        <v>2350</v>
      </c>
      <c r="M63" s="3123" t="s">
        <v>2944</v>
      </c>
      <c r="O63" s="2366" t="s">
        <v>2388</v>
      </c>
      <c r="P63" s="2364" t="s">
        <v>2396</v>
      </c>
      <c r="Q63" s="2365">
        <f ca="1">L60</f>
        <v>0</v>
      </c>
      <c r="R63" s="2368" t="s">
        <v>2397</v>
      </c>
    </row>
    <row r="64" spans="1:18" s="2045" customFormat="1" ht="15.75" thickBot="1">
      <c r="A64" s="2082"/>
      <c r="B64" s="2083"/>
      <c r="C64" s="2083"/>
      <c r="I64" s="3121" t="s">
        <v>2370</v>
      </c>
      <c r="J64" s="3122">
        <v>70</v>
      </c>
      <c r="K64" s="3122">
        <v>50</v>
      </c>
      <c r="L64" s="3122">
        <v>80</v>
      </c>
      <c r="M64" s="3124">
        <v>0.02</v>
      </c>
      <c r="O64" s="2363" t="s">
        <v>2391</v>
      </c>
      <c r="P64" s="2364" t="s">
        <v>2408</v>
      </c>
      <c r="Q64" s="2365" t="e">
        <f ca="1">Q58+Q59</f>
        <v>#DIV/0!</v>
      </c>
      <c r="R64" s="2368" t="s">
        <v>2392</v>
      </c>
    </row>
    <row r="65" spans="1:18" s="2045" customFormat="1" ht="16.5" thickBot="1">
      <c r="A65" s="2082"/>
      <c r="B65" s="2083"/>
      <c r="C65" s="2083"/>
      <c r="I65" s="3121" t="s">
        <v>2371</v>
      </c>
      <c r="J65" s="3122">
        <v>50</v>
      </c>
      <c r="K65" s="3122">
        <v>35</v>
      </c>
      <c r="L65" s="3122">
        <v>60</v>
      </c>
      <c r="M65" s="846">
        <v>0</v>
      </c>
      <c r="O65" s="2369" t="s">
        <v>2415</v>
      </c>
      <c r="P65" s="1579"/>
      <c r="Q65" s="1590"/>
      <c r="R65" s="1579"/>
    </row>
    <row r="66" spans="1:18" s="2045" customFormat="1" ht="15.75" thickBot="1">
      <c r="A66" s="2082"/>
      <c r="B66" s="2083"/>
      <c r="C66" s="2083"/>
      <c r="I66" s="3121" t="s">
        <v>2372</v>
      </c>
      <c r="J66" s="3122">
        <v>40</v>
      </c>
      <c r="K66" s="3122">
        <v>30</v>
      </c>
      <c r="L66" s="3122">
        <v>50</v>
      </c>
      <c r="M66" s="3124">
        <v>0.02</v>
      </c>
      <c r="O66" s="2360" t="s">
        <v>2375</v>
      </c>
      <c r="P66" s="2361" t="s">
        <v>2376</v>
      </c>
      <c r="Q66" s="2362" t="s">
        <v>2377</v>
      </c>
      <c r="R66" s="2361" t="s">
        <v>2378</v>
      </c>
    </row>
    <row r="67" spans="1:18" s="2045" customFormat="1" ht="15.75" thickBot="1">
      <c r="A67" s="2082"/>
      <c r="B67" s="2083"/>
      <c r="C67" s="2083"/>
      <c r="K67" s="2072"/>
      <c r="O67" s="2363" t="s">
        <v>2379</v>
      </c>
      <c r="P67" s="2364" t="s">
        <v>2405</v>
      </c>
      <c r="Q67" s="2365">
        <f ca="1">C41+J31</f>
        <v>0</v>
      </c>
      <c r="R67" s="2364" t="s">
        <v>2380</v>
      </c>
    </row>
    <row r="68" spans="1:18" s="2045" customFormat="1" ht="20.25" thickBot="1">
      <c r="A68" s="2082"/>
      <c r="B68" s="2083"/>
      <c r="C68" s="2083"/>
      <c r="K68" s="2072"/>
      <c r="O68" s="2363" t="s">
        <v>2381</v>
      </c>
      <c r="P68" s="2364" t="s">
        <v>2412</v>
      </c>
      <c r="Q68" s="2365" t="e">
        <f ca="1">L61</f>
        <v>#DIV/0!</v>
      </c>
      <c r="R68" s="2368" t="s">
        <v>2414</v>
      </c>
    </row>
    <row r="69" spans="1:18" s="2045" customFormat="1" ht="21.75" thickBot="1">
      <c r="A69" s="2082"/>
      <c r="B69" s="2083"/>
      <c r="C69" s="2083"/>
      <c r="K69" s="2072"/>
      <c r="O69" s="2366" t="s">
        <v>2383</v>
      </c>
      <c r="P69" s="2364" t="s">
        <v>2413</v>
      </c>
      <c r="Q69" s="2370">
        <f ca="1">L52</f>
        <v>0</v>
      </c>
      <c r="R69" s="2371" t="s">
        <v>2416</v>
      </c>
    </row>
    <row r="70" spans="1:18" s="2045" customFormat="1" ht="20.25" thickBot="1">
      <c r="A70" s="2082"/>
      <c r="B70" s="2083"/>
      <c r="C70" s="2083"/>
      <c r="K70" s="2072"/>
      <c r="O70" s="2366" t="s">
        <v>2384</v>
      </c>
      <c r="P70" s="2372" t="s">
        <v>2398</v>
      </c>
      <c r="Q70" s="2365" t="e">
        <f ca="1">ROUND(Q71-Q72*Q73,0)</f>
        <v>#VALUE!</v>
      </c>
      <c r="R70" s="2368"/>
    </row>
    <row r="71" spans="1:18" s="2045" customFormat="1" ht="15.75" thickBot="1">
      <c r="A71" s="2082"/>
      <c r="B71" s="2083"/>
      <c r="C71" s="2083"/>
      <c r="K71" s="2072"/>
      <c r="O71" s="2366" t="s">
        <v>2399</v>
      </c>
      <c r="P71" s="2372" t="s">
        <v>2400</v>
      </c>
      <c r="Q71" s="2365" t="e">
        <f ca="1">C42</f>
        <v>#VALUE!</v>
      </c>
      <c r="R71" s="2364" t="s">
        <v>2380</v>
      </c>
    </row>
    <row r="72" spans="1:18" s="2045" customFormat="1" ht="15.75" thickBot="1">
      <c r="A72" s="2082"/>
      <c r="B72" s="2083"/>
      <c r="C72" s="2083"/>
      <c r="K72" s="2072"/>
      <c r="O72" s="2366" t="s">
        <v>2401</v>
      </c>
      <c r="P72" s="2372" t="s">
        <v>2402</v>
      </c>
      <c r="Q72" s="2365" t="e">
        <f ca="1">C15</f>
        <v>#VALUE!</v>
      </c>
      <c r="R72" s="2364" t="s">
        <v>2380</v>
      </c>
    </row>
    <row r="73" spans="1:18" s="2045" customFormat="1" ht="15.75" thickBot="1">
      <c r="A73" s="2082"/>
      <c r="B73" s="2083"/>
      <c r="C73" s="2083"/>
      <c r="K73" s="2072"/>
      <c r="O73" s="2366" t="s">
        <v>2403</v>
      </c>
      <c r="P73" s="2372" t="s">
        <v>2404</v>
      </c>
      <c r="Q73" s="2367">
        <f ca="1">F43</f>
        <v>0</v>
      </c>
      <c r="R73" s="2368"/>
    </row>
    <row r="74" spans="1:18" s="2045" customFormat="1" ht="15.75" thickBot="1">
      <c r="A74" s="2082"/>
      <c r="B74" s="2083"/>
      <c r="C74" s="2083"/>
      <c r="K74" s="2072"/>
      <c r="O74" s="2366" t="s">
        <v>2386</v>
      </c>
      <c r="P74" s="2364" t="s">
        <v>2393</v>
      </c>
      <c r="Q74" s="2367">
        <f>L53</f>
        <v>0</v>
      </c>
      <c r="R74" s="2368"/>
    </row>
    <row r="75" spans="1:18" s="2045" customFormat="1" ht="20.25" thickBot="1">
      <c r="A75" s="2082"/>
      <c r="B75" s="2083"/>
      <c r="C75" s="2083"/>
      <c r="K75" s="2072"/>
      <c r="O75" s="2366" t="s">
        <v>2388</v>
      </c>
      <c r="P75" s="2364" t="s">
        <v>2394</v>
      </c>
      <c r="Q75" s="2365">
        <f ca="1">L59</f>
        <v>0</v>
      </c>
      <c r="R75" s="2368" t="s">
        <v>2395</v>
      </c>
    </row>
    <row r="76" spans="1:18" s="2045" customFormat="1" ht="20.25" thickBot="1">
      <c r="A76" s="2082"/>
      <c r="B76" s="2083"/>
      <c r="C76" s="2083"/>
      <c r="K76" s="2072"/>
      <c r="O76" s="2366" t="s">
        <v>2417</v>
      </c>
      <c r="P76" s="2364" t="s">
        <v>2396</v>
      </c>
      <c r="Q76" s="2365">
        <f ca="1">L60</f>
        <v>0</v>
      </c>
      <c r="R76" s="2368" t="s">
        <v>2397</v>
      </c>
    </row>
    <row r="77" spans="1:18" s="2045" customFormat="1" ht="15.75"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受贵公司委托，我公司对出让国有建设用地使用权进行了预评估。</v>
      </c>
    </row>
    <row r="5" spans="1:4" ht="18.75">
      <c r="A5" s="1780" t="s">
        <v>1905</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15557.09平方米。根据《建设工程规划许可证》[]、《出让合同》[]，估价对象规划建筑面积为10288平方米。</v>
      </c>
    </row>
    <row r="7" spans="1:4" ht="56.25">
      <c r="A7" s="1781" t="s">
        <v>2747</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2021年8月27日</v>
      </c>
    </row>
    <row r="12" spans="1:4" ht="18.75">
      <c r="A12" s="1783" t="s">
        <v>2025</v>
      </c>
    </row>
    <row r="13" spans="1:4" ht="18.75">
      <c r="A13" s="1777" t="s">
        <v>2943</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根据《国有土地使用证》[]，估价对象（分摊）出让国有建设用地使用权面积为15557.09平方米。根据《建设工程规划许可证》[]、《出让合同》[]，估价对象规划建筑面积为10288平方米。</v>
      </c>
    </row>
    <row r="21" spans="1:1" ht="18.75">
      <c r="A21" s="1777" t="s">
        <v>2074</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2021年8月27日，在规划利用条件下、设定土地开发程度为红线外“七通”、宗地内场地，设定用途为，剩余土地使用年限为的出让国有建设用地使用权价格。</v>
      </c>
    </row>
    <row r="26" spans="1:1" ht="9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25" sqref="F25"/>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c r="D1" s="3077" t="s">
        <v>952</v>
      </c>
      <c r="E1" s="2352" t="s">
        <v>2374</v>
      </c>
      <c r="F1" s="2353">
        <f ca="1">J53</f>
        <v>0</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t="e">
        <f ca="1">C40+J29+L46</f>
        <v>#VALUE!</v>
      </c>
      <c r="C2" s="2043"/>
      <c r="D2" s="2041"/>
      <c r="E2" s="2042"/>
      <c r="F2" s="2042"/>
      <c r="G2" s="1577"/>
      <c r="H2" s="2043"/>
      <c r="I2" s="2043"/>
      <c r="J2" s="2043"/>
      <c r="K2" s="2044"/>
      <c r="L2" s="2043"/>
      <c r="M2" s="2043"/>
    </row>
    <row r="3" spans="1:33" ht="18" customHeight="1" thickBot="1">
      <c r="A3" s="833" t="s">
        <v>1727</v>
      </c>
      <c r="B3" s="834">
        <f ca="1">IF(ISERROR(B2*10000/F43),0,ROUND(B2*10000/F43,0))</f>
        <v>0</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0</v>
      </c>
      <c r="D5" s="2461" t="s">
        <v>2461</v>
      </c>
      <c r="E5" s="2455"/>
      <c r="F5" s="2456"/>
      <c r="G5" s="1579"/>
      <c r="H5" s="781">
        <v>1</v>
      </c>
      <c r="I5" s="782" t="s">
        <v>2458</v>
      </c>
      <c r="J5" s="55">
        <f ca="1">J6+J10+J12</f>
        <v>0</v>
      </c>
      <c r="K5" s="2461" t="s">
        <v>2461</v>
      </c>
      <c r="L5" s="2455"/>
      <c r="M5" s="2456"/>
    </row>
    <row r="6" spans="1:33" ht="18" customHeight="1">
      <c r="A6" s="1816" t="s">
        <v>1824</v>
      </c>
      <c r="B6" s="3488" t="s">
        <v>2463</v>
      </c>
      <c r="C6" s="783">
        <f ca="1">ROUND(F6*F8*F7*(1-F9)/10000,0)</f>
        <v>0</v>
      </c>
      <c r="D6" s="2462" t="s">
        <v>2462</v>
      </c>
      <c r="E6" s="784" t="s">
        <v>1738</v>
      </c>
      <c r="F6" s="785">
        <f ca="1">INDIRECT("'数据-取费表'!u"&amp;$G$1)</f>
        <v>0</v>
      </c>
      <c r="G6" s="1579"/>
      <c r="H6" s="2469" t="s">
        <v>2468</v>
      </c>
      <c r="I6" s="3488" t="s">
        <v>2463</v>
      </c>
      <c r="J6" s="783">
        <f ca="1">ROUND(M6*M8*M7*(1-M9)/10000,0)</f>
        <v>0</v>
      </c>
      <c r="K6" s="341" t="s">
        <v>1737</v>
      </c>
      <c r="L6" s="784" t="s">
        <v>1738</v>
      </c>
      <c r="M6" s="785">
        <f ca="1">INDIRECT("'数据-取费表'!z"&amp;$G$1)</f>
        <v>0</v>
      </c>
    </row>
    <row r="7" spans="1:33" ht="18" customHeight="1">
      <c r="A7" s="2465"/>
      <c r="B7" s="3489"/>
      <c r="C7" s="788"/>
      <c r="D7" s="789"/>
      <c r="E7" s="784" t="s">
        <v>1739</v>
      </c>
      <c r="F7" s="785">
        <f ca="1">IF(INDIRECT("'数据-取费表'!ah"&amp;$G$1)="",INDIRECT("'数据-取费表'!k"&amp;$G$1),INDIRECT("'数据-取费表'!ah"&amp;$G$1))</f>
        <v>0</v>
      </c>
      <c r="G7" s="1579"/>
      <c r="H7" s="2454"/>
      <c r="I7" s="3489"/>
      <c r="J7" s="788"/>
      <c r="K7" s="789"/>
      <c r="L7" s="784" t="s">
        <v>1739</v>
      </c>
      <c r="M7" s="785">
        <f ca="1">F7</f>
        <v>0</v>
      </c>
    </row>
    <row r="8" spans="1:33" ht="18" customHeight="1">
      <c r="A8" s="2458"/>
      <c r="B8" s="3490"/>
      <c r="C8" s="788"/>
      <c r="D8" s="789"/>
      <c r="E8" s="784" t="s">
        <v>1740</v>
      </c>
      <c r="F8" s="785">
        <f ca="1">INDIRECT("'数据-取费表'!ai"&amp;$G$1)</f>
        <v>0</v>
      </c>
      <c r="G8" s="1579"/>
      <c r="H8" s="2454"/>
      <c r="I8" s="3490"/>
      <c r="J8" s="788"/>
      <c r="K8" s="789"/>
      <c r="L8" s="784" t="s">
        <v>1740</v>
      </c>
      <c r="M8" s="785">
        <f ca="1">INDIRECT("'数据-取费表'!ai"&amp;$G$1)</f>
        <v>0</v>
      </c>
    </row>
    <row r="9" spans="1:33" ht="18" customHeight="1">
      <c r="A9" s="786"/>
      <c r="B9" s="3491"/>
      <c r="C9" s="788"/>
      <c r="D9" s="789"/>
      <c r="E9" s="784" t="s">
        <v>1741</v>
      </c>
      <c r="F9" s="794">
        <f ca="1">INDIRECT("'数据-取费表'!w"&amp;$G$1)</f>
        <v>0</v>
      </c>
      <c r="G9" s="1579"/>
      <c r="H9" s="2470"/>
      <c r="I9" s="3490"/>
      <c r="J9" s="788"/>
      <c r="K9" s="789"/>
      <c r="L9" s="795" t="s">
        <v>1741</v>
      </c>
      <c r="M9" s="796">
        <f ca="1">INDIRECT("'数据-取费表'!ab"&amp;$G$1)</f>
        <v>0</v>
      </c>
    </row>
    <row r="10" spans="1:33" ht="18" customHeight="1">
      <c r="A10" s="1816" t="s">
        <v>2466</v>
      </c>
      <c r="B10" s="2459" t="s">
        <v>2459</v>
      </c>
      <c r="C10" s="799">
        <f ca="1">ROUND(IF(F10="押一",C6/12*F11,IF(F10="押二",C6/12*2*F11,IF(F10="押三",C6/12*3*F11,C11*F11))),0)</f>
        <v>0</v>
      </c>
      <c r="D10" s="2466" t="s">
        <v>2975</v>
      </c>
      <c r="E10" s="2463" t="s">
        <v>2464</v>
      </c>
      <c r="F10" s="2586"/>
      <c r="G10" s="1579"/>
      <c r="H10" s="2526" t="s">
        <v>2469</v>
      </c>
      <c r="I10" s="2531" t="s">
        <v>2459</v>
      </c>
      <c r="J10" s="783">
        <f ca="1">ROUND(IF(M10="押一",J6/12*M11,IF(M10="押二",J6/12*2*M11,IF(M10="押三",J6/12*3*M11,J11*M11))),0)</f>
        <v>0</v>
      </c>
      <c r="K10" s="2466" t="s">
        <v>2975</v>
      </c>
      <c r="L10" s="2463" t="s">
        <v>2464</v>
      </c>
      <c r="M10" s="2586"/>
    </row>
    <row r="11" spans="1:33" ht="18" customHeight="1">
      <c r="A11" s="790"/>
      <c r="B11" s="2460" t="s">
        <v>2573</v>
      </c>
      <c r="C11" s="2464"/>
      <c r="D11" s="789"/>
      <c r="E11" s="2463" t="s">
        <v>2465</v>
      </c>
      <c r="F11" s="796">
        <f ca="1">'数据-取费表'!B39</f>
        <v>1.4999999999999999E-2</v>
      </c>
      <c r="G11" s="1579"/>
      <c r="H11" s="2527"/>
      <c r="I11" s="2460" t="s">
        <v>2573</v>
      </c>
      <c r="J11" s="2464"/>
      <c r="K11" s="2528"/>
      <c r="L11" s="2463" t="s">
        <v>2465</v>
      </c>
      <c r="M11" s="2457">
        <f ca="1">'数据-取费表'!B39</f>
        <v>1.4999999999999999E-2</v>
      </c>
    </row>
    <row r="12" spans="1:33" ht="18" customHeight="1" thickBot="1">
      <c r="A12" s="2502" t="s">
        <v>2467</v>
      </c>
      <c r="B12" s="2503" t="s">
        <v>2460</v>
      </c>
      <c r="C12" s="2504"/>
      <c r="D12" s="2505"/>
      <c r="E12" s="2506"/>
      <c r="F12" s="2507"/>
      <c r="G12" s="1579"/>
      <c r="H12" s="2516" t="s">
        <v>2470</v>
      </c>
      <c r="I12" s="2529" t="s">
        <v>2460</v>
      </c>
      <c r="J12" s="2530"/>
      <c r="K12" s="2505"/>
      <c r="L12" s="2506"/>
      <c r="M12" s="2519"/>
    </row>
    <row r="13" spans="1:33" ht="18" customHeight="1" thickTop="1">
      <c r="A13" s="1815">
        <v>2</v>
      </c>
      <c r="B13" s="1813" t="s">
        <v>1742</v>
      </c>
      <c r="C13" s="792" t="e">
        <f ca="1">ROUND(C29*F13,0)</f>
        <v>#VALUE!</v>
      </c>
      <c r="D13" s="1820" t="s">
        <v>2297</v>
      </c>
      <c r="E13" s="1820" t="s">
        <v>1744</v>
      </c>
      <c r="F13" s="2501">
        <f ca="1">INDIRECT("'数据-取费表'!y"&amp;$G$1)</f>
        <v>0</v>
      </c>
      <c r="G13" s="1579"/>
      <c r="H13" s="1815">
        <v>2</v>
      </c>
      <c r="I13" s="1813" t="s">
        <v>1742</v>
      </c>
      <c r="J13" s="1805" t="e">
        <f ca="1">ROUND(J14*J15,0)</f>
        <v>#VALUE!</v>
      </c>
      <c r="K13" s="1807" t="s">
        <v>1743</v>
      </c>
      <c r="L13" s="2517"/>
      <c r="M13" s="2518"/>
    </row>
    <row r="14" spans="1:33" ht="18" customHeight="1">
      <c r="A14" s="1634" t="s">
        <v>1884</v>
      </c>
      <c r="B14" s="784" t="s">
        <v>645</v>
      </c>
      <c r="C14" s="804">
        <f ca="1">INDIRECT("'数据-取费表'!m"&amp;$G$1)+INDIRECT("'数据-取费表'!t"&amp;$G$1)</f>
        <v>0</v>
      </c>
      <c r="D14" s="1965" t="s">
        <v>1745</v>
      </c>
      <c r="E14" s="1966"/>
      <c r="F14" s="805"/>
      <c r="G14" s="1579"/>
      <c r="H14" s="1635" t="s">
        <v>1830</v>
      </c>
      <c r="I14" s="2217" t="s">
        <v>2826</v>
      </c>
      <c r="J14" s="53" t="e">
        <f ca="1">C29</f>
        <v>#VALUE!</v>
      </c>
      <c r="K14" s="26"/>
      <c r="L14" s="801"/>
      <c r="M14" s="802"/>
    </row>
    <row r="15" spans="1:33" s="2050" customFormat="1" ht="18" customHeight="1" thickBot="1">
      <c r="A15" s="1634" t="s">
        <v>1885</v>
      </c>
      <c r="B15" s="784" t="s">
        <v>647</v>
      </c>
      <c r="C15" s="53">
        <f ca="1">ROUND(C14*F15,0)</f>
        <v>0</v>
      </c>
      <c r="D15" s="806" t="s">
        <v>1746</v>
      </c>
      <c r="E15" s="806" t="s">
        <v>1747</v>
      </c>
      <c r="F15" s="807">
        <f>'数据-取费表'!B33</f>
        <v>0</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t="e">
        <f ca="1">ROUND(J17+J22+J23+J24,0)</f>
        <v>#VALUE!</v>
      </c>
      <c r="K16" s="1807" t="s">
        <v>1750</v>
      </c>
      <c r="L16" s="2451"/>
      <c r="M16" s="2456"/>
    </row>
    <row r="17" spans="1:33" s="2050" customFormat="1" ht="18" customHeight="1">
      <c r="A17" s="1634" t="s">
        <v>1887</v>
      </c>
      <c r="B17" s="784" t="s">
        <v>653</v>
      </c>
      <c r="C17" s="53">
        <f ca="1">ROUND(F17*(F43+INDIRECT("'数据-取费表'!S"&amp;$G$1))/10000,0)</f>
        <v>0</v>
      </c>
      <c r="D17" s="784" t="s">
        <v>1751</v>
      </c>
      <c r="E17" s="784" t="s">
        <v>1752</v>
      </c>
      <c r="F17" s="56">
        <f>'数据-取费表'!B35</f>
        <v>0</v>
      </c>
      <c r="G17" s="1580"/>
      <c r="H17" s="1635" t="s">
        <v>1830</v>
      </c>
      <c r="I17" s="784" t="s">
        <v>656</v>
      </c>
      <c r="J17" s="53" t="e">
        <f ca="1">ROUND(IF(项目基本情况!B11="自然人",J6*M17/(1+'数据-取费表'!C42),J18+J19+J20),0)</f>
        <v>#VALUE!</v>
      </c>
      <c r="K17" s="2450" t="s">
        <v>1753</v>
      </c>
      <c r="L17" s="2449" t="s">
        <v>1754</v>
      </c>
      <c r="M17" s="810">
        <f ca="1">IF(项目基本情况!B11="企业","",IF(INDIRECT("'数据-取费表'!c"&amp;$G$1)="住宅",5%,IF(M6*M7*M8/12/(1+'数据-取费表'!C42)&gt;20000,12%,7%)))</f>
        <v>7.0000000000000007E-2</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0</v>
      </c>
      <c r="D18" s="784" t="s">
        <v>1746</v>
      </c>
      <c r="E18" s="784" t="s">
        <v>1747</v>
      </c>
      <c r="F18" s="809">
        <f>'数据-取费表'!B36</f>
        <v>0</v>
      </c>
      <c r="G18" s="1580"/>
      <c r="H18" s="1634" t="s">
        <v>1884</v>
      </c>
      <c r="I18" s="784" t="s">
        <v>1755</v>
      </c>
      <c r="J18" s="53">
        <f ca="1">ROUND(J6*M18/(1+'数据-取费表'!C42),1)</f>
        <v>0</v>
      </c>
      <c r="K18" s="2449" t="s">
        <v>1756</v>
      </c>
      <c r="L18" s="784" t="s">
        <v>1747</v>
      </c>
      <c r="M18" s="809">
        <f>'数据-取费表'!B41</f>
        <v>0</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0</v>
      </c>
      <c r="D19" s="261" t="s">
        <v>1757</v>
      </c>
      <c r="E19" s="1968"/>
      <c r="F19" s="56"/>
      <c r="G19" s="1579"/>
      <c r="H19" s="1634" t="s">
        <v>1885</v>
      </c>
      <c r="I19" s="784" t="s">
        <v>1758</v>
      </c>
      <c r="J19" s="53" t="e">
        <f ca="1">IF(K19="按租金收入计税",ROUND(J6*M19/(1+'数据-取费表'!C42),1),ROUND(C29*F33*0.7,1))</f>
        <v>#VALUE!</v>
      </c>
      <c r="K19" s="811" t="s">
        <v>665</v>
      </c>
      <c r="L19" s="784" t="s">
        <v>1747</v>
      </c>
      <c r="M19" s="809">
        <f>IF(K19="按租金收入计税",'数据-取费表'!B51,'数据-取费表'!B50)</f>
        <v>1.2E-2</v>
      </c>
    </row>
    <row r="20" spans="1:33" s="2050" customFormat="1" ht="18" customHeight="1">
      <c r="A20" s="1635" t="s">
        <v>1889</v>
      </c>
      <c r="B20" s="784" t="s">
        <v>666</v>
      </c>
      <c r="C20" s="53">
        <f ca="1">ROUND(C19*F20,0)</f>
        <v>0</v>
      </c>
      <c r="D20" s="812" t="s">
        <v>1759</v>
      </c>
      <c r="E20" s="784" t="s">
        <v>1747</v>
      </c>
      <c r="F20" s="809">
        <f>'数据-取费表'!B37</f>
        <v>0</v>
      </c>
      <c r="G20" s="1580"/>
      <c r="H20" s="1637" t="s">
        <v>1880</v>
      </c>
      <c r="I20" s="341" t="s">
        <v>1760</v>
      </c>
      <c r="J20" s="54">
        <f ca="1">ROUND(M20*M21/10000,0)</f>
        <v>0</v>
      </c>
      <c r="K20" s="814" t="s">
        <v>1761</v>
      </c>
      <c r="L20" s="784" t="s">
        <v>1762</v>
      </c>
      <c r="M20" s="640">
        <f>'数据-取费表'!B52</f>
        <v>0</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v>
      </c>
      <c r="G21" s="1580"/>
      <c r="H21" s="2471"/>
      <c r="I21" s="793"/>
      <c r="J21" s="69"/>
      <c r="K21" s="816"/>
      <c r="L21" s="784" t="s">
        <v>1766</v>
      </c>
      <c r="M21" s="785">
        <f ca="1">INDIRECT("'数据-取费表'!r"&amp;$G$1)</f>
        <v>0</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单利计息。建造成本、管理费用、销售费用产生的利息。</v>
      </c>
      <c r="E22" s="1968"/>
      <c r="F22" s="56"/>
      <c r="G22" s="1579"/>
      <c r="H22" s="1635" t="s">
        <v>1889</v>
      </c>
      <c r="I22" s="784" t="s">
        <v>1768</v>
      </c>
      <c r="J22" s="53" t="e">
        <f ca="1">ROUND(J14*M22,0)</f>
        <v>#VALUE!</v>
      </c>
      <c r="K22" s="2449" t="s">
        <v>1769</v>
      </c>
      <c r="L22" s="784" t="s">
        <v>1747</v>
      </c>
      <c r="M22" s="817">
        <f ca="1">INDIRECT("'数据-取费表'!Ak"&amp;$G$1)</f>
        <v>0</v>
      </c>
    </row>
    <row r="23" spans="1:33" s="2050" customFormat="1" ht="18" customHeight="1">
      <c r="A23" s="1634" t="s">
        <v>1831</v>
      </c>
      <c r="B23" s="784" t="s">
        <v>2535</v>
      </c>
      <c r="C23" s="53" t="e">
        <f ca="1">ROUND(IF('数据-取费表'!B22&lt;=1,(C19+C20)*F24*F23/2,(C19+C20)*(POWER((1+F24),F23/2)-1)),0)</f>
        <v>#VALUE!</v>
      </c>
      <c r="D23" s="2536" t="str">
        <f>IF(F23&lt;=1,"(建造成本+管理费用)×利率×(建设周期÷2)","(建造成本+管理费用)×((1+利率)^(建设周期÷2)-1)")</f>
        <v>(建造成本+管理费用)×利率×(建设周期÷2)</v>
      </c>
      <c r="E23" s="784" t="s">
        <v>1770</v>
      </c>
      <c r="F23" s="640">
        <f>'数据-取费表'!B20</f>
        <v>0</v>
      </c>
      <c r="G23" s="1580"/>
      <c r="H23" s="1635" t="s">
        <v>1890</v>
      </c>
      <c r="I23" s="784" t="s">
        <v>679</v>
      </c>
      <c r="J23" s="53" t="e">
        <f ca="1">ROUND(J13*M23,0)</f>
        <v>#VALUE!</v>
      </c>
      <c r="K23" s="2449" t="s">
        <v>1771</v>
      </c>
      <c r="L23" s="784" t="s">
        <v>1747</v>
      </c>
      <c r="M23" s="818">
        <f ca="1">INDIRECT("'数据-取费表'!Al"&amp;$G$1)</f>
        <v>0</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t="e">
        <f ca="1">ROUND(IF('数据-取费表'!B22&lt;=1,F21*F24*F23/2,F21*(POWER((1+F24),F23/2)-1)),4)</f>
        <v>#VALUE!</v>
      </c>
      <c r="D24" s="2536" t="str">
        <f>IF(F23&lt;=1,"销售费用×利率×(建设周期÷2)","销售费用×((1+利率)^(建设周期÷2)-1)")</f>
        <v>销售费用×利率×(建设周期÷2)</v>
      </c>
      <c r="E24" s="784" t="s">
        <v>1773</v>
      </c>
      <c r="F24" s="819" t="e">
        <f ca="1">'数据-取费表'!B40</f>
        <v>#VALUE!</v>
      </c>
      <c r="G24" s="1580"/>
      <c r="H24" s="2516" t="s">
        <v>1891</v>
      </c>
      <c r="I24" s="2511" t="s">
        <v>666</v>
      </c>
      <c r="J24" s="2509">
        <f ca="1">ROUND(J5*M24,0)</f>
        <v>0</v>
      </c>
      <c r="K24" s="2510" t="s">
        <v>1774</v>
      </c>
      <c r="L24" s="2511" t="s">
        <v>1747</v>
      </c>
      <c r="M24" s="2507">
        <f ca="1">INDIRECT("'数据-取费表'!Am"&amp;$G$1)</f>
        <v>0</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2822</v>
      </c>
      <c r="J25" s="792" t="e">
        <f ca="1">J5-J16</f>
        <v>#VALUE!</v>
      </c>
      <c r="K25" s="2513" t="s">
        <v>1777</v>
      </c>
      <c r="L25" s="2514"/>
      <c r="M25" s="2515"/>
    </row>
    <row r="26" spans="1:33" ht="18" customHeight="1">
      <c r="A26" s="1634" t="s">
        <v>1831</v>
      </c>
      <c r="B26" s="784" t="s">
        <v>2438</v>
      </c>
      <c r="C26" s="53">
        <f ca="1">ROUND((C19+C20)*F26,0)</f>
        <v>0</v>
      </c>
      <c r="D26" s="812" t="s">
        <v>1778</v>
      </c>
      <c r="E26" s="795" t="s">
        <v>1779</v>
      </c>
      <c r="F26" s="794">
        <f ca="1">INDIRECT("'数据-取费表'!q"&amp;$G$1)</f>
        <v>0</v>
      </c>
      <c r="G26" s="1579"/>
      <c r="H26" s="2467" t="s">
        <v>1780</v>
      </c>
      <c r="I26" s="2218" t="s">
        <v>2827</v>
      </c>
      <c r="J26" s="783">
        <f ca="1">IF(J5&lt;&gt;0,ROUND(J25*(1-((1+M28)/(1+M26))^M27)/(M26-M28),0),0)</f>
        <v>0</v>
      </c>
      <c r="K26" s="814" t="s">
        <v>1781</v>
      </c>
      <c r="L26" s="784" t="s">
        <v>2419</v>
      </c>
      <c r="M26" s="794">
        <f ca="1">INDIRECT("'数据-取费表'!I"&amp;$G$1)</f>
        <v>0</v>
      </c>
    </row>
    <row r="27" spans="1:33" ht="18" customHeight="1">
      <c r="A27" s="1634" t="s">
        <v>1832</v>
      </c>
      <c r="B27" s="784" t="s">
        <v>686</v>
      </c>
      <c r="C27" s="53">
        <f ca="1">ROUND(F21*F26,4)</f>
        <v>0</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0</v>
      </c>
      <c r="D28" s="812" t="s">
        <v>2299</v>
      </c>
      <c r="E28" s="784" t="s">
        <v>1785</v>
      </c>
      <c r="F28" s="809">
        <f>'数据-取费表'!B41</f>
        <v>0</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t="e">
        <f ca="1">ROUND((C19+C20+C23+C26)/(1-F21-C24-C27-C28),0)</f>
        <v>#VALUE!</v>
      </c>
      <c r="D29" s="2510"/>
      <c r="E29" s="2511"/>
      <c r="F29" s="2512"/>
      <c r="G29" s="1580"/>
      <c r="H29" s="823" t="s">
        <v>1787</v>
      </c>
      <c r="I29" s="824" t="s">
        <v>1788</v>
      </c>
      <c r="J29" s="825">
        <f ca="1">ROUND(J26/(1+F40)^F41,0)</f>
        <v>0</v>
      </c>
      <c r="K29" s="826" t="s">
        <v>1789</v>
      </c>
      <c r="L29" s="827"/>
      <c r="M29" s="828">
        <f ca="1">INDIRECT("'数据-取费表'!k"&amp;$G$1)</f>
        <v>0</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t="e">
        <f ca="1">ROUND(C31+C36+C37+C38,0)</f>
        <v>#VALUE!</v>
      </c>
      <c r="D30" s="1807" t="s">
        <v>1791</v>
      </c>
      <c r="E30" s="2451"/>
      <c r="F30" s="2456"/>
      <c r="G30" s="2048"/>
      <c r="H30" s="2051"/>
      <c r="I30" s="2052"/>
      <c r="J30" s="2053"/>
      <c r="K30" s="2054"/>
      <c r="L30" s="2055"/>
      <c r="M30" s="2056"/>
    </row>
    <row r="31" spans="1:33" ht="18" customHeight="1">
      <c r="A31" s="1635" t="s">
        <v>1830</v>
      </c>
      <c r="B31" s="784" t="s">
        <v>656</v>
      </c>
      <c r="C31" s="53" t="e">
        <f ca="1">ROUND(IF(项目基本情况!B11="自然人",C6*F31/(1+'数据-取费表'!C42),C32+C33+C34),1)</f>
        <v>#VALUE!</v>
      </c>
      <c r="D31" s="1965" t="s">
        <v>1792</v>
      </c>
      <c r="E31" s="1963" t="s">
        <v>1793</v>
      </c>
      <c r="F31" s="810">
        <f ca="1">IF(项目基本情况!B11="企业","",IF(INDIRECT("'数据-取费表'!c"&amp;$G$1)="住宅",5%,IF(F6*F7*F8/12/(1+'数据-取费表'!C42)&gt;20000,12%,7%)))</f>
        <v>7.0000000000000007E-2</v>
      </c>
      <c r="G31" s="2048"/>
      <c r="H31" s="2051"/>
      <c r="I31" s="2052"/>
      <c r="J31" s="2053"/>
      <c r="K31" s="2054"/>
      <c r="L31" s="2055"/>
      <c r="M31" s="2056"/>
    </row>
    <row r="32" spans="1:33" ht="18" customHeight="1">
      <c r="A32" s="1634" t="s">
        <v>1831</v>
      </c>
      <c r="B32" s="784" t="s">
        <v>1794</v>
      </c>
      <c r="C32" s="53">
        <f ca="1">ROUND(C6*F32/(1+'数据-取费表'!C42),1)</f>
        <v>0</v>
      </c>
      <c r="D32" s="1963" t="s">
        <v>1795</v>
      </c>
      <c r="E32" s="784" t="s">
        <v>1796</v>
      </c>
      <c r="F32" s="809">
        <f>'数据-取费表'!B41</f>
        <v>0</v>
      </c>
      <c r="G32" s="2048"/>
      <c r="H32" s="2057"/>
      <c r="I32" s="2058"/>
      <c r="J32" s="2059"/>
      <c r="K32" s="2060"/>
      <c r="L32" s="2061"/>
      <c r="M32" s="2062"/>
    </row>
    <row r="33" spans="1:18" ht="18" customHeight="1">
      <c r="A33" s="1634" t="s">
        <v>1832</v>
      </c>
      <c r="B33" s="784" t="s">
        <v>1797</v>
      </c>
      <c r="C33" s="53" t="e">
        <f ca="1">IF(D33="按租金收入计税",ROUND(C6*F33/(1+'数据-取费表'!C42),1),IF(D33="按房产原值计税",ROUND(C29*F33*0.7,1),INDIRECT("'数据-取费表'!Aj"&amp;$G$1)))</f>
        <v>#VALUE!</v>
      </c>
      <c r="D33" s="811" t="s">
        <v>1680</v>
      </c>
      <c r="E33" s="784" t="s">
        <v>1796</v>
      </c>
      <c r="F33" s="809">
        <f>IF(D33="按租金收入计税",'数据-取费表'!B51,'数据-取费表'!B50)</f>
        <v>1.2E-2</v>
      </c>
      <c r="G33" s="2048"/>
      <c r="H33" s="2063"/>
      <c r="I33" s="2063"/>
      <c r="J33" s="2063"/>
      <c r="K33" s="2064"/>
      <c r="L33" s="2063"/>
      <c r="M33" s="2063"/>
    </row>
    <row r="34" spans="1:18" ht="18" customHeight="1">
      <c r="A34" s="1637" t="s">
        <v>1833</v>
      </c>
      <c r="B34" s="341" t="s">
        <v>1798</v>
      </c>
      <c r="C34" s="54">
        <f ca="1">ROUND(F34*F35/10000,1)</f>
        <v>0</v>
      </c>
      <c r="D34" s="814" t="s">
        <v>1799</v>
      </c>
      <c r="E34" s="784" t="s">
        <v>1800</v>
      </c>
      <c r="F34" s="640">
        <f>'数据-取费表'!B52</f>
        <v>0</v>
      </c>
      <c r="G34" s="2048"/>
      <c r="H34" s="2051"/>
      <c r="I34" s="835" t="s">
        <v>1813</v>
      </c>
      <c r="J34" s="836"/>
      <c r="K34" s="2066"/>
      <c r="L34" s="2065"/>
      <c r="M34" s="2065"/>
    </row>
    <row r="35" spans="1:18" ht="18" customHeight="1">
      <c r="A35" s="815"/>
      <c r="B35" s="793"/>
      <c r="C35" s="69"/>
      <c r="D35" s="816"/>
      <c r="E35" s="784" t="s">
        <v>1801</v>
      </c>
      <c r="F35" s="785">
        <f ca="1">INDIRECT("'数据-取费表'!r"&amp;$G$1)</f>
        <v>0</v>
      </c>
      <c r="G35" s="2048"/>
      <c r="H35" s="2051"/>
      <c r="I35" s="837" t="s">
        <v>1814</v>
      </c>
      <c r="J35" s="838" t="e">
        <f ca="1">ROUND(C13*J36,0)</f>
        <v>#VALUE!</v>
      </c>
      <c r="K35" s="2064"/>
      <c r="L35" s="2063"/>
      <c r="M35" s="2063"/>
    </row>
    <row r="36" spans="1:18" ht="18" customHeight="1">
      <c r="A36" s="1635" t="s">
        <v>1889</v>
      </c>
      <c r="B36" s="784" t="s">
        <v>1802</v>
      </c>
      <c r="C36" s="53" t="e">
        <f ca="1">ROUND(C29*F36,1)</f>
        <v>#VALUE!</v>
      </c>
      <c r="D36" s="1963" t="s">
        <v>1803</v>
      </c>
      <c r="E36" s="784" t="s">
        <v>1796</v>
      </c>
      <c r="F36" s="817">
        <f ca="1">INDIRECT("'数据-取费表'!Ak"&amp;$G$1)</f>
        <v>0</v>
      </c>
      <c r="G36" s="2048"/>
      <c r="H36" s="2063"/>
      <c r="I36" s="839" t="s">
        <v>1815</v>
      </c>
      <c r="J36" s="840">
        <f ca="1">INDIRECT("'数据-取费表'!j"&amp;$G$1)</f>
        <v>0</v>
      </c>
      <c r="K36" s="2068"/>
      <c r="L36" s="2063"/>
      <c r="M36" s="2063"/>
    </row>
    <row r="37" spans="1:18" ht="18" customHeight="1">
      <c r="A37" s="1635" t="s">
        <v>1890</v>
      </c>
      <c r="B37" s="784" t="s">
        <v>679</v>
      </c>
      <c r="C37" s="53" t="e">
        <f ca="1">ROUND(C13*F37,1)</f>
        <v>#VALUE!</v>
      </c>
      <c r="D37" s="1963" t="s">
        <v>1804</v>
      </c>
      <c r="E37" s="784" t="s">
        <v>1796</v>
      </c>
      <c r="F37" s="818">
        <f ca="1">INDIRECT("'数据-取费表'!Al"&amp;$G$1)</f>
        <v>0</v>
      </c>
      <c r="G37" s="2048"/>
      <c r="H37" s="2063"/>
      <c r="I37" s="841" t="s">
        <v>1816</v>
      </c>
      <c r="J37" s="842"/>
      <c r="K37" s="2068"/>
      <c r="L37" s="2063"/>
      <c r="M37" s="2063"/>
    </row>
    <row r="38" spans="1:18" ht="18" customHeight="1" thickBot="1">
      <c r="A38" s="2516" t="s">
        <v>1891</v>
      </c>
      <c r="B38" s="2511" t="s">
        <v>666</v>
      </c>
      <c r="C38" s="2509">
        <f ca="1">ROUND(C5*F38,1)</f>
        <v>0</v>
      </c>
      <c r="D38" s="2510" t="s">
        <v>1805</v>
      </c>
      <c r="E38" s="2511" t="s">
        <v>1796</v>
      </c>
      <c r="F38" s="2507">
        <f ca="1">INDIRECT("'数据-取费表'!Am"&amp;$G$1)</f>
        <v>0</v>
      </c>
      <c r="G38" s="2048"/>
      <c r="H38" s="2063"/>
      <c r="I38" s="843" t="s">
        <v>1817</v>
      </c>
      <c r="J38" s="844"/>
      <c r="K38" s="2069"/>
      <c r="L38" s="2063"/>
      <c r="M38" s="2063"/>
    </row>
    <row r="39" spans="1:18" ht="24.6" customHeight="1" thickTop="1">
      <c r="A39" s="1815" t="s">
        <v>1894</v>
      </c>
      <c r="B39" s="2963" t="s">
        <v>2822</v>
      </c>
      <c r="C39" s="792" t="e">
        <f ca="1">C5-C30</f>
        <v>#VALUE!</v>
      </c>
      <c r="D39" s="2513" t="s">
        <v>1806</v>
      </c>
      <c r="E39" s="2514"/>
      <c r="F39" s="2515"/>
      <c r="G39" s="2048"/>
      <c r="H39" s="2063"/>
      <c r="I39" s="837" t="s">
        <v>1818</v>
      </c>
      <c r="J39" s="845" t="e">
        <f ca="1">ROUND(J35/C39,3)</f>
        <v>#VALUE!</v>
      </c>
      <c r="K39" s="2069"/>
      <c r="L39" s="2063"/>
      <c r="M39" s="2063"/>
    </row>
    <row r="40" spans="1:18" ht="18" customHeight="1">
      <c r="A40" s="781" t="s">
        <v>1895</v>
      </c>
      <c r="B40" s="2218" t="s">
        <v>2301</v>
      </c>
      <c r="C40" s="783" t="e">
        <f ca="1">ROUND(C39*(1-((1+F42)/(1+F40))^F41)/(F40-F42),0)</f>
        <v>#VALUE!</v>
      </c>
      <c r="D40" s="814" t="s">
        <v>1807</v>
      </c>
      <c r="E40" s="784" t="s">
        <v>2419</v>
      </c>
      <c r="F40" s="794">
        <f ca="1">INDIRECT("'数据-取费表'!I"&amp;$G$1)</f>
        <v>0</v>
      </c>
      <c r="G40" s="2048"/>
      <c r="H40" s="2048"/>
      <c r="I40" s="837" t="s">
        <v>1819</v>
      </c>
      <c r="J40" s="845" t="e">
        <f ca="1">1-J39</f>
        <v>#VALUE!</v>
      </c>
      <c r="K40" s="2069"/>
      <c r="L40" s="2048"/>
      <c r="M40" s="2048"/>
    </row>
    <row r="41" spans="1:18" ht="18" customHeight="1">
      <c r="A41" s="786"/>
      <c r="B41" s="787"/>
      <c r="C41" s="788"/>
      <c r="D41" s="821" t="s">
        <v>1808</v>
      </c>
      <c r="E41" s="784" t="s">
        <v>2965</v>
      </c>
      <c r="F41" s="822">
        <f ca="1">IF(INDIRECT("'数据-取费表'!af"&amp;$G$1)=0,INDIRECT("'数据-取费表'!ae"&amp;$G$1),INDIRECT("'数据-取费表'!af"&amp;$G$1))</f>
        <v>0</v>
      </c>
      <c r="G41" s="2048"/>
      <c r="H41" s="1974"/>
      <c r="I41" s="843" t="s">
        <v>1820</v>
      </c>
      <c r="J41" s="846"/>
      <c r="K41" s="2068"/>
      <c r="L41" s="1974"/>
      <c r="M41" s="1974"/>
    </row>
    <row r="42" spans="1:18" ht="18" customHeight="1">
      <c r="A42" s="790"/>
      <c r="B42" s="791"/>
      <c r="C42" s="792"/>
      <c r="D42" s="816"/>
      <c r="E42" s="784" t="s">
        <v>1809</v>
      </c>
      <c r="F42" s="794">
        <f ca="1">INDIRECT("'数据-取费表'!v"&amp;$G$1)</f>
        <v>0</v>
      </c>
      <c r="G42" s="2048"/>
      <c r="H42" s="1974"/>
      <c r="I42" s="847" t="s">
        <v>1821</v>
      </c>
      <c r="J42" s="845" t="e">
        <f ca="1">ROUND(C13/C40,3)</f>
        <v>#VALUE!</v>
      </c>
      <c r="K42" s="2068"/>
      <c r="L42" s="1974"/>
      <c r="M42" s="1974"/>
    </row>
    <row r="43" spans="1:18" ht="18" customHeight="1" thickBot="1">
      <c r="A43" s="823" t="s">
        <v>1787</v>
      </c>
      <c r="B43" s="824" t="s">
        <v>1810</v>
      </c>
      <c r="C43" s="825" t="e">
        <f ca="1">ROUND(C40*10000/F43,0)</f>
        <v>#VALUE!</v>
      </c>
      <c r="D43" s="826" t="s">
        <v>1811</v>
      </c>
      <c r="E43" s="827" t="s">
        <v>1812</v>
      </c>
      <c r="F43" s="828">
        <f ca="1">INDIRECT("'数据-取费表'!k"&amp;$G$1)</f>
        <v>0</v>
      </c>
      <c r="G43" s="2048"/>
      <c r="H43" s="1974"/>
      <c r="I43" s="847" t="s">
        <v>1822</v>
      </c>
      <c r="J43" s="848" t="e">
        <f ca="1">1-J42</f>
        <v>#VALUE!</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t="e">
        <f ca="1">C67-C40</f>
        <v>#VALUE!</v>
      </c>
      <c r="D46" s="2071"/>
      <c r="E46" s="2071"/>
      <c r="F46" s="2071"/>
      <c r="I46" s="2343" t="s">
        <v>2343</v>
      </c>
      <c r="J46" s="2344"/>
      <c r="K46" s="2345"/>
      <c r="L46" s="3108" t="e">
        <f ca="1">IF(OR(M47="住宅",D1="土地（套用方法）"),0,IF(L48&gt;J51,L60,J60))</f>
        <v>#VALUE!</v>
      </c>
      <c r="O46" s="2359" t="s">
        <v>2410</v>
      </c>
      <c r="P46" s="1579"/>
      <c r="Q46" s="1590"/>
      <c r="R46" s="1579"/>
    </row>
    <row r="47" spans="1:18" s="2045" customFormat="1" ht="18" customHeight="1" thickBot="1">
      <c r="A47" s="2337">
        <v>1</v>
      </c>
      <c r="B47" s="2338" t="s">
        <v>635</v>
      </c>
      <c r="C47" s="2539">
        <f ca="1">C48+C52+C54</f>
        <v>0</v>
      </c>
      <c r="D47" s="2071"/>
      <c r="E47" s="2071"/>
      <c r="F47" s="2071"/>
      <c r="I47" s="3099" t="s">
        <v>2344</v>
      </c>
      <c r="J47" s="2346"/>
      <c r="K47" s="3105" t="s">
        <v>2349</v>
      </c>
      <c r="L47" s="3109">
        <f ca="1">INDIRECT("'数据-取费表'!d"&amp;$G$1)</f>
        <v>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8" t="s">
        <v>2345</v>
      </c>
      <c r="J48" s="2347"/>
      <c r="K48" s="3106" t="s">
        <v>2351</v>
      </c>
      <c r="L48" s="1894">
        <f ca="1">INDIRECT("'数据-取费表'!f"&amp;$G$1)</f>
        <v>0</v>
      </c>
      <c r="O48" s="2363" t="s">
        <v>2379</v>
      </c>
      <c r="P48" s="2364" t="s">
        <v>2405</v>
      </c>
      <c r="Q48" s="2365" t="e">
        <f ca="1">C40+J29</f>
        <v>#VALUE!</v>
      </c>
      <c r="R48" s="2364" t="s">
        <v>2380</v>
      </c>
    </row>
    <row r="49" spans="1:18" s="2045" customFormat="1" ht="18" customHeight="1" thickBot="1">
      <c r="A49" s="786"/>
      <c r="B49" s="787"/>
      <c r="C49" s="788"/>
      <c r="D49" s="789"/>
      <c r="E49" s="784" t="s">
        <v>1739</v>
      </c>
      <c r="F49" s="785">
        <f ca="1">F7</f>
        <v>0</v>
      </c>
      <c r="G49" s="2076"/>
      <c r="H49" s="2079"/>
      <c r="I49" s="3078" t="s">
        <v>2346</v>
      </c>
      <c r="J49" s="2348"/>
      <c r="K49" s="3107" t="s">
        <v>2352</v>
      </c>
      <c r="L49" s="2349"/>
      <c r="O49" s="2363" t="s">
        <v>2381</v>
      </c>
      <c r="P49" s="2364" t="s">
        <v>2406</v>
      </c>
      <c r="Q49" s="2365" t="e">
        <f ca="1">J60</f>
        <v>#VALUE!</v>
      </c>
      <c r="R49" s="2364" t="s">
        <v>2382</v>
      </c>
    </row>
    <row r="50" spans="1:18" s="2045" customFormat="1" ht="18" customHeight="1" thickBot="1">
      <c r="A50" s="786"/>
      <c r="B50" s="787"/>
      <c r="C50" s="788"/>
      <c r="D50" s="789"/>
      <c r="E50" s="784" t="s">
        <v>1740</v>
      </c>
      <c r="F50" s="785">
        <f ca="1">F8</f>
        <v>0</v>
      </c>
      <c r="G50" s="2081"/>
      <c r="H50" s="2079"/>
      <c r="I50" s="3078" t="s">
        <v>2347</v>
      </c>
      <c r="J50" s="3103">
        <f>SUMPRODUCT((I63:I65=J47)*(J62:L62=J48)*(J63:L65))</f>
        <v>0</v>
      </c>
      <c r="K50" s="3107" t="s">
        <v>2353</v>
      </c>
      <c r="L50" s="2349"/>
      <c r="O50" s="2366" t="s">
        <v>2383</v>
      </c>
      <c r="P50" s="2364" t="s">
        <v>2407</v>
      </c>
      <c r="Q50" s="2365" t="e">
        <f ca="1">C29</f>
        <v>#VALUE!</v>
      </c>
      <c r="R50" s="2364" t="s">
        <v>2380</v>
      </c>
    </row>
    <row r="51" spans="1:18" s="2045" customFormat="1" ht="18" customHeight="1" thickBot="1">
      <c r="A51" s="786"/>
      <c r="B51" s="787"/>
      <c r="C51" s="788"/>
      <c r="D51" s="789"/>
      <c r="E51" s="784" t="s">
        <v>640</v>
      </c>
      <c r="F51" s="2336"/>
      <c r="H51" s="2079"/>
      <c r="I51" s="3100" t="s">
        <v>2348</v>
      </c>
      <c r="J51" s="3104">
        <f>IF(J49="",J50,J49+J50-YEAR('数据-取费表'!B2))</f>
        <v>0</v>
      </c>
      <c r="K51" s="3078" t="s">
        <v>2354</v>
      </c>
      <c r="L51" s="3110" t="e">
        <f ca="1">ROUND(-PV(INDIRECT("'数据-取费表'!h"&amp;$G$1),L48,(C39-C13*J36),0),0)</f>
        <v>#VALUE!</v>
      </c>
      <c r="O51" s="2366" t="s">
        <v>2384</v>
      </c>
      <c r="P51" s="2364" t="s">
        <v>2385</v>
      </c>
      <c r="Q51" s="2367" t="e">
        <f ca="1">J58</f>
        <v>#DIV/0!</v>
      </c>
      <c r="R51" s="2368"/>
    </row>
    <row r="52" spans="1:18" s="2045" customFormat="1" ht="18" customHeight="1" thickBot="1">
      <c r="A52" s="781" t="s">
        <v>2536</v>
      </c>
      <c r="B52" s="2459" t="s">
        <v>2459</v>
      </c>
      <c r="C52" s="799">
        <f ca="1">ROUND(IF(F52="押一",C48/12*F11,IF(F52="押二",C48/12*2*F11,IF(F52="押三",C48/12*3*F11,C53*F11))),0)</f>
        <v>0</v>
      </c>
      <c r="D52" s="2466" t="s">
        <v>2976</v>
      </c>
      <c r="E52" s="2463" t="s">
        <v>2464</v>
      </c>
      <c r="F52" s="2586"/>
      <c r="I52" s="3101" t="s">
        <v>2421</v>
      </c>
      <c r="J52" s="2350"/>
      <c r="K52" s="3101" t="s">
        <v>2420</v>
      </c>
      <c r="L52" s="2350"/>
      <c r="O52" s="2366" t="s">
        <v>2386</v>
      </c>
      <c r="P52" s="2364" t="s">
        <v>2387</v>
      </c>
      <c r="Q52" s="2367">
        <f>J52</f>
        <v>0</v>
      </c>
      <c r="R52" s="2368"/>
    </row>
    <row r="53" spans="1:18" s="2045" customFormat="1" ht="39.75" customHeight="1" thickBot="1">
      <c r="A53" s="786"/>
      <c r="B53" s="2460" t="s">
        <v>2573</v>
      </c>
      <c r="C53" s="2464"/>
      <c r="D53" s="2466"/>
      <c r="E53" s="2463"/>
      <c r="F53" s="800"/>
      <c r="I53" s="3102" t="s">
        <v>2979</v>
      </c>
      <c r="J53" s="3181">
        <f ca="1">IF(M47="住宅",IF(D1="——",MAX(J51,L48),MAX(J51,L48-'数据-取费表'!B20)),IF(D1="——",MIN(J51,L48),MIN(J51,L48-'数据-取费表'!B20)))</f>
        <v>0</v>
      </c>
      <c r="K53" s="3494" t="s">
        <v>2967</v>
      </c>
      <c r="L53" s="3495"/>
      <c r="O53" s="2366" t="s">
        <v>2388</v>
      </c>
      <c r="P53" s="2364" t="s">
        <v>2389</v>
      </c>
      <c r="Q53" s="2365">
        <f ca="1">J53</f>
        <v>0</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2"/>
      <c r="O54" s="2363" t="s">
        <v>2391</v>
      </c>
      <c r="P54" s="2364" t="s">
        <v>2408</v>
      </c>
      <c r="Q54" s="2365" t="e">
        <f ca="1">Q48+Q49</f>
        <v>#VALUE!</v>
      </c>
      <c r="R54" s="2368" t="s">
        <v>2392</v>
      </c>
    </row>
    <row r="55" spans="1:18" s="2045" customFormat="1" ht="18" customHeight="1" thickTop="1" thickBot="1">
      <c r="A55" s="797">
        <v>2</v>
      </c>
      <c r="B55" s="798" t="s">
        <v>644</v>
      </c>
      <c r="C55" s="799" t="e">
        <f ca="1">C13</f>
        <v>#VALUE!</v>
      </c>
      <c r="D55" s="795"/>
      <c r="E55" s="795"/>
      <c r="F55" s="800"/>
      <c r="I55" s="3113" t="s">
        <v>2355</v>
      </c>
      <c r="J55" s="3053" t="e">
        <f ca="1">ROUND(IF(J47="钢混",J57/J50,1-(1-2%)*(J50-J57)/J50),3)</f>
        <v>#DIV/0!</v>
      </c>
      <c r="K55" s="3114" t="s">
        <v>2356</v>
      </c>
      <c r="L55" s="2351"/>
      <c r="O55" s="2369" t="s">
        <v>2411</v>
      </c>
      <c r="P55" s="1579"/>
      <c r="Q55" s="1590"/>
      <c r="R55" s="1579"/>
    </row>
    <row r="56" spans="1:18" s="2045" customFormat="1" ht="42.75" customHeight="1" thickBot="1">
      <c r="A56" s="1636"/>
      <c r="B56" s="2217" t="s">
        <v>2302</v>
      </c>
      <c r="C56" s="53" t="e">
        <f ca="1">C29</f>
        <v>#VALUE!</v>
      </c>
      <c r="D56" s="2604"/>
      <c r="E56" s="784"/>
      <c r="F56" s="809"/>
      <c r="I56" s="3115" t="s">
        <v>2357</v>
      </c>
      <c r="J56" s="3125"/>
      <c r="K56" s="3078" t="s">
        <v>2362</v>
      </c>
      <c r="L56" s="1894">
        <f ca="1">IF(L48&lt;J51,"——",L48-J51)</f>
        <v>0</v>
      </c>
      <c r="O56" s="2360" t="s">
        <v>2375</v>
      </c>
      <c r="P56" s="2361" t="s">
        <v>2376</v>
      </c>
      <c r="Q56" s="2362" t="s">
        <v>2377</v>
      </c>
      <c r="R56" s="2361" t="s">
        <v>2378</v>
      </c>
    </row>
    <row r="57" spans="1:18" s="2045" customFormat="1" ht="28.5" customHeight="1" thickBot="1">
      <c r="A57" s="797" t="s">
        <v>1748</v>
      </c>
      <c r="B57" s="798" t="s">
        <v>651</v>
      </c>
      <c r="C57" s="799" t="e">
        <f ca="1">ROUND(C58+C63+C64+C65,0)</f>
        <v>#VALUE!</v>
      </c>
      <c r="D57" s="26" t="s">
        <v>1750</v>
      </c>
      <c r="E57" s="2605"/>
      <c r="F57" s="56"/>
      <c r="I57" s="3116" t="s">
        <v>2358</v>
      </c>
      <c r="J57" s="3117">
        <f ca="1">IF(OR(M47="住宅",J51&lt;L48,J56="是"),"——",J51-L48)</f>
        <v>0</v>
      </c>
      <c r="K57" s="3078" t="s">
        <v>2363</v>
      </c>
      <c r="L57" s="1894" t="e">
        <f ca="1">IF(L48&lt;J51,"——",IF(L55="比较法",L49,IF(L55="基准地价",L50,L51)))</f>
        <v>#VALUE!</v>
      </c>
      <c r="O57" s="2363" t="s">
        <v>2379</v>
      </c>
      <c r="P57" s="2364" t="s">
        <v>2409</v>
      </c>
      <c r="Q57" s="2365" t="e">
        <f ca="1">C40+J29</f>
        <v>#VALUE!</v>
      </c>
      <c r="R57" s="2364" t="s">
        <v>2380</v>
      </c>
    </row>
    <row r="58" spans="1:18" s="2045" customFormat="1" ht="28.5" customHeight="1" thickBot="1">
      <c r="A58" s="1635" t="s">
        <v>1824</v>
      </c>
      <c r="B58" s="784" t="s">
        <v>656</v>
      </c>
      <c r="C58" s="53" t="e">
        <f ca="1">ROUND(IF(项目基本情况!B11="自然人",C47*F58,C59+C60+C61),1)</f>
        <v>#VALUE!</v>
      </c>
      <c r="D58" s="2603" t="s">
        <v>657</v>
      </c>
      <c r="E58" s="2604" t="s">
        <v>690</v>
      </c>
      <c r="F58" s="810">
        <f ca="1">IF(项目基本情况!B11="企业","",IF(INDIRECT("'数据-取费表'!c"&amp;$G$1)="住宅",5%,IF(F48*F49*F50/12/(1+'数据-取费表'!C42)&gt;20000,12%,7%)))</f>
        <v>7.0000000000000007E-2</v>
      </c>
      <c r="I58" s="3116" t="s">
        <v>2359</v>
      </c>
      <c r="J58" s="3054" t="e">
        <f ca="1">IF(J55&lt;0.4,0.4,J55)</f>
        <v>#DIV/0!</v>
      </c>
      <c r="K58" s="3078" t="s">
        <v>2364</v>
      </c>
      <c r="L58" s="1894" t="e">
        <f ca="1">ROUND(POWER(1+L52,L47-L48)*(POWER(1+L52,L48)-1)/(POWER(1+L52,L47)-1),4)</f>
        <v>#DIV/0!</v>
      </c>
      <c r="O58" s="2363" t="s">
        <v>2381</v>
      </c>
      <c r="P58" s="2364" t="s">
        <v>2412</v>
      </c>
      <c r="Q58" s="2365" t="e">
        <f ca="1">L60</f>
        <v>#VALUE!</v>
      </c>
      <c r="R58" s="2368" t="s">
        <v>2414</v>
      </c>
    </row>
    <row r="59" spans="1:18" s="2045" customFormat="1" ht="28.5" customHeight="1" thickBot="1">
      <c r="A59" s="1634" t="s">
        <v>1831</v>
      </c>
      <c r="B59" s="784" t="s">
        <v>660</v>
      </c>
      <c r="C59" s="53">
        <f ca="1">ROUND(C47*F59/1.05,1)</f>
        <v>0</v>
      </c>
      <c r="D59" s="2604" t="s">
        <v>1756</v>
      </c>
      <c r="E59" s="784" t="s">
        <v>1747</v>
      </c>
      <c r="F59" s="809">
        <f t="shared" ref="F59:F65" si="0">F32</f>
        <v>0</v>
      </c>
      <c r="I59" s="3116" t="s">
        <v>2360</v>
      </c>
      <c r="J59" s="3117" t="e">
        <f ca="1">IF(OR(M47="住宅",J51&lt;L48,J56="是"),"——",ROUND(C29*J58,0))</f>
        <v>#VALUE!</v>
      </c>
      <c r="K59" s="3078"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t="e">
        <f ca="1">IF(D60="按租金收入计税",ROUND(C47*F60,1),IF(D60="按房产原值计税",ROUND(C56*F60*0.7,1),INDIRECT("'数据-取费表'!Aj"&amp;$G$1)))</f>
        <v>#VALUE!</v>
      </c>
      <c r="D60" s="2604" t="str">
        <f>D33</f>
        <v>按房产原值计税</v>
      </c>
      <c r="E60" s="784" t="s">
        <v>1747</v>
      </c>
      <c r="F60" s="809">
        <f t="shared" si="0"/>
        <v>1.2E-2</v>
      </c>
      <c r="I60" s="3118" t="s">
        <v>2361</v>
      </c>
      <c r="J60" s="3119" t="e">
        <f ca="1">IF(OR(M47="住宅",J51&lt;L48,J56="是"),"0",ROUND(J59/(1+J52)^J53,0))</f>
        <v>#VALUE!</v>
      </c>
      <c r="K60" s="3120" t="s">
        <v>2366</v>
      </c>
      <c r="L60" s="3119" t="e">
        <f ca="1">IF(OR(M47="住宅",L48&lt;J51),0,ROUND(L57*(L58/L59-1),0))</f>
        <v>#VALUE!</v>
      </c>
      <c r="O60" s="2366" t="s">
        <v>2384</v>
      </c>
      <c r="P60" s="2364" t="s">
        <v>2393</v>
      </c>
      <c r="Q60" s="2367">
        <f>L52</f>
        <v>0</v>
      </c>
      <c r="R60" s="2368"/>
    </row>
    <row r="61" spans="1:18" s="2045" customFormat="1" ht="18" customHeight="1" thickBot="1">
      <c r="A61" s="1637" t="s">
        <v>1833</v>
      </c>
      <c r="B61" s="341" t="s">
        <v>668</v>
      </c>
      <c r="C61" s="54">
        <f ca="1">ROUND(F61*F62/10000,1)</f>
        <v>0</v>
      </c>
      <c r="D61" s="814" t="s">
        <v>669</v>
      </c>
      <c r="E61" s="784" t="s">
        <v>670</v>
      </c>
      <c r="F61" s="640">
        <f t="shared" si="0"/>
        <v>0</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0</v>
      </c>
      <c r="I62" s="3121" t="s">
        <v>2367</v>
      </c>
      <c r="J62" s="3122" t="s">
        <v>2368</v>
      </c>
      <c r="K62" s="3122" t="s">
        <v>2369</v>
      </c>
      <c r="L62" s="3122" t="s">
        <v>2350</v>
      </c>
      <c r="M62" s="3123" t="s">
        <v>2944</v>
      </c>
      <c r="O62" s="2366" t="s">
        <v>2388</v>
      </c>
      <c r="P62" s="2364" t="str">
        <f>K59</f>
        <v>建筑物剩余耐用年限下的土地年期修正系数Kn</v>
      </c>
      <c r="Q62" s="2365" t="e">
        <f ca="1">L59</f>
        <v>#DIV/0!</v>
      </c>
      <c r="R62" s="2368" t="s">
        <v>2397</v>
      </c>
    </row>
    <row r="63" spans="1:18" s="2045" customFormat="1" ht="15.75" thickBot="1">
      <c r="A63" s="1635" t="s">
        <v>1889</v>
      </c>
      <c r="B63" s="784" t="s">
        <v>676</v>
      </c>
      <c r="C63" s="53" t="e">
        <f ca="1">ROUND(C56*F63,1)</f>
        <v>#VALUE!</v>
      </c>
      <c r="D63" s="2604" t="s">
        <v>1803</v>
      </c>
      <c r="E63" s="784" t="s">
        <v>1747</v>
      </c>
      <c r="F63" s="817">
        <f t="shared" ca="1" si="0"/>
        <v>0</v>
      </c>
      <c r="I63" s="3121" t="s">
        <v>2370</v>
      </c>
      <c r="J63" s="3122">
        <v>70</v>
      </c>
      <c r="K63" s="3122">
        <v>50</v>
      </c>
      <c r="L63" s="3122">
        <v>80</v>
      </c>
      <c r="M63" s="3124">
        <v>0.02</v>
      </c>
      <c r="O63" s="2363" t="s">
        <v>2391</v>
      </c>
      <c r="P63" s="2364" t="s">
        <v>2408</v>
      </c>
      <c r="Q63" s="2365" t="e">
        <f ca="1">Q57+Q58</f>
        <v>#VALUE!</v>
      </c>
      <c r="R63" s="2368" t="s">
        <v>2392</v>
      </c>
    </row>
    <row r="64" spans="1:18" s="2045" customFormat="1" ht="16.5" thickBot="1">
      <c r="A64" s="1635" t="s">
        <v>1890</v>
      </c>
      <c r="B64" s="784" t="s">
        <v>679</v>
      </c>
      <c r="C64" s="53" t="e">
        <f ca="1">ROUND(C55*F64,1)</f>
        <v>#VALUE!</v>
      </c>
      <c r="D64" s="2604" t="s">
        <v>680</v>
      </c>
      <c r="E64" s="784" t="s">
        <v>1747</v>
      </c>
      <c r="F64" s="818">
        <f t="shared" ca="1" si="0"/>
        <v>0</v>
      </c>
      <c r="I64" s="3121" t="s">
        <v>2371</v>
      </c>
      <c r="J64" s="3122">
        <v>50</v>
      </c>
      <c r="K64" s="3122">
        <v>35</v>
      </c>
      <c r="L64" s="3122">
        <v>60</v>
      </c>
      <c r="M64" s="846">
        <v>0</v>
      </c>
      <c r="O64" s="2369" t="s">
        <v>2415</v>
      </c>
      <c r="P64" s="1579"/>
      <c r="Q64" s="1590"/>
      <c r="R64" s="1579"/>
    </row>
    <row r="65" spans="1:18" s="2045" customFormat="1" ht="15.75" thickBot="1">
      <c r="A65" s="1635" t="s">
        <v>1891</v>
      </c>
      <c r="B65" s="784" t="s">
        <v>666</v>
      </c>
      <c r="C65" s="53">
        <f ca="1">ROUND(C47*F65,1)</f>
        <v>0</v>
      </c>
      <c r="D65" s="2604" t="s">
        <v>683</v>
      </c>
      <c r="E65" s="784" t="s">
        <v>1747</v>
      </c>
      <c r="F65" s="794">
        <f t="shared" ca="1" si="0"/>
        <v>0</v>
      </c>
      <c r="I65" s="3121" t="s">
        <v>2372</v>
      </c>
      <c r="J65" s="3122">
        <v>40</v>
      </c>
      <c r="K65" s="3122">
        <v>30</v>
      </c>
      <c r="L65" s="3122">
        <v>50</v>
      </c>
      <c r="M65" s="3124">
        <v>0.02</v>
      </c>
      <c r="O65" s="2360" t="s">
        <v>2375</v>
      </c>
      <c r="P65" s="2361" t="s">
        <v>2376</v>
      </c>
      <c r="Q65" s="2362" t="s">
        <v>2377</v>
      </c>
      <c r="R65" s="2361" t="s">
        <v>2378</v>
      </c>
    </row>
    <row r="66" spans="1:18" s="2045" customFormat="1" ht="24.75" thickBot="1">
      <c r="A66" s="797" t="s">
        <v>1776</v>
      </c>
      <c r="B66" s="2964" t="s">
        <v>2822</v>
      </c>
      <c r="C66" s="799" t="e">
        <f ca="1">C47-C57</f>
        <v>#VALUE!</v>
      </c>
      <c r="D66" s="2603" t="s">
        <v>700</v>
      </c>
      <c r="E66" s="2602"/>
      <c r="F66" s="820"/>
      <c r="K66" s="2072"/>
      <c r="O66" s="2363" t="s">
        <v>2379</v>
      </c>
      <c r="P66" s="2364" t="s">
        <v>2409</v>
      </c>
      <c r="Q66" s="2365" t="e">
        <f ca="1">C40+J29</f>
        <v>#VALUE!</v>
      </c>
      <c r="R66" s="2364" t="s">
        <v>2380</v>
      </c>
    </row>
    <row r="67" spans="1:18" s="2045" customFormat="1" ht="20.25" thickBot="1">
      <c r="A67" s="781" t="s">
        <v>1780</v>
      </c>
      <c r="B67" s="2218" t="s">
        <v>2301</v>
      </c>
      <c r="C67" s="783" t="e">
        <f ca="1">ROUND(C66*(1-((1+F69)/(1+F67))^F68)/(F67-F69),0)</f>
        <v>#VALUE!</v>
      </c>
      <c r="D67" s="814" t="s">
        <v>704</v>
      </c>
      <c r="E67" s="784" t="s">
        <v>705</v>
      </c>
      <c r="F67" s="794">
        <f ca="1">F40</f>
        <v>0</v>
      </c>
      <c r="K67" s="2072"/>
      <c r="O67" s="2363" t="s">
        <v>2381</v>
      </c>
      <c r="P67" s="2364" t="s">
        <v>2412</v>
      </c>
      <c r="Q67" s="2365" t="e">
        <f ca="1">L60</f>
        <v>#VALUE!</v>
      </c>
      <c r="R67" s="2368" t="s">
        <v>2414</v>
      </c>
    </row>
    <row r="68" spans="1:18" ht="21.75" thickBot="1">
      <c r="A68" s="786"/>
      <c r="B68" s="787"/>
      <c r="C68" s="788"/>
      <c r="D68" s="821" t="s">
        <v>1808</v>
      </c>
      <c r="E68" s="784" t="s">
        <v>1784</v>
      </c>
      <c r="F68" s="822">
        <f ca="1">F41</f>
        <v>0</v>
      </c>
      <c r="O68" s="2366" t="s">
        <v>2383</v>
      </c>
      <c r="P68" s="2364" t="s">
        <v>2413</v>
      </c>
      <c r="Q68" s="2370" t="e">
        <f ca="1">L51</f>
        <v>#VALUE!</v>
      </c>
      <c r="R68" s="2371" t="s">
        <v>2416</v>
      </c>
    </row>
    <row r="69" spans="1:18" ht="20.25" thickBot="1">
      <c r="A69" s="790"/>
      <c r="B69" s="791"/>
      <c r="C69" s="792"/>
      <c r="D69" s="816"/>
      <c r="E69" s="784" t="s">
        <v>710</v>
      </c>
      <c r="F69" s="2336"/>
      <c r="O69" s="2366" t="s">
        <v>2384</v>
      </c>
      <c r="P69" s="2372" t="s">
        <v>2398</v>
      </c>
      <c r="Q69" s="2365" t="e">
        <f ca="1">ROUND(Q70-Q71*Q72,0)</f>
        <v>#VALUE!</v>
      </c>
      <c r="R69" s="2368"/>
    </row>
    <row r="70" spans="1:18" ht="15.75" thickBot="1">
      <c r="A70" s="823" t="s">
        <v>1787</v>
      </c>
      <c r="B70" s="824" t="s">
        <v>1810</v>
      </c>
      <c r="C70" s="825" t="e">
        <f ca="1">ROUND(C67*10000/F70,0)</f>
        <v>#VALUE!</v>
      </c>
      <c r="D70" s="826" t="s">
        <v>1811</v>
      </c>
      <c r="E70" s="827" t="s">
        <v>1812</v>
      </c>
      <c r="F70" s="828">
        <f ca="1">F43</f>
        <v>0</v>
      </c>
      <c r="O70" s="2366" t="s">
        <v>2399</v>
      </c>
      <c r="P70" s="2372" t="s">
        <v>2400</v>
      </c>
      <c r="Q70" s="2365" t="e">
        <f ca="1">C39</f>
        <v>#VALUE!</v>
      </c>
      <c r="R70" s="2364" t="s">
        <v>2380</v>
      </c>
    </row>
    <row r="71" spans="1:18" ht="15.75" thickBot="1">
      <c r="O71" s="2366" t="s">
        <v>2401</v>
      </c>
      <c r="P71" s="2372" t="s">
        <v>2402</v>
      </c>
      <c r="Q71" s="2365" t="e">
        <f ca="1">C13</f>
        <v>#VALUE!</v>
      </c>
      <c r="R71" s="2364" t="s">
        <v>2380</v>
      </c>
    </row>
    <row r="72" spans="1:18" ht="15.75" thickBot="1">
      <c r="O72" s="2366" t="s">
        <v>2403</v>
      </c>
      <c r="P72" s="2372" t="s">
        <v>2404</v>
      </c>
      <c r="Q72" s="2367">
        <f ca="1">J36</f>
        <v>0</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建筑物剩余耐用年限下的土地年期修正系数Kn</v>
      </c>
      <c r="Q75" s="2365" t="e">
        <f ca="1">L59</f>
        <v>#DIV/0!</v>
      </c>
      <c r="R75" s="2368" t="s">
        <v>2397</v>
      </c>
    </row>
    <row r="76" spans="1:18" ht="15.75" thickBot="1">
      <c r="O76" s="2363" t="s">
        <v>2391</v>
      </c>
      <c r="P76" s="2364" t="s">
        <v>2408</v>
      </c>
      <c r="Q76" s="2365" t="e">
        <f ca="1">Q66+Q67</f>
        <v>#VALUE!</v>
      </c>
      <c r="R76" s="236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25" sqref="F25"/>
    </sheetView>
  </sheetViews>
  <sheetFormatPr defaultRowHeight="13.5"/>
  <cols>
    <col min="1" max="1" width="10.5" customWidth="1"/>
    <col min="2" max="2" width="12.875" customWidth="1"/>
    <col min="3" max="3" width="8.75" customWidth="1"/>
  </cols>
  <sheetData>
    <row r="1" spans="1:9" ht="14.25">
      <c r="A1" s="3512" t="s">
        <v>2471</v>
      </c>
      <c r="B1" s="3513"/>
      <c r="C1" s="3514"/>
      <c r="D1" s="3515">
        <f>SUM(I10,I15,I20,I21,I23)</f>
        <v>0</v>
      </c>
      <c r="E1" s="3515"/>
      <c r="F1" s="3515"/>
      <c r="G1" s="3515"/>
      <c r="H1" s="3515"/>
      <c r="I1" s="3516"/>
    </row>
    <row r="2" spans="1:9">
      <c r="A2" s="3502" t="s">
        <v>2472</v>
      </c>
      <c r="B2" s="3503" t="s">
        <v>2473</v>
      </c>
      <c r="C2" s="3503"/>
      <c r="D2" s="2472" t="s">
        <v>2474</v>
      </c>
      <c r="E2" s="2472" t="s">
        <v>2475</v>
      </c>
      <c r="F2" s="2472" t="s">
        <v>2476</v>
      </c>
      <c r="G2" s="2472" t="s">
        <v>2477</v>
      </c>
      <c r="H2" s="2472" t="s">
        <v>2478</v>
      </c>
      <c r="I2" s="2473" t="s">
        <v>2479</v>
      </c>
    </row>
    <row r="3" spans="1:9">
      <c r="A3" s="3502"/>
      <c r="B3" s="3503" t="s">
        <v>2480</v>
      </c>
      <c r="C3" s="3503"/>
      <c r="D3" s="2474"/>
      <c r="E3" s="2472"/>
      <c r="F3" s="2475"/>
      <c r="G3" s="2475"/>
      <c r="H3" s="2476"/>
      <c r="I3" s="2477">
        <f>ROUND(D3*E3*F3*G3*H3/10000,0)</f>
        <v>0</v>
      </c>
    </row>
    <row r="4" spans="1:9">
      <c r="A4" s="3502"/>
      <c r="B4" s="3503" t="s">
        <v>2481</v>
      </c>
      <c r="C4" s="3503"/>
      <c r="D4" s="2474"/>
      <c r="E4" s="2472"/>
      <c r="F4" s="2475"/>
      <c r="G4" s="2475"/>
      <c r="H4" s="2476"/>
      <c r="I4" s="2477">
        <f t="shared" ref="I4:I9" si="0">ROUND(D4*E4*F4*G4*H4/10000,0)</f>
        <v>0</v>
      </c>
    </row>
    <row r="5" spans="1:9">
      <c r="A5" s="3502"/>
      <c r="B5" s="3503" t="s">
        <v>2482</v>
      </c>
      <c r="C5" s="3503"/>
      <c r="D5" s="2474"/>
      <c r="E5" s="2472"/>
      <c r="F5" s="2475"/>
      <c r="G5" s="2475"/>
      <c r="H5" s="2476"/>
      <c r="I5" s="2477">
        <f t="shared" si="0"/>
        <v>0</v>
      </c>
    </row>
    <row r="6" spans="1:9">
      <c r="A6" s="3502"/>
      <c r="B6" s="3503" t="s">
        <v>2483</v>
      </c>
      <c r="C6" s="3503"/>
      <c r="D6" s="2474"/>
      <c r="E6" s="2472"/>
      <c r="F6" s="2475"/>
      <c r="G6" s="2475"/>
      <c r="H6" s="2476"/>
      <c r="I6" s="2477">
        <f t="shared" si="0"/>
        <v>0</v>
      </c>
    </row>
    <row r="7" spans="1:9">
      <c r="A7" s="3502"/>
      <c r="B7" s="3503" t="s">
        <v>2484</v>
      </c>
      <c r="C7" s="3503"/>
      <c r="D7" s="2474"/>
      <c r="E7" s="2472"/>
      <c r="F7" s="2475"/>
      <c r="G7" s="2475"/>
      <c r="H7" s="2476"/>
      <c r="I7" s="2477">
        <f t="shared" si="0"/>
        <v>0</v>
      </c>
    </row>
    <row r="8" spans="1:9">
      <c r="A8" s="3502"/>
      <c r="B8" s="3503" t="s">
        <v>2485</v>
      </c>
      <c r="C8" s="3503"/>
      <c r="D8" s="2474"/>
      <c r="E8" s="2472"/>
      <c r="F8" s="2475"/>
      <c r="G8" s="2475"/>
      <c r="H8" s="2476"/>
      <c r="I8" s="2477">
        <f t="shared" si="0"/>
        <v>0</v>
      </c>
    </row>
    <row r="9" spans="1:9">
      <c r="A9" s="3502"/>
      <c r="B9" s="3503" t="s">
        <v>2486</v>
      </c>
      <c r="C9" s="3503"/>
      <c r="D9" s="2474"/>
      <c r="E9" s="2472"/>
      <c r="F9" s="2475"/>
      <c r="G9" s="2475"/>
      <c r="H9" s="2476"/>
      <c r="I9" s="2477">
        <f t="shared" si="0"/>
        <v>0</v>
      </c>
    </row>
    <row r="10" spans="1:9">
      <c r="A10" s="3502"/>
      <c r="B10" s="3504" t="s">
        <v>2487</v>
      </c>
      <c r="C10" s="3504"/>
      <c r="D10" s="2478">
        <v>527</v>
      </c>
      <c r="E10" s="2478" t="e">
        <f>ROUND(D1*10000/D10/H9,0)</f>
        <v>#DIV/0!</v>
      </c>
      <c r="F10" s="2479"/>
      <c r="G10" s="2479"/>
      <c r="H10" s="2480"/>
      <c r="I10" s="2481">
        <f>SUM(I3:I9)</f>
        <v>0</v>
      </c>
    </row>
    <row r="11" spans="1:9" ht="14.25">
      <c r="A11" s="3502" t="s">
        <v>2488</v>
      </c>
      <c r="B11" s="3503" t="s">
        <v>2489</v>
      </c>
      <c r="C11" s="3503"/>
      <c r="D11" s="2474" t="s">
        <v>2490</v>
      </c>
      <c r="E11" s="2474" t="s">
        <v>2491</v>
      </c>
      <c r="F11" s="2475" t="s">
        <v>2492</v>
      </c>
      <c r="G11" s="2475" t="s">
        <v>2493</v>
      </c>
      <c r="H11" s="2482" t="s">
        <v>2494</v>
      </c>
      <c r="I11" s="2473" t="s">
        <v>2495</v>
      </c>
    </row>
    <row r="12" spans="1:9">
      <c r="A12" s="3502"/>
      <c r="B12" s="3503" t="s">
        <v>2496</v>
      </c>
      <c r="C12" s="3503"/>
      <c r="D12" s="2474"/>
      <c r="E12" s="2474"/>
      <c r="F12" s="2475"/>
      <c r="G12" s="2476"/>
      <c r="H12" s="2483"/>
      <c r="I12" s="2473">
        <f>ROUND(D12*E12*F12*G12/10000,0)</f>
        <v>0</v>
      </c>
    </row>
    <row r="13" spans="1:9">
      <c r="A13" s="3502"/>
      <c r="B13" s="3503" t="s">
        <v>2497</v>
      </c>
      <c r="C13" s="3503"/>
      <c r="D13" s="2474"/>
      <c r="E13" s="2474"/>
      <c r="F13" s="2475"/>
      <c r="G13" s="2476"/>
      <c r="H13" s="2483"/>
      <c r="I13" s="2473">
        <f>ROUND(D13*E13*F13*G13/10000,0)</f>
        <v>0</v>
      </c>
    </row>
    <row r="14" spans="1:9">
      <c r="A14" s="3502"/>
      <c r="B14" s="3503" t="s">
        <v>2498</v>
      </c>
      <c r="C14" s="3503"/>
      <c r="D14" s="2474"/>
      <c r="E14" s="2474"/>
      <c r="F14" s="2475"/>
      <c r="G14" s="2476"/>
      <c r="H14" s="2483"/>
      <c r="I14" s="2473">
        <f>ROUND(D14*E14*F14*G14/10000,0)</f>
        <v>0</v>
      </c>
    </row>
    <row r="15" spans="1:9">
      <c r="A15" s="3502"/>
      <c r="B15" s="3504" t="s">
        <v>2487</v>
      </c>
      <c r="C15" s="3504"/>
      <c r="D15" s="2478"/>
      <c r="E15" s="2478">
        <f>SUM(E12:E14)</f>
        <v>0</v>
      </c>
      <c r="F15" s="2479"/>
      <c r="G15" s="2476"/>
      <c r="H15" s="2483"/>
      <c r="I15" s="2484">
        <f>SUM(I12:I14)</f>
        <v>0</v>
      </c>
    </row>
    <row r="16" spans="1:9" ht="24">
      <c r="A16" s="3502" t="s">
        <v>2499</v>
      </c>
      <c r="B16" s="3503" t="s">
        <v>2500</v>
      </c>
      <c r="C16" s="3503"/>
      <c r="D16" s="2474" t="s">
        <v>2501</v>
      </c>
      <c r="E16" s="2485" t="s">
        <v>2502</v>
      </c>
      <c r="F16" s="2475" t="s">
        <v>2503</v>
      </c>
      <c r="G16" s="2476" t="s">
        <v>2493</v>
      </c>
      <c r="H16" s="2482" t="s">
        <v>2494</v>
      </c>
      <c r="I16" s="2473" t="s">
        <v>2495</v>
      </c>
    </row>
    <row r="17" spans="1:9" ht="14.25">
      <c r="A17" s="3502"/>
      <c r="B17" s="3503" t="s">
        <v>2504</v>
      </c>
      <c r="C17" s="3503"/>
      <c r="D17" s="2474"/>
      <c r="E17" s="2474"/>
      <c r="F17" s="2475"/>
      <c r="G17" s="2476"/>
      <c r="H17" s="2486"/>
      <c r="I17" s="2487">
        <f>ROUND(D17*E17*F17*G17/10000,0)</f>
        <v>0</v>
      </c>
    </row>
    <row r="18" spans="1:9" ht="14.25">
      <c r="A18" s="3502"/>
      <c r="B18" s="3503" t="s">
        <v>2505</v>
      </c>
      <c r="C18" s="3503"/>
      <c r="D18" s="2474"/>
      <c r="E18" s="2474"/>
      <c r="F18" s="2475"/>
      <c r="G18" s="2476"/>
      <c r="H18" s="2486"/>
      <c r="I18" s="2487">
        <f>ROUND(D18*E18*F18*G18/10000,0)</f>
        <v>0</v>
      </c>
    </row>
    <row r="19" spans="1:9" ht="14.25">
      <c r="A19" s="3502"/>
      <c r="B19" s="3503" t="s">
        <v>2506</v>
      </c>
      <c r="C19" s="3503"/>
      <c r="D19" s="2474"/>
      <c r="E19" s="2474"/>
      <c r="F19" s="2475"/>
      <c r="G19" s="2476"/>
      <c r="H19" s="2486"/>
      <c r="I19" s="2487">
        <f>ROUND(D19*E19*F19*G19/10000,0)</f>
        <v>0</v>
      </c>
    </row>
    <row r="20" spans="1:9">
      <c r="A20" s="3502"/>
      <c r="B20" s="3504" t="s">
        <v>2487</v>
      </c>
      <c r="C20" s="3504"/>
      <c r="D20" s="2478">
        <f>SUM(D17:D19)</f>
        <v>0</v>
      </c>
      <c r="E20" s="2478"/>
      <c r="F20" s="2479"/>
      <c r="G20" s="2476"/>
      <c r="H20" s="2483"/>
      <c r="I20" s="2484">
        <f>SUM(I17:I19)</f>
        <v>0</v>
      </c>
    </row>
    <row r="21" spans="1:9">
      <c r="A21" s="3502" t="s">
        <v>2507</v>
      </c>
      <c r="B21" s="3505"/>
      <c r="C21" s="3505"/>
      <c r="D21" s="3505"/>
      <c r="E21" s="3505"/>
      <c r="F21" s="3505"/>
      <c r="G21" s="3505"/>
      <c r="H21" s="2488">
        <v>0.1</v>
      </c>
      <c r="I21" s="2481">
        <f>ROUND(I10*H21,0)</f>
        <v>0</v>
      </c>
    </row>
    <row r="22" spans="1:9" ht="14.25">
      <c r="A22" s="3506" t="s">
        <v>2508</v>
      </c>
      <c r="B22" s="3507"/>
      <c r="C22" s="3508"/>
      <c r="D22" s="2489" t="s">
        <v>2509</v>
      </c>
      <c r="E22" s="2489" t="s">
        <v>2510</v>
      </c>
      <c r="F22" s="2490" t="s">
        <v>2511</v>
      </c>
      <c r="G22" s="2490" t="s">
        <v>2512</v>
      </c>
      <c r="H22" s="2482" t="s">
        <v>2513</v>
      </c>
      <c r="I22" s="2473" t="s">
        <v>2514</v>
      </c>
    </row>
    <row r="23" spans="1:9" ht="14.25" thickBot="1">
      <c r="A23" s="3509"/>
      <c r="B23" s="3510"/>
      <c r="C23" s="3511"/>
      <c r="D23" s="2491"/>
      <c r="E23" s="2491"/>
      <c r="F23" s="2491"/>
      <c r="G23" s="2492"/>
      <c r="H23" s="2493"/>
      <c r="I23" s="2494">
        <f>ROUND(E23*D23*F23*(1-G23)/10000,0)</f>
        <v>0</v>
      </c>
    </row>
    <row r="26" spans="1:9">
      <c r="A26" s="2495" t="s">
        <v>2515</v>
      </c>
      <c r="B26" s="2495"/>
      <c r="C26" s="2495"/>
      <c r="D26" s="2495"/>
      <c r="E26" s="3499">
        <f>C27-C30-C31-C32</f>
        <v>0</v>
      </c>
      <c r="F26" s="3499"/>
      <c r="G26" s="3499"/>
      <c r="H26" s="2995" t="s">
        <v>2843</v>
      </c>
    </row>
    <row r="27" spans="1:9">
      <c r="A27" s="2496">
        <v>1</v>
      </c>
      <c r="B27" s="2497" t="s">
        <v>2516</v>
      </c>
      <c r="C27" s="2497"/>
      <c r="D27" s="2497"/>
      <c r="E27" s="3500"/>
      <c r="F27" s="3500"/>
      <c r="G27" s="3500"/>
    </row>
    <row r="28" spans="1:9">
      <c r="A28" s="2498" t="s">
        <v>2517</v>
      </c>
      <c r="B28" s="2497" t="s">
        <v>2518</v>
      </c>
      <c r="C28" s="2497"/>
      <c r="D28" s="2497"/>
      <c r="E28" s="3500"/>
      <c r="F28" s="3500"/>
      <c r="G28" s="3500"/>
    </row>
    <row r="29" spans="1:9">
      <c r="A29" s="2498" t="s">
        <v>2519</v>
      </c>
      <c r="B29" s="2497" t="s">
        <v>2460</v>
      </c>
      <c r="C29" s="2497"/>
      <c r="D29" s="2497"/>
      <c r="E29" s="2497" t="s">
        <v>2520</v>
      </c>
      <c r="F29" s="2497"/>
      <c r="G29" s="2497"/>
    </row>
    <row r="30" spans="1:9">
      <c r="A30" s="2496">
        <v>2</v>
      </c>
      <c r="B30" s="2497" t="s">
        <v>2521</v>
      </c>
      <c r="C30" s="2497">
        <f>C27*D30</f>
        <v>0</v>
      </c>
      <c r="D30" s="2499">
        <v>0.2</v>
      </c>
      <c r="E30" s="2497" t="s">
        <v>2522</v>
      </c>
      <c r="F30" s="2497"/>
      <c r="G30" s="2497"/>
    </row>
    <row r="31" spans="1:9">
      <c r="A31" s="2496">
        <v>3</v>
      </c>
      <c r="B31" s="2497" t="s">
        <v>2523</v>
      </c>
      <c r="C31" s="2497">
        <f>C25*D31</f>
        <v>0</v>
      </c>
      <c r="D31" s="2499">
        <v>0.15</v>
      </c>
      <c r="E31" s="2497" t="s">
        <v>2524</v>
      </c>
      <c r="F31" s="2497"/>
      <c r="G31" s="2497"/>
    </row>
    <row r="32" spans="1:9">
      <c r="A32" s="2496">
        <v>4</v>
      </c>
      <c r="B32" s="2497" t="s">
        <v>2525</v>
      </c>
      <c r="C32" s="2497">
        <f>C27*D32</f>
        <v>0</v>
      </c>
      <c r="D32" s="2499">
        <v>0.05</v>
      </c>
      <c r="E32" s="3501"/>
      <c r="F32" s="3501"/>
      <c r="G32" s="3501"/>
    </row>
    <row r="33" spans="1:7" hidden="1">
      <c r="A33" s="3496" t="s">
        <v>2526</v>
      </c>
      <c r="B33" s="3497"/>
      <c r="C33" s="3497"/>
      <c r="D33" s="3498"/>
      <c r="E33" s="3499"/>
      <c r="F33" s="3499"/>
      <c r="G33" s="3499"/>
    </row>
    <row r="34" spans="1:7" hidden="1">
      <c r="A34" s="2500">
        <v>1</v>
      </c>
      <c r="B34" s="2497" t="s">
        <v>2527</v>
      </c>
      <c r="C34" s="2497"/>
      <c r="D34" s="2497"/>
      <c r="E34" s="3500"/>
      <c r="F34" s="3500"/>
      <c r="G34" s="3500"/>
    </row>
    <row r="35" spans="1:7" hidden="1">
      <c r="A35" s="2500">
        <v>2</v>
      </c>
      <c r="B35" s="2497" t="s">
        <v>2528</v>
      </c>
      <c r="C35" s="2497"/>
      <c r="D35" s="2497"/>
      <c r="E35" s="3500"/>
      <c r="F35" s="3500"/>
      <c r="G35" s="3500"/>
    </row>
    <row r="36" spans="1:7" hidden="1">
      <c r="A36" s="2500">
        <v>3</v>
      </c>
      <c r="B36" s="2497" t="s">
        <v>2529</v>
      </c>
      <c r="C36" s="2497"/>
      <c r="D36" s="2497"/>
      <c r="E36" s="3500"/>
      <c r="F36" s="3500"/>
      <c r="G36" s="3500"/>
    </row>
    <row r="37" spans="1:7" hidden="1">
      <c r="A37" s="2500">
        <v>4</v>
      </c>
      <c r="B37" s="2497" t="s">
        <v>2530</v>
      </c>
      <c r="C37" s="2497"/>
      <c r="D37" s="2497"/>
      <c r="E37" s="3500"/>
      <c r="F37" s="3500"/>
      <c r="G37" s="3500"/>
    </row>
    <row r="38" spans="1:7" hidden="1">
      <c r="A38" s="3496" t="s">
        <v>2531</v>
      </c>
      <c r="B38" s="3497"/>
      <c r="C38" s="3497"/>
      <c r="D38" s="3498"/>
      <c r="E38" s="3499"/>
      <c r="F38" s="3499"/>
      <c r="G38" s="349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17" sqref="G17"/>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t="e">
        <f ca="1">C23</f>
        <v>#DIV/0!</v>
      </c>
      <c r="C2" s="2094"/>
      <c r="D2" s="2094"/>
      <c r="E2" s="2094"/>
      <c r="F2" s="2094"/>
      <c r="G2" s="2094"/>
    </row>
    <row r="3" spans="1:25" s="2045" customFormat="1" ht="18" customHeight="1">
      <c r="A3" s="1376" t="s">
        <v>1685</v>
      </c>
      <c r="B3" s="425" t="e">
        <f ca="1">ROUND(B2*10000/'数据-汇总表'!E3,0)</f>
        <v>#DIV/0!</v>
      </c>
      <c r="C3" s="2094"/>
      <c r="D3" s="2094"/>
      <c r="E3" s="2094"/>
      <c r="F3" s="2094"/>
      <c r="G3" s="2094"/>
    </row>
    <row r="4" spans="1:25" s="2045" customFormat="1" ht="18" customHeight="1">
      <c r="A4" s="426" t="s">
        <v>468</v>
      </c>
      <c r="B4" s="427" t="e">
        <f ca="1">ROUND(B2*10000/'数据-汇总表'!D3,0)</f>
        <v>#DIV/0!</v>
      </c>
      <c r="C4" s="2047"/>
      <c r="D4" s="2094"/>
      <c r="E4" s="2094"/>
      <c r="F4" s="2094"/>
      <c r="G4" s="2094"/>
    </row>
    <row r="5" spans="1:25" s="2045" customFormat="1" ht="18" customHeight="1" thickBot="1">
      <c r="A5" s="429"/>
      <c r="B5" s="430" t="e">
        <f ca="1">ROUND(B2/('数据-汇总表'!D3/666.67),0)</f>
        <v>#DIV/0!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10288.000000000002</v>
      </c>
      <c r="E10" s="749">
        <f>'数据-取费表'!B31</f>
        <v>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0</v>
      </c>
      <c r="D12" s="758">
        <f>'数据-汇总表'!E5</f>
        <v>0</v>
      </c>
      <c r="E12" s="757">
        <f>'数据-取费表'!B27</f>
        <v>0</v>
      </c>
      <c r="F12" s="755"/>
      <c r="G12" s="759"/>
    </row>
    <row r="13" spans="1:25" s="2169" customFormat="1" ht="13.5" customHeight="1">
      <c r="A13" s="2441" t="s">
        <v>2447</v>
      </c>
      <c r="B13" s="756" t="s">
        <v>612</v>
      </c>
      <c r="C13" s="757">
        <f>ROUND(D13*E13/10000,0)</f>
        <v>0</v>
      </c>
      <c r="D13" s="758">
        <f>'数据-汇总表'!E6</f>
        <v>10288.000000000002</v>
      </c>
      <c r="E13" s="757">
        <f>'数据-取费表'!B28</f>
        <v>0</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t="e">
        <f>ROUND((C7+C10+C16)*F18,0)</f>
        <v>#DIV/0!</v>
      </c>
      <c r="D18" s="762"/>
      <c r="E18" s="763"/>
      <c r="F18" s="761" t="e">
        <f>'数据-取费表'!Q16</f>
        <v>#DIV/0!</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t="e">
        <f ca="1">C7+C10+C16+C17+C18</f>
        <v>#DIV/0!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t="e">
        <f ca="1">ROUND(C19*F20,0)</f>
        <v>#DIV/0!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t="e">
        <f ca="1">C19+C20</f>
        <v>#DIV/0!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t="e">
        <f ca="1">ROUND(C21*F22,0)</f>
        <v>#DIV/0!</v>
      </c>
      <c r="D22" s="760"/>
      <c r="E22" s="749"/>
      <c r="F22" s="766" t="e">
        <f>'数据-取费表'!AP16</f>
        <v>#DIV/0!</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t="e">
        <f ca="1">C22</f>
        <v>#DIV/0!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420" t="s">
        <v>522</v>
      </c>
      <c r="D4" s="3421"/>
      <c r="E4" s="3444" t="s">
        <v>523</v>
      </c>
      <c r="F4" s="3445"/>
      <c r="G4" s="3420" t="s">
        <v>524</v>
      </c>
      <c r="H4" s="3421"/>
      <c r="I4" s="3420" t="s">
        <v>525</v>
      </c>
      <c r="J4" s="3421"/>
      <c r="K4" s="853" t="s">
        <v>526</v>
      </c>
      <c r="L4" s="2119"/>
      <c r="M4" s="2120"/>
      <c r="N4" s="2120"/>
      <c r="O4" s="2120"/>
      <c r="P4" s="3422" t="s">
        <v>527</v>
      </c>
      <c r="Q4" s="3423"/>
      <c r="R4" s="3408" t="s">
        <v>523</v>
      </c>
      <c r="S4" s="3409"/>
      <c r="T4" s="3408" t="s">
        <v>524</v>
      </c>
      <c r="U4" s="3409"/>
      <c r="V4" s="3428" t="s">
        <v>525</v>
      </c>
      <c r="W4" s="3428"/>
      <c r="X4" s="1554"/>
      <c r="Y4" s="3408" t="s">
        <v>527</v>
      </c>
      <c r="Z4" s="3409"/>
      <c r="AA4" s="3403" t="s">
        <v>523</v>
      </c>
      <c r="AB4" s="3403" t="s">
        <v>524</v>
      </c>
      <c r="AC4" s="3403" t="s">
        <v>525</v>
      </c>
    </row>
    <row r="5" spans="1:29" ht="15">
      <c r="A5" s="515"/>
      <c r="B5" s="516"/>
      <c r="C5" s="3431" t="s">
        <v>2931</v>
      </c>
      <c r="D5" s="3432"/>
      <c r="E5" s="3446" t="s">
        <v>2932</v>
      </c>
      <c r="F5" s="3447"/>
      <c r="G5" s="3431" t="s">
        <v>2933</v>
      </c>
      <c r="H5" s="3432"/>
      <c r="I5" s="3431" t="s">
        <v>2934</v>
      </c>
      <c r="J5" s="3432"/>
      <c r="K5" s="854"/>
      <c r="L5" s="2119"/>
      <c r="M5" s="2120"/>
      <c r="N5" s="2120"/>
      <c r="O5" s="2120"/>
      <c r="P5" s="3424"/>
      <c r="Q5" s="3425"/>
      <c r="R5" s="3410"/>
      <c r="S5" s="3411"/>
      <c r="T5" s="3410"/>
      <c r="U5" s="3411"/>
      <c r="V5" s="3428"/>
      <c r="W5" s="3428"/>
      <c r="X5" s="1554"/>
      <c r="Y5" s="3410"/>
      <c r="Z5" s="3411"/>
      <c r="AA5" s="3404"/>
      <c r="AB5" s="3404"/>
      <c r="AC5" s="3404"/>
    </row>
    <row r="6" spans="1:29" ht="15.75" thickBot="1">
      <c r="A6" s="517"/>
      <c r="B6" s="518"/>
      <c r="C6" s="3429" t="s">
        <v>2935</v>
      </c>
      <c r="D6" s="3430"/>
      <c r="E6" s="3448" t="s">
        <v>2935</v>
      </c>
      <c r="F6" s="3449"/>
      <c r="G6" s="3429" t="s">
        <v>2935</v>
      </c>
      <c r="H6" s="3430"/>
      <c r="I6" s="3429" t="s">
        <v>2935</v>
      </c>
      <c r="J6" s="3430"/>
      <c r="K6" s="854" t="s">
        <v>528</v>
      </c>
      <c r="L6" s="2119"/>
      <c r="M6" s="2120"/>
      <c r="N6" s="2120"/>
      <c r="O6" s="2120"/>
      <c r="P6" s="3426"/>
      <c r="Q6" s="3427"/>
      <c r="R6" s="3410"/>
      <c r="S6" s="3411"/>
      <c r="T6" s="3412"/>
      <c r="U6" s="3413"/>
      <c r="V6" s="3428"/>
      <c r="W6" s="3428"/>
      <c r="X6" s="1554"/>
      <c r="Y6" s="3412"/>
      <c r="Z6" s="3413"/>
      <c r="AA6" s="3405"/>
      <c r="AB6" s="3405"/>
      <c r="AC6" s="3405"/>
    </row>
    <row r="7" spans="1:29" s="1216" customFormat="1" ht="15.75" thickBot="1">
      <c r="A7" s="2868"/>
      <c r="B7" s="2875" t="s">
        <v>529</v>
      </c>
      <c r="C7" s="519">
        <f>'数据-取费表'!B2</f>
        <v>44435</v>
      </c>
      <c r="D7" s="520">
        <v>100</v>
      </c>
      <c r="E7" s="521"/>
      <c r="F7" s="522">
        <f>SUMIF(58:58,YEAR(E7)&amp;"-"&amp;MONTH(E7),59:59)</f>
        <v>0</v>
      </c>
      <c r="G7" s="523"/>
      <c r="H7" s="520">
        <f>SUMIF(58:58,YEAR(G7)&amp;"-"&amp;MONTH(G7),59:59)</f>
        <v>0</v>
      </c>
      <c r="I7" s="523"/>
      <c r="J7" s="520">
        <f>SUMIF(58:58,YEAR(I7)&amp;"-"&amp;MONTH(I7),59:59)</f>
        <v>0</v>
      </c>
      <c r="K7" s="855"/>
      <c r="L7" s="2121"/>
      <c r="M7" s="2122"/>
      <c r="N7" s="2122"/>
      <c r="O7" s="2122"/>
      <c r="P7" s="3406" t="s">
        <v>530</v>
      </c>
      <c r="Q7" s="3415"/>
      <c r="R7" s="1555" t="s">
        <v>13</v>
      </c>
      <c r="S7" s="1556">
        <f t="shared" ref="S7:S15" si="0">F7</f>
        <v>0</v>
      </c>
      <c r="T7" s="1555" t="s">
        <v>13</v>
      </c>
      <c r="U7" s="1556">
        <f t="shared" ref="U7:U15" si="1">H7</f>
        <v>0</v>
      </c>
      <c r="V7" s="1555" t="s">
        <v>13</v>
      </c>
      <c r="W7" s="1556">
        <f t="shared" ref="W7:W15" si="2">J7</f>
        <v>0</v>
      </c>
      <c r="X7" s="1557"/>
      <c r="Y7" s="3406" t="s">
        <v>530</v>
      </c>
      <c r="Z7" s="3407"/>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406" t="s">
        <v>533</v>
      </c>
      <c r="Q8" s="3407"/>
      <c r="R8" s="1555" t="s">
        <v>13</v>
      </c>
      <c r="S8" s="1556">
        <f t="shared" si="0"/>
        <v>0</v>
      </c>
      <c r="T8" s="1555" t="s">
        <v>13</v>
      </c>
      <c r="U8" s="1556">
        <f t="shared" si="1"/>
        <v>0</v>
      </c>
      <c r="V8" s="1555" t="s">
        <v>13</v>
      </c>
      <c r="W8" s="1556">
        <f t="shared" si="2"/>
        <v>0</v>
      </c>
      <c r="X8" s="1557"/>
      <c r="Y8" s="3406" t="s">
        <v>533</v>
      </c>
      <c r="Z8" s="3407"/>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414" t="s">
        <v>535</v>
      </c>
      <c r="Q9" s="1147" t="str">
        <f t="shared" ref="Q9:Q15" si="6">B9</f>
        <v>用途</v>
      </c>
      <c r="R9" s="1555" t="s">
        <v>8</v>
      </c>
      <c r="S9" s="1556">
        <f t="shared" si="0"/>
        <v>100</v>
      </c>
      <c r="T9" s="1555" t="s">
        <v>8</v>
      </c>
      <c r="U9" s="1556">
        <f t="shared" si="1"/>
        <v>100</v>
      </c>
      <c r="V9" s="1555" t="s">
        <v>8</v>
      </c>
      <c r="W9" s="1556">
        <f t="shared" si="2"/>
        <v>100</v>
      </c>
      <c r="X9" s="1557"/>
      <c r="Y9" s="3371"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414"/>
      <c r="Q10" s="1147" t="str">
        <f t="shared" si="6"/>
        <v>土地使用年限（年）</v>
      </c>
      <c r="R10" s="1555" t="s">
        <v>8</v>
      </c>
      <c r="S10" s="1556">
        <f t="shared" si="0"/>
        <v>100</v>
      </c>
      <c r="T10" s="1555" t="s">
        <v>8</v>
      </c>
      <c r="U10" s="1556">
        <f t="shared" si="1"/>
        <v>100</v>
      </c>
      <c r="V10" s="1555" t="s">
        <v>8</v>
      </c>
      <c r="W10" s="1556">
        <f t="shared" si="2"/>
        <v>100</v>
      </c>
      <c r="X10" s="1557"/>
      <c r="Y10" s="3371"/>
      <c r="Z10" s="1146" t="str">
        <f t="shared" si="7"/>
        <v>土地使用年限（年）</v>
      </c>
      <c r="AA10" s="1558">
        <f t="shared" si="3"/>
        <v>1</v>
      </c>
      <c r="AB10" s="1558">
        <f t="shared" si="4"/>
        <v>1</v>
      </c>
      <c r="AC10" s="1558">
        <f t="shared" si="5"/>
        <v>1</v>
      </c>
    </row>
    <row r="11" spans="1:29" ht="15">
      <c r="A11" s="2872"/>
      <c r="B11" s="2876"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414"/>
      <c r="Q11" s="1147" t="str">
        <f t="shared" si="6"/>
        <v>容积率</v>
      </c>
      <c r="R11" s="1555" t="s">
        <v>11</v>
      </c>
      <c r="S11" s="1556" t="e">
        <f t="shared" si="0"/>
        <v>#N/A</v>
      </c>
      <c r="T11" s="1555" t="s">
        <v>11</v>
      </c>
      <c r="U11" s="1556" t="e">
        <f t="shared" si="1"/>
        <v>#N/A</v>
      </c>
      <c r="V11" s="1555" t="s">
        <v>11</v>
      </c>
      <c r="W11" s="1556" t="e">
        <f t="shared" si="2"/>
        <v>#N/A</v>
      </c>
      <c r="X11" s="1557"/>
      <c r="Y11" s="337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414"/>
      <c r="Q12" s="1147">
        <f t="shared" si="6"/>
        <v>111</v>
      </c>
      <c r="R12" s="1555" t="s">
        <v>11</v>
      </c>
      <c r="S12" s="1556">
        <f t="shared" si="0"/>
        <v>100</v>
      </c>
      <c r="T12" s="1555" t="s">
        <v>11</v>
      </c>
      <c r="U12" s="1556">
        <f t="shared" si="1"/>
        <v>100</v>
      </c>
      <c r="V12" s="1555" t="s">
        <v>11</v>
      </c>
      <c r="W12" s="1556">
        <f t="shared" si="2"/>
        <v>100</v>
      </c>
      <c r="X12" s="1557"/>
      <c r="Y12" s="3371"/>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414"/>
      <c r="Q13" s="1147">
        <f t="shared" si="6"/>
        <v>111</v>
      </c>
      <c r="R13" s="1555" t="s">
        <v>11</v>
      </c>
      <c r="S13" s="1556">
        <f t="shared" si="0"/>
        <v>100</v>
      </c>
      <c r="T13" s="1555" t="s">
        <v>11</v>
      </c>
      <c r="U13" s="1556">
        <f t="shared" si="1"/>
        <v>100</v>
      </c>
      <c r="V13" s="1555" t="s">
        <v>11</v>
      </c>
      <c r="W13" s="1556">
        <f t="shared" si="2"/>
        <v>100</v>
      </c>
      <c r="X13" s="1557"/>
      <c r="Y13" s="3371"/>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414"/>
      <c r="Q14" s="1147">
        <f t="shared" si="6"/>
        <v>111</v>
      </c>
      <c r="R14" s="1555" t="s">
        <v>11</v>
      </c>
      <c r="S14" s="1556">
        <f t="shared" si="0"/>
        <v>100</v>
      </c>
      <c r="T14" s="1555" t="s">
        <v>11</v>
      </c>
      <c r="U14" s="1556">
        <f t="shared" si="1"/>
        <v>100</v>
      </c>
      <c r="V14" s="1555" t="s">
        <v>11</v>
      </c>
      <c r="W14" s="1556">
        <f t="shared" si="2"/>
        <v>100</v>
      </c>
      <c r="X14" s="1557"/>
      <c r="Y14" s="3371"/>
      <c r="Z14" s="1146">
        <f t="shared" si="7"/>
        <v>111</v>
      </c>
      <c r="AA14" s="1558">
        <f t="shared" si="3"/>
        <v>1</v>
      </c>
      <c r="AB14" s="1558">
        <f t="shared" si="4"/>
        <v>1</v>
      </c>
      <c r="AC14" s="1558">
        <f t="shared" si="5"/>
        <v>1</v>
      </c>
    </row>
    <row r="15" spans="1:29" ht="99.75">
      <c r="A15" s="2866"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416" t="s">
        <v>540</v>
      </c>
      <c r="Q15" s="1559" t="str">
        <f t="shared" si="6"/>
        <v>居住社区成熟度</v>
      </c>
      <c r="R15" s="1560" t="s">
        <v>11</v>
      </c>
      <c r="S15" s="1561">
        <f t="shared" si="0"/>
        <v>100</v>
      </c>
      <c r="T15" s="1560" t="s">
        <v>11</v>
      </c>
      <c r="U15" s="1561">
        <f t="shared" si="1"/>
        <v>100</v>
      </c>
      <c r="V15" s="1560" t="s">
        <v>11</v>
      </c>
      <c r="W15" s="1561">
        <f t="shared" si="2"/>
        <v>100</v>
      </c>
      <c r="X15" s="1554"/>
      <c r="Y15" s="3416"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417"/>
      <c r="Q16" s="1559"/>
      <c r="R16" s="1560"/>
      <c r="S16" s="1561"/>
      <c r="T16" s="1560"/>
      <c r="U16" s="1561"/>
      <c r="V16" s="1560"/>
      <c r="W16" s="1561"/>
      <c r="X16" s="1554"/>
      <c r="Y16" s="3417"/>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417"/>
      <c r="Q17" s="1559" t="str">
        <f>B17</f>
        <v>交通便捷度</v>
      </c>
      <c r="R17" s="1560" t="s">
        <v>11</v>
      </c>
      <c r="S17" s="1561">
        <f>F17</f>
        <v>100</v>
      </c>
      <c r="T17" s="1560" t="s">
        <v>11</v>
      </c>
      <c r="U17" s="1561">
        <f>H17</f>
        <v>100</v>
      </c>
      <c r="V17" s="1560" t="s">
        <v>11</v>
      </c>
      <c r="W17" s="1561">
        <f>J17</f>
        <v>100</v>
      </c>
      <c r="X17" s="1554"/>
      <c r="Y17" s="3417"/>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417"/>
      <c r="Q18" s="1559"/>
      <c r="R18" s="1560"/>
      <c r="S18" s="1561"/>
      <c r="T18" s="1560"/>
      <c r="U18" s="1561"/>
      <c r="V18" s="1560"/>
      <c r="W18" s="1561"/>
      <c r="X18" s="1554"/>
      <c r="Y18" s="3417"/>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417"/>
      <c r="Q19" s="1559" t="str">
        <f>B19</f>
        <v>公共配套设施</v>
      </c>
      <c r="R19" s="1560" t="s">
        <v>11</v>
      </c>
      <c r="S19" s="1561">
        <f>F19</f>
        <v>100</v>
      </c>
      <c r="T19" s="1560" t="s">
        <v>11</v>
      </c>
      <c r="U19" s="1561">
        <f>H19</f>
        <v>100</v>
      </c>
      <c r="V19" s="1560" t="s">
        <v>11</v>
      </c>
      <c r="W19" s="1561">
        <f>J19</f>
        <v>100</v>
      </c>
      <c r="X19" s="1554"/>
      <c r="Y19" s="3417"/>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417"/>
      <c r="Q20" s="1559"/>
      <c r="R20" s="1560"/>
      <c r="S20" s="1561"/>
      <c r="T20" s="1560"/>
      <c r="U20" s="1561"/>
      <c r="V20" s="1560"/>
      <c r="W20" s="1561"/>
      <c r="X20" s="1554"/>
      <c r="Y20" s="3417"/>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417"/>
      <c r="Q21" s="2544" t="str">
        <f>B21</f>
        <v>基础设施水平</v>
      </c>
      <c r="R21" s="1560" t="s">
        <v>11</v>
      </c>
      <c r="S21" s="1561">
        <f>F21</f>
        <v>100</v>
      </c>
      <c r="T21" s="1560" t="s">
        <v>11</v>
      </c>
      <c r="U21" s="1561">
        <f>H21</f>
        <v>100</v>
      </c>
      <c r="V21" s="1560" t="s">
        <v>11</v>
      </c>
      <c r="W21" s="1561">
        <f>J21</f>
        <v>100</v>
      </c>
      <c r="X21" s="2546"/>
      <c r="Y21" s="3417"/>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417"/>
      <c r="Q22" s="2544"/>
      <c r="R22" s="1560"/>
      <c r="S22" s="1561"/>
      <c r="T22" s="1560"/>
      <c r="U22" s="1561"/>
      <c r="V22" s="1560"/>
      <c r="W22" s="1561"/>
      <c r="X22" s="2546"/>
      <c r="Y22" s="3417"/>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417"/>
      <c r="Q23" s="1559" t="str">
        <f>B23</f>
        <v>自然及人文环境</v>
      </c>
      <c r="R23" s="1560" t="s">
        <v>11</v>
      </c>
      <c r="S23" s="1561">
        <f>F23</f>
        <v>100</v>
      </c>
      <c r="T23" s="1560" t="s">
        <v>11</v>
      </c>
      <c r="U23" s="1561">
        <f>H23</f>
        <v>100</v>
      </c>
      <c r="V23" s="1560" t="s">
        <v>11</v>
      </c>
      <c r="W23" s="1561">
        <f>J23</f>
        <v>100</v>
      </c>
      <c r="X23" s="1554"/>
      <c r="Y23" s="3417"/>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417"/>
      <c r="Q24" s="1559"/>
      <c r="R24" s="1560"/>
      <c r="S24" s="1561"/>
      <c r="T24" s="1560"/>
      <c r="U24" s="1561"/>
      <c r="V24" s="1560"/>
      <c r="W24" s="1561"/>
      <c r="X24" s="1554"/>
      <c r="Y24" s="3417"/>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17"/>
      <c r="Q25" s="1559" t="str">
        <f t="shared" ref="Q25:Q46" si="11">B25</f>
        <v>楼层-1</v>
      </c>
      <c r="R25" s="1560" t="s">
        <v>11</v>
      </c>
      <c r="S25" s="1561">
        <f>F25</f>
        <v>100</v>
      </c>
      <c r="T25" s="1560" t="s">
        <v>11</v>
      </c>
      <c r="U25" s="1561">
        <f>H25</f>
        <v>100</v>
      </c>
      <c r="V25" s="1560" t="s">
        <v>11</v>
      </c>
      <c r="W25" s="1561">
        <f>J25</f>
        <v>100</v>
      </c>
      <c r="X25" s="1554"/>
      <c r="Y25" s="3417"/>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17"/>
      <c r="Q26" s="1559" t="str">
        <f t="shared" si="11"/>
        <v>朝向</v>
      </c>
      <c r="R26" s="1560" t="s">
        <v>11</v>
      </c>
      <c r="S26" s="1561">
        <f>F26</f>
        <v>100</v>
      </c>
      <c r="T26" s="1560" t="s">
        <v>11</v>
      </c>
      <c r="U26" s="1561">
        <f>H26</f>
        <v>100</v>
      </c>
      <c r="V26" s="1560" t="s">
        <v>11</v>
      </c>
      <c r="W26" s="1561">
        <f>J26</f>
        <v>100</v>
      </c>
      <c r="X26" s="1554"/>
      <c r="Y26" s="3417"/>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17"/>
      <c r="Q27" s="1147" t="str">
        <f t="shared" si="11"/>
        <v>道路级别</v>
      </c>
      <c r="R27" s="1555" t="s">
        <v>11</v>
      </c>
      <c r="S27" s="1556">
        <f>F27</f>
        <v>100</v>
      </c>
      <c r="T27" s="1555" t="s">
        <v>11</v>
      </c>
      <c r="U27" s="1556">
        <f>H27</f>
        <v>100</v>
      </c>
      <c r="V27" s="1555" t="s">
        <v>11</v>
      </c>
      <c r="W27" s="1556">
        <f>J27</f>
        <v>100</v>
      </c>
      <c r="X27" s="1557"/>
      <c r="Y27" s="3417"/>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17"/>
      <c r="Q28" s="1559">
        <f t="shared" si="11"/>
        <v>111</v>
      </c>
      <c r="R28" s="1560" t="s">
        <v>11</v>
      </c>
      <c r="S28" s="1561">
        <f t="shared" ref="S28:S46" si="12">F28</f>
        <v>100</v>
      </c>
      <c r="T28" s="1560" t="s">
        <v>11</v>
      </c>
      <c r="U28" s="1561">
        <f t="shared" ref="U28:U46" si="13">H28</f>
        <v>100</v>
      </c>
      <c r="V28" s="1560" t="s">
        <v>11</v>
      </c>
      <c r="W28" s="1561">
        <f t="shared" ref="W28:W46" si="14">J28</f>
        <v>100</v>
      </c>
      <c r="X28" s="1554"/>
      <c r="Y28" s="3417"/>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17"/>
      <c r="Q29" s="1559">
        <f t="shared" si="11"/>
        <v>111</v>
      </c>
      <c r="R29" s="1560" t="s">
        <v>11</v>
      </c>
      <c r="S29" s="1561">
        <f t="shared" si="12"/>
        <v>100</v>
      </c>
      <c r="T29" s="1560" t="s">
        <v>11</v>
      </c>
      <c r="U29" s="1561">
        <f t="shared" si="13"/>
        <v>100</v>
      </c>
      <c r="V29" s="1560" t="s">
        <v>11</v>
      </c>
      <c r="W29" s="1561">
        <f t="shared" si="14"/>
        <v>100</v>
      </c>
      <c r="X29" s="1554"/>
      <c r="Y29" s="3417"/>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17"/>
      <c r="Q30" s="1559">
        <f t="shared" si="11"/>
        <v>111</v>
      </c>
      <c r="R30" s="1560" t="s">
        <v>11</v>
      </c>
      <c r="S30" s="1561">
        <f t="shared" si="12"/>
        <v>100</v>
      </c>
      <c r="T30" s="1560" t="s">
        <v>11</v>
      </c>
      <c r="U30" s="1561">
        <f t="shared" si="13"/>
        <v>100</v>
      </c>
      <c r="V30" s="1560" t="s">
        <v>11</v>
      </c>
      <c r="W30" s="1561">
        <f t="shared" si="14"/>
        <v>100</v>
      </c>
      <c r="X30" s="1554"/>
      <c r="Y30" s="3417"/>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17"/>
      <c r="Q31" s="1559">
        <f t="shared" si="11"/>
        <v>111</v>
      </c>
      <c r="R31" s="1560" t="s">
        <v>11</v>
      </c>
      <c r="S31" s="1561">
        <f t="shared" si="12"/>
        <v>100</v>
      </c>
      <c r="T31" s="1560" t="s">
        <v>11</v>
      </c>
      <c r="U31" s="1561">
        <f t="shared" si="13"/>
        <v>100</v>
      </c>
      <c r="V31" s="1560" t="s">
        <v>11</v>
      </c>
      <c r="W31" s="1561">
        <f t="shared" si="14"/>
        <v>100</v>
      </c>
      <c r="X31" s="1554"/>
      <c r="Y31" s="3417"/>
      <c r="Z31" s="1562">
        <f t="shared" si="15"/>
        <v>111</v>
      </c>
      <c r="AA31" s="1563">
        <f t="shared" si="3"/>
        <v>1</v>
      </c>
      <c r="AB31" s="1563">
        <f t="shared" si="4"/>
        <v>1</v>
      </c>
      <c r="AC31" s="1563">
        <f t="shared" si="5"/>
        <v>1</v>
      </c>
    </row>
    <row r="32" spans="1:29" ht="15">
      <c r="A32" s="2863"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418" t="s">
        <v>550</v>
      </c>
      <c r="Q32" s="1559" t="str">
        <f t="shared" si="11"/>
        <v>建筑类型</v>
      </c>
      <c r="R32" s="1560" t="s">
        <v>11</v>
      </c>
      <c r="S32" s="1561">
        <f t="shared" si="12"/>
        <v>100</v>
      </c>
      <c r="T32" s="1560" t="s">
        <v>11</v>
      </c>
      <c r="U32" s="1561">
        <f t="shared" si="13"/>
        <v>100</v>
      </c>
      <c r="V32" s="1560" t="s">
        <v>11</v>
      </c>
      <c r="W32" s="1561">
        <f t="shared" si="14"/>
        <v>100</v>
      </c>
      <c r="X32" s="1554"/>
      <c r="Y32" s="3419"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419"/>
      <c r="Q33" s="1591" t="str">
        <f t="shared" si="11"/>
        <v>项目建筑规模</v>
      </c>
      <c r="R33" s="1564" t="s">
        <v>11</v>
      </c>
      <c r="S33" s="1565" t="e">
        <f t="shared" si="12"/>
        <v>#N/A</v>
      </c>
      <c r="T33" s="1564" t="s">
        <v>11</v>
      </c>
      <c r="U33" s="1565" t="e">
        <f t="shared" si="13"/>
        <v>#N/A</v>
      </c>
      <c r="V33" s="1564" t="s">
        <v>11</v>
      </c>
      <c r="W33" s="1565" t="e">
        <f t="shared" si="14"/>
        <v>#N/A</v>
      </c>
      <c r="X33" s="1566"/>
      <c r="Y33" s="3419"/>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419"/>
      <c r="Q34" s="1559" t="str">
        <f t="shared" si="11"/>
        <v>建筑结构</v>
      </c>
      <c r="R34" s="1560" t="s">
        <v>11</v>
      </c>
      <c r="S34" s="1561">
        <f t="shared" si="12"/>
        <v>100</v>
      </c>
      <c r="T34" s="1560" t="s">
        <v>11</v>
      </c>
      <c r="U34" s="1561">
        <f t="shared" si="13"/>
        <v>100</v>
      </c>
      <c r="V34" s="1560" t="s">
        <v>11</v>
      </c>
      <c r="W34" s="1561">
        <f t="shared" si="14"/>
        <v>100</v>
      </c>
      <c r="X34" s="1554"/>
      <c r="Y34" s="3419"/>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419"/>
      <c r="Q35" s="1559" t="str">
        <f t="shared" si="11"/>
        <v>建筑品质</v>
      </c>
      <c r="R35" s="1560" t="s">
        <v>11</v>
      </c>
      <c r="S35" s="1561">
        <f t="shared" si="12"/>
        <v>100</v>
      </c>
      <c r="T35" s="1560" t="s">
        <v>11</v>
      </c>
      <c r="U35" s="1561">
        <f t="shared" si="13"/>
        <v>100</v>
      </c>
      <c r="V35" s="1560" t="s">
        <v>11</v>
      </c>
      <c r="W35" s="1561">
        <f t="shared" si="14"/>
        <v>100</v>
      </c>
      <c r="X35" s="1554"/>
      <c r="Y35" s="3419"/>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419"/>
      <c r="Q36" s="1559" t="str">
        <f t="shared" si="11"/>
        <v>公共部分装修</v>
      </c>
      <c r="R36" s="1560" t="s">
        <v>11</v>
      </c>
      <c r="S36" s="1561">
        <f t="shared" si="12"/>
        <v>100</v>
      </c>
      <c r="T36" s="1560" t="s">
        <v>11</v>
      </c>
      <c r="U36" s="1561">
        <f t="shared" si="13"/>
        <v>100</v>
      </c>
      <c r="V36" s="1560" t="s">
        <v>11</v>
      </c>
      <c r="W36" s="1561">
        <f t="shared" si="14"/>
        <v>100</v>
      </c>
      <c r="X36" s="1554"/>
      <c r="Y36" s="3419"/>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419"/>
      <c r="Q37" s="1147" t="str">
        <f t="shared" si="11"/>
        <v>成新度</v>
      </c>
      <c r="R37" s="1555" t="s">
        <v>11</v>
      </c>
      <c r="S37" s="1556" t="e">
        <f t="shared" si="12"/>
        <v>#N/A</v>
      </c>
      <c r="T37" s="1555" t="s">
        <v>11</v>
      </c>
      <c r="U37" s="1556" t="e">
        <f t="shared" si="13"/>
        <v>#N/A</v>
      </c>
      <c r="V37" s="1555" t="s">
        <v>11</v>
      </c>
      <c r="W37" s="1556" t="e">
        <f t="shared" si="14"/>
        <v>#N/A</v>
      </c>
      <c r="X37" s="1557"/>
      <c r="Y37" s="3419"/>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419" t="s">
        <v>550</v>
      </c>
      <c r="Q38" s="1559" t="str">
        <f t="shared" si="11"/>
        <v>物业管理</v>
      </c>
      <c r="R38" s="1560" t="s">
        <v>11</v>
      </c>
      <c r="S38" s="1561">
        <f t="shared" si="12"/>
        <v>100</v>
      </c>
      <c r="T38" s="1560" t="s">
        <v>11</v>
      </c>
      <c r="U38" s="1561">
        <f t="shared" si="13"/>
        <v>100</v>
      </c>
      <c r="V38" s="1560" t="s">
        <v>11</v>
      </c>
      <c r="W38" s="1561">
        <f t="shared" si="14"/>
        <v>100</v>
      </c>
      <c r="X38" s="1554"/>
      <c r="Y38" s="3419" t="s">
        <v>550</v>
      </c>
      <c r="Z38" s="1562" t="str">
        <f t="shared" si="15"/>
        <v>物业管理</v>
      </c>
      <c r="AA38" s="1563">
        <f t="shared" si="3"/>
        <v>1</v>
      </c>
      <c r="AB38" s="1563">
        <f t="shared" si="4"/>
        <v>1</v>
      </c>
      <c r="AC38" s="1563">
        <f t="shared" si="5"/>
        <v>1</v>
      </c>
    </row>
    <row r="39" spans="1:29" ht="15">
      <c r="A39" s="594"/>
      <c r="B39" s="1881"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419"/>
      <c r="Q39" s="1559" t="str">
        <f t="shared" si="11"/>
        <v>市政基础设施</v>
      </c>
      <c r="R39" s="1560" t="s">
        <v>11</v>
      </c>
      <c r="S39" s="1561">
        <f t="shared" si="12"/>
        <v>100</v>
      </c>
      <c r="T39" s="1560" t="s">
        <v>11</v>
      </c>
      <c r="U39" s="1561">
        <f t="shared" si="13"/>
        <v>100</v>
      </c>
      <c r="V39" s="1560" t="s">
        <v>11</v>
      </c>
      <c r="W39" s="1561">
        <f t="shared" si="14"/>
        <v>100</v>
      </c>
      <c r="X39" s="1554"/>
      <c r="Y39" s="3419"/>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19"/>
      <c r="Q40" s="1559" t="str">
        <f t="shared" si="11"/>
        <v>房型</v>
      </c>
      <c r="R40" s="1560" t="s">
        <v>11</v>
      </c>
      <c r="S40" s="1561">
        <f t="shared" si="12"/>
        <v>100</v>
      </c>
      <c r="T40" s="1560" t="s">
        <v>11</v>
      </c>
      <c r="U40" s="1561">
        <f t="shared" si="13"/>
        <v>100</v>
      </c>
      <c r="V40" s="1560" t="s">
        <v>11</v>
      </c>
      <c r="W40" s="1561">
        <f t="shared" si="14"/>
        <v>100</v>
      </c>
      <c r="X40" s="1554"/>
      <c r="Y40" s="3419"/>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19"/>
      <c r="Q41" s="1591" t="str">
        <f t="shared" si="11"/>
        <v>单套/主力户型建筑面积</v>
      </c>
      <c r="R41" s="1564" t="s">
        <v>11</v>
      </c>
      <c r="S41" s="1565">
        <f t="shared" si="12"/>
        <v>100</v>
      </c>
      <c r="T41" s="1564" t="s">
        <v>11</v>
      </c>
      <c r="U41" s="1565">
        <f t="shared" si="13"/>
        <v>100</v>
      </c>
      <c r="V41" s="1564" t="s">
        <v>11</v>
      </c>
      <c r="W41" s="1565">
        <f t="shared" si="14"/>
        <v>100</v>
      </c>
      <c r="X41" s="1566"/>
      <c r="Y41" s="3419"/>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419"/>
      <c r="Q42" s="1559" t="str">
        <f t="shared" si="11"/>
        <v>内部装修</v>
      </c>
      <c r="R42" s="1560" t="s">
        <v>11</v>
      </c>
      <c r="S42" s="1561">
        <f t="shared" si="12"/>
        <v>100</v>
      </c>
      <c r="T42" s="1560" t="s">
        <v>11</v>
      </c>
      <c r="U42" s="1561">
        <f t="shared" si="13"/>
        <v>100</v>
      </c>
      <c r="V42" s="1560" t="s">
        <v>11</v>
      </c>
      <c r="W42" s="1561">
        <f t="shared" si="14"/>
        <v>100</v>
      </c>
      <c r="X42" s="1554"/>
      <c r="Y42" s="3419"/>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19"/>
      <c r="Q43" s="1559" t="str">
        <f t="shared" si="11"/>
        <v>内部装修维护情况</v>
      </c>
      <c r="R43" s="1560" t="s">
        <v>11</v>
      </c>
      <c r="S43" s="1561">
        <f t="shared" si="12"/>
        <v>100</v>
      </c>
      <c r="T43" s="1560" t="s">
        <v>11</v>
      </c>
      <c r="U43" s="1561">
        <f t="shared" si="13"/>
        <v>100</v>
      </c>
      <c r="V43" s="1560" t="s">
        <v>11</v>
      </c>
      <c r="W43" s="1561">
        <f t="shared" si="14"/>
        <v>100</v>
      </c>
      <c r="X43" s="1554"/>
      <c r="Y43" s="3419"/>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19"/>
      <c r="Q44" s="1147">
        <f t="shared" si="11"/>
        <v>111</v>
      </c>
      <c r="R44" s="1555" t="s">
        <v>11</v>
      </c>
      <c r="S44" s="1556">
        <f t="shared" si="12"/>
        <v>100</v>
      </c>
      <c r="T44" s="1555" t="s">
        <v>11</v>
      </c>
      <c r="U44" s="1556">
        <f t="shared" si="13"/>
        <v>100</v>
      </c>
      <c r="V44" s="1555" t="s">
        <v>11</v>
      </c>
      <c r="W44" s="1556">
        <f t="shared" si="14"/>
        <v>100</v>
      </c>
      <c r="X44" s="1557"/>
      <c r="Y44" s="3419"/>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19"/>
      <c r="Q45" s="1559">
        <f t="shared" si="11"/>
        <v>111</v>
      </c>
      <c r="R45" s="1560" t="s">
        <v>11</v>
      </c>
      <c r="S45" s="1561">
        <f t="shared" si="12"/>
        <v>100</v>
      </c>
      <c r="T45" s="1560" t="s">
        <v>11</v>
      </c>
      <c r="U45" s="1561">
        <f t="shared" si="13"/>
        <v>100</v>
      </c>
      <c r="V45" s="1560" t="s">
        <v>11</v>
      </c>
      <c r="W45" s="1561">
        <f t="shared" si="14"/>
        <v>100</v>
      </c>
      <c r="X45" s="1554"/>
      <c r="Y45" s="3419"/>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519"/>
      <c r="Q46" s="1559">
        <f t="shared" si="11"/>
        <v>111</v>
      </c>
      <c r="R46" s="1560" t="s">
        <v>10</v>
      </c>
      <c r="S46" s="1561">
        <f t="shared" si="12"/>
        <v>100</v>
      </c>
      <c r="T46" s="1560" t="s">
        <v>10</v>
      </c>
      <c r="U46" s="1561">
        <f t="shared" si="13"/>
        <v>100</v>
      </c>
      <c r="V46" s="1560" t="s">
        <v>10</v>
      </c>
      <c r="W46" s="1561">
        <f t="shared" si="14"/>
        <v>100</v>
      </c>
      <c r="X46" s="1554"/>
      <c r="Y46" s="3519"/>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414" t="str">
        <f>A47</f>
        <v>成交单价（元/平方米）</v>
      </c>
      <c r="Q47" s="3414"/>
      <c r="R47" s="3518">
        <f>E47</f>
        <v>0</v>
      </c>
      <c r="S47" s="3518"/>
      <c r="T47" s="3518">
        <f>G47</f>
        <v>0</v>
      </c>
      <c r="U47" s="3518"/>
      <c r="V47" s="3518">
        <f>I47</f>
        <v>0</v>
      </c>
      <c r="W47" s="3518"/>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3"/>
      <c r="L48" s="2130"/>
      <c r="M48" s="2131"/>
      <c r="N48" s="2131"/>
      <c r="O48" s="2131"/>
      <c r="P48" s="3414" t="str">
        <f>A48</f>
        <v>比较价格（元/平方米）</v>
      </c>
      <c r="Q48" s="3414"/>
      <c r="R48" s="3518" t="e">
        <f>IF(F1="售价",ROUND(PRODUCT(R47,AA7:AA46),0),ROUND(PRODUCT(R47,AA7:AA46),1))</f>
        <v>#DIV/0!</v>
      </c>
      <c r="S48" s="3518"/>
      <c r="T48" s="3518" t="e">
        <f>IF(F1="售价",ROUND(PRODUCT(T47,AB7:AB46),0),ROUND(PRODUCT(T47,AB7:AB46),1))</f>
        <v>#DIV/0!</v>
      </c>
      <c r="U48" s="3518"/>
      <c r="V48" s="3518" t="e">
        <f>IF(F1="售价",ROUND(PRODUCT(V47,AC7:AC46),0),ROUND(PRODUCT(V47,AC7:AC46),1))</f>
        <v>#DIV/0!</v>
      </c>
      <c r="W48" s="3518"/>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4"/>
      <c r="L49" s="2130"/>
      <c r="M49" s="2131"/>
      <c r="N49" s="2131"/>
      <c r="O49" s="2131"/>
      <c r="P49" s="3435" t="str">
        <f>A49</f>
        <v>估价对象XX用房的比较价格（楼面单价，元/平方米）</v>
      </c>
      <c r="Q49" s="3436"/>
      <c r="R49" s="3517" t="e">
        <f>IF(F1="售价",ROUND(AVERAGE(R48:V48),0),ROUND(AVERAGE(R48:V48),1))</f>
        <v>#DIV/0!</v>
      </c>
      <c r="S49" s="3517"/>
      <c r="T49" s="3517"/>
      <c r="U49" s="3517"/>
      <c r="V49" s="3517"/>
      <c r="W49" s="3517"/>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2021-8</v>
      </c>
      <c r="D58" s="2760">
        <f>EDATE(C58,-1)</f>
        <v>44378</v>
      </c>
      <c r="E58" s="2760">
        <f t="shared" ref="E58:O58" si="16">EDATE(D58,-1)</f>
        <v>44348</v>
      </c>
      <c r="F58" s="2760">
        <f t="shared" si="16"/>
        <v>44317</v>
      </c>
      <c r="G58" s="2760">
        <f t="shared" si="16"/>
        <v>44287</v>
      </c>
      <c r="H58" s="2760">
        <f t="shared" si="16"/>
        <v>44256</v>
      </c>
      <c r="I58" s="2760">
        <f t="shared" si="16"/>
        <v>44228</v>
      </c>
      <c r="J58" s="2760">
        <f t="shared" si="16"/>
        <v>44197</v>
      </c>
      <c r="K58" s="2760">
        <f t="shared" si="16"/>
        <v>44166</v>
      </c>
      <c r="L58" s="2760">
        <f t="shared" si="16"/>
        <v>44136</v>
      </c>
      <c r="M58" s="2760">
        <f t="shared" si="16"/>
        <v>44105</v>
      </c>
      <c r="N58" s="2760">
        <f t="shared" si="16"/>
        <v>44075</v>
      </c>
      <c r="O58" s="2760">
        <f t="shared" si="16"/>
        <v>44044</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420" t="s">
        <v>522</v>
      </c>
      <c r="D4" s="3421"/>
      <c r="E4" s="3444" t="s">
        <v>523</v>
      </c>
      <c r="F4" s="3445"/>
      <c r="G4" s="3420" t="s">
        <v>524</v>
      </c>
      <c r="H4" s="3421"/>
      <c r="I4" s="3420" t="s">
        <v>525</v>
      </c>
      <c r="J4" s="3421"/>
      <c r="K4" s="514" t="s">
        <v>526</v>
      </c>
      <c r="L4" s="2119"/>
      <c r="M4" s="2120"/>
      <c r="N4" s="2120"/>
      <c r="O4" s="2120"/>
      <c r="P4" s="3422" t="s">
        <v>527</v>
      </c>
      <c r="Q4" s="3423"/>
      <c r="R4" s="3408" t="s">
        <v>523</v>
      </c>
      <c r="S4" s="3409"/>
      <c r="T4" s="3408" t="s">
        <v>524</v>
      </c>
      <c r="U4" s="3409"/>
      <c r="V4" s="3428" t="s">
        <v>525</v>
      </c>
      <c r="W4" s="3428"/>
      <c r="X4" s="1554"/>
      <c r="Y4" s="3408" t="s">
        <v>527</v>
      </c>
      <c r="Z4" s="3409"/>
      <c r="AA4" s="3403" t="s">
        <v>523</v>
      </c>
      <c r="AB4" s="3428" t="s">
        <v>524</v>
      </c>
      <c r="AC4" s="3403" t="s">
        <v>525</v>
      </c>
    </row>
    <row r="5" spans="1:29" ht="15">
      <c r="A5" s="515"/>
      <c r="B5" s="516"/>
      <c r="C5" s="3431" t="s">
        <v>2931</v>
      </c>
      <c r="D5" s="3432"/>
      <c r="E5" s="3446" t="s">
        <v>2932</v>
      </c>
      <c r="F5" s="3447"/>
      <c r="G5" s="3431" t="s">
        <v>2933</v>
      </c>
      <c r="H5" s="3432"/>
      <c r="I5" s="3431" t="s">
        <v>2934</v>
      </c>
      <c r="J5" s="3432"/>
      <c r="K5" s="514"/>
      <c r="L5" s="2119"/>
      <c r="M5" s="2120"/>
      <c r="N5" s="2120"/>
      <c r="O5" s="2120"/>
      <c r="P5" s="3424"/>
      <c r="Q5" s="3425"/>
      <c r="R5" s="3410"/>
      <c r="S5" s="3411"/>
      <c r="T5" s="3410"/>
      <c r="U5" s="3411"/>
      <c r="V5" s="3428"/>
      <c r="W5" s="3428"/>
      <c r="X5" s="1554"/>
      <c r="Y5" s="3410"/>
      <c r="Z5" s="3411"/>
      <c r="AA5" s="3404"/>
      <c r="AB5" s="3428"/>
      <c r="AC5" s="3404"/>
    </row>
    <row r="6" spans="1:29" ht="15.75" thickBot="1">
      <c r="A6" s="517"/>
      <c r="B6" s="518"/>
      <c r="C6" s="3429" t="s">
        <v>2935</v>
      </c>
      <c r="D6" s="3430"/>
      <c r="E6" s="3448" t="s">
        <v>2935</v>
      </c>
      <c r="F6" s="3449"/>
      <c r="G6" s="3429" t="s">
        <v>2935</v>
      </c>
      <c r="H6" s="3430"/>
      <c r="I6" s="3429" t="s">
        <v>2935</v>
      </c>
      <c r="J6" s="3430"/>
      <c r="K6" s="514" t="s">
        <v>528</v>
      </c>
      <c r="L6" s="2119"/>
      <c r="M6" s="2120"/>
      <c r="N6" s="2120"/>
      <c r="O6" s="2120"/>
      <c r="P6" s="3426"/>
      <c r="Q6" s="3427"/>
      <c r="R6" s="3410"/>
      <c r="S6" s="3411"/>
      <c r="T6" s="3412"/>
      <c r="U6" s="3413"/>
      <c r="V6" s="3428"/>
      <c r="W6" s="3428"/>
      <c r="X6" s="1554"/>
      <c r="Y6" s="3412"/>
      <c r="Z6" s="3413"/>
      <c r="AA6" s="3405"/>
      <c r="AB6" s="3428"/>
      <c r="AC6" s="3405"/>
    </row>
    <row r="7" spans="1:29" s="1216" customFormat="1" ht="15.75" thickBot="1">
      <c r="A7" s="2868"/>
      <c r="B7" s="2875" t="s">
        <v>529</v>
      </c>
      <c r="C7" s="519">
        <f>'数据-取费表'!B2</f>
        <v>44435</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06" t="s">
        <v>530</v>
      </c>
      <c r="Q7" s="3415"/>
      <c r="R7" s="1555" t="s">
        <v>8</v>
      </c>
      <c r="S7" s="1556">
        <f t="shared" ref="S7:S15" si="0">F7</f>
        <v>0</v>
      </c>
      <c r="T7" s="1555" t="s">
        <v>8</v>
      </c>
      <c r="U7" s="1556">
        <f t="shared" ref="U7:U15" si="1">H7</f>
        <v>0</v>
      </c>
      <c r="V7" s="1555" t="s">
        <v>8</v>
      </c>
      <c r="W7" s="1556">
        <f t="shared" ref="W7:W15" si="2">J7</f>
        <v>0</v>
      </c>
      <c r="X7" s="1557"/>
      <c r="Y7" s="3406" t="s">
        <v>530</v>
      </c>
      <c r="Z7" s="3407"/>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06" t="s">
        <v>533</v>
      </c>
      <c r="Q8" s="3407"/>
      <c r="R8" s="1555" t="s">
        <v>8</v>
      </c>
      <c r="S8" s="1556">
        <f t="shared" si="0"/>
        <v>0</v>
      </c>
      <c r="T8" s="1555" t="s">
        <v>8</v>
      </c>
      <c r="U8" s="1556">
        <f t="shared" si="1"/>
        <v>0</v>
      </c>
      <c r="V8" s="1555" t="s">
        <v>8</v>
      </c>
      <c r="W8" s="1556">
        <f t="shared" si="2"/>
        <v>0</v>
      </c>
      <c r="X8" s="1557"/>
      <c r="Y8" s="3406" t="s">
        <v>533</v>
      </c>
      <c r="Z8" s="3407"/>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414" t="s">
        <v>535</v>
      </c>
      <c r="Q9" s="1147" t="str">
        <f t="shared" ref="Q9:Q15" si="6">B9</f>
        <v>用途</v>
      </c>
      <c r="R9" s="1555" t="s">
        <v>8</v>
      </c>
      <c r="S9" s="1556">
        <f t="shared" si="0"/>
        <v>100</v>
      </c>
      <c r="T9" s="1555" t="s">
        <v>8</v>
      </c>
      <c r="U9" s="1556">
        <f t="shared" si="1"/>
        <v>100</v>
      </c>
      <c r="V9" s="1555" t="s">
        <v>8</v>
      </c>
      <c r="W9" s="1556">
        <f t="shared" si="2"/>
        <v>100</v>
      </c>
      <c r="X9" s="1557"/>
      <c r="Y9" s="3371"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414"/>
      <c r="Q10" s="1147" t="str">
        <f t="shared" si="6"/>
        <v>土地使用年限（年）</v>
      </c>
      <c r="R10" s="1555" t="s">
        <v>8</v>
      </c>
      <c r="S10" s="1556">
        <f t="shared" si="0"/>
        <v>100</v>
      </c>
      <c r="T10" s="1555" t="s">
        <v>8</v>
      </c>
      <c r="U10" s="1556">
        <f t="shared" si="1"/>
        <v>100</v>
      </c>
      <c r="V10" s="1555" t="s">
        <v>8</v>
      </c>
      <c r="W10" s="1556">
        <f t="shared" si="2"/>
        <v>100</v>
      </c>
      <c r="X10" s="1557"/>
      <c r="Y10" s="3371"/>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414"/>
      <c r="Q11" s="1147" t="str">
        <f t="shared" si="6"/>
        <v>容积率</v>
      </c>
      <c r="R11" s="1555" t="s">
        <v>8</v>
      </c>
      <c r="S11" s="1556" t="e">
        <f t="shared" si="0"/>
        <v>#N/A</v>
      </c>
      <c r="T11" s="1555" t="s">
        <v>8</v>
      </c>
      <c r="U11" s="1556" t="e">
        <f t="shared" si="1"/>
        <v>#N/A</v>
      </c>
      <c r="V11" s="1555" t="s">
        <v>8</v>
      </c>
      <c r="W11" s="1556" t="e">
        <f t="shared" si="2"/>
        <v>#N/A</v>
      </c>
      <c r="X11" s="1557"/>
      <c r="Y11" s="337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414"/>
      <c r="Q12" s="1147">
        <f t="shared" si="6"/>
        <v>111</v>
      </c>
      <c r="R12" s="1555" t="s">
        <v>8</v>
      </c>
      <c r="S12" s="1556">
        <f t="shared" si="0"/>
        <v>100</v>
      </c>
      <c r="T12" s="1555" t="s">
        <v>8</v>
      </c>
      <c r="U12" s="1556">
        <f t="shared" si="1"/>
        <v>100</v>
      </c>
      <c r="V12" s="1555" t="s">
        <v>8</v>
      </c>
      <c r="W12" s="1556">
        <f t="shared" si="2"/>
        <v>100</v>
      </c>
      <c r="X12" s="1557"/>
      <c r="Y12" s="3371"/>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414"/>
      <c r="Q13" s="1147">
        <f t="shared" si="6"/>
        <v>111</v>
      </c>
      <c r="R13" s="1555" t="s">
        <v>8</v>
      </c>
      <c r="S13" s="1556">
        <f t="shared" si="0"/>
        <v>100</v>
      </c>
      <c r="T13" s="1555" t="s">
        <v>8</v>
      </c>
      <c r="U13" s="1556">
        <f t="shared" si="1"/>
        <v>100</v>
      </c>
      <c r="V13" s="1555" t="s">
        <v>8</v>
      </c>
      <c r="W13" s="1556">
        <f t="shared" si="2"/>
        <v>100</v>
      </c>
      <c r="X13" s="1557"/>
      <c r="Y13" s="3371"/>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414"/>
      <c r="Q14" s="1147">
        <f t="shared" si="6"/>
        <v>111</v>
      </c>
      <c r="R14" s="1555" t="s">
        <v>8</v>
      </c>
      <c r="S14" s="1556">
        <f t="shared" si="0"/>
        <v>100</v>
      </c>
      <c r="T14" s="1555" t="s">
        <v>8</v>
      </c>
      <c r="U14" s="1556">
        <f t="shared" si="1"/>
        <v>100</v>
      </c>
      <c r="V14" s="1555" t="s">
        <v>8</v>
      </c>
      <c r="W14" s="1556">
        <f t="shared" si="2"/>
        <v>100</v>
      </c>
      <c r="X14" s="1557"/>
      <c r="Y14" s="3371"/>
      <c r="Z14" s="1146">
        <f t="shared" si="7"/>
        <v>111</v>
      </c>
      <c r="AA14" s="1558">
        <f t="shared" si="3"/>
        <v>1</v>
      </c>
      <c r="AB14" s="1558">
        <f t="shared" si="4"/>
        <v>1</v>
      </c>
      <c r="AC14" s="1558">
        <f t="shared" si="5"/>
        <v>1</v>
      </c>
    </row>
    <row r="15" spans="1:29" ht="71.25">
      <c r="A15" s="2866"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16" t="s">
        <v>540</v>
      </c>
      <c r="Q15" s="1559" t="str">
        <f t="shared" si="6"/>
        <v>商业繁华度</v>
      </c>
      <c r="R15" s="1560" t="s">
        <v>8</v>
      </c>
      <c r="S15" s="1561">
        <f t="shared" si="0"/>
        <v>100</v>
      </c>
      <c r="T15" s="1560" t="s">
        <v>8</v>
      </c>
      <c r="U15" s="1561">
        <f t="shared" si="1"/>
        <v>100</v>
      </c>
      <c r="V15" s="1560" t="s">
        <v>8</v>
      </c>
      <c r="W15" s="1561">
        <f t="shared" si="2"/>
        <v>100</v>
      </c>
      <c r="X15" s="1554"/>
      <c r="Y15" s="3416"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17"/>
      <c r="Q16" s="1559"/>
      <c r="R16" s="1560"/>
      <c r="S16" s="1561"/>
      <c r="T16" s="1560"/>
      <c r="U16" s="1561"/>
      <c r="V16" s="1560"/>
      <c r="W16" s="1561"/>
      <c r="X16" s="1554"/>
      <c r="Y16" s="3417"/>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17"/>
      <c r="Q17" s="1559" t="str">
        <f>B17</f>
        <v>交通便捷度</v>
      </c>
      <c r="R17" s="1560" t="s">
        <v>8</v>
      </c>
      <c r="S17" s="1561">
        <f>F17</f>
        <v>100</v>
      </c>
      <c r="T17" s="1560" t="s">
        <v>8</v>
      </c>
      <c r="U17" s="1561">
        <f>H17</f>
        <v>100</v>
      </c>
      <c r="V17" s="1560" t="s">
        <v>8</v>
      </c>
      <c r="W17" s="1561">
        <f>J17</f>
        <v>100</v>
      </c>
      <c r="X17" s="1554"/>
      <c r="Y17" s="3417"/>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17"/>
      <c r="Q18" s="1559"/>
      <c r="R18" s="1560"/>
      <c r="S18" s="1561"/>
      <c r="T18" s="1560"/>
      <c r="U18" s="1561"/>
      <c r="V18" s="1560"/>
      <c r="W18" s="1561"/>
      <c r="X18" s="1554"/>
      <c r="Y18" s="3417"/>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17"/>
      <c r="Q19" s="1559" t="str">
        <f>B19</f>
        <v>公共配套设施</v>
      </c>
      <c r="R19" s="1560" t="s">
        <v>8</v>
      </c>
      <c r="S19" s="1561">
        <f>F19</f>
        <v>100</v>
      </c>
      <c r="T19" s="1560" t="s">
        <v>8</v>
      </c>
      <c r="U19" s="1561">
        <f>H19</f>
        <v>100</v>
      </c>
      <c r="V19" s="1560" t="s">
        <v>8</v>
      </c>
      <c r="W19" s="1561">
        <f>J19</f>
        <v>100</v>
      </c>
      <c r="X19" s="1554"/>
      <c r="Y19" s="3417"/>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17"/>
      <c r="Q20" s="1559"/>
      <c r="R20" s="1560"/>
      <c r="S20" s="1561"/>
      <c r="T20" s="1560"/>
      <c r="U20" s="1561"/>
      <c r="V20" s="1560"/>
      <c r="W20" s="1561"/>
      <c r="X20" s="1554"/>
      <c r="Y20" s="3417"/>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17"/>
      <c r="Q21" s="2544" t="str">
        <f>B21</f>
        <v>基础设施水平</v>
      </c>
      <c r="R21" s="1560" t="s">
        <v>8</v>
      </c>
      <c r="S21" s="1561">
        <f>F21</f>
        <v>100</v>
      </c>
      <c r="T21" s="1560" t="s">
        <v>8</v>
      </c>
      <c r="U21" s="1561">
        <f>H21</f>
        <v>100</v>
      </c>
      <c r="V21" s="1560" t="s">
        <v>8</v>
      </c>
      <c r="W21" s="1561">
        <f>J21</f>
        <v>100</v>
      </c>
      <c r="X21" s="2546"/>
      <c r="Y21" s="3417"/>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17"/>
      <c r="Q22" s="2544"/>
      <c r="R22" s="1560"/>
      <c r="S22" s="1561"/>
      <c r="T22" s="1560"/>
      <c r="U22" s="1561"/>
      <c r="V22" s="1560"/>
      <c r="W22" s="1561"/>
      <c r="X22" s="2546"/>
      <c r="Y22" s="3417"/>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17"/>
      <c r="Q23" s="1559" t="str">
        <f>B23</f>
        <v>自然及人文环境</v>
      </c>
      <c r="R23" s="1560" t="s">
        <v>8</v>
      </c>
      <c r="S23" s="1561">
        <f>F23</f>
        <v>100</v>
      </c>
      <c r="T23" s="1560" t="s">
        <v>8</v>
      </c>
      <c r="U23" s="1561">
        <f>H23</f>
        <v>100</v>
      </c>
      <c r="V23" s="1560" t="s">
        <v>8</v>
      </c>
      <c r="W23" s="1561">
        <f>J23</f>
        <v>100</v>
      </c>
      <c r="X23" s="1554"/>
      <c r="Y23" s="3417"/>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17"/>
      <c r="Q24" s="1559"/>
      <c r="R24" s="1560"/>
      <c r="S24" s="1561"/>
      <c r="T24" s="1560"/>
      <c r="U24" s="1561"/>
      <c r="V24" s="1560"/>
      <c r="W24" s="1561"/>
      <c r="X24" s="1554"/>
      <c r="Y24" s="3417"/>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17"/>
      <c r="Q25" s="1559" t="str">
        <f t="shared" ref="Q25:Q46" si="11">B25</f>
        <v>临街状况</v>
      </c>
      <c r="R25" s="1560" t="s">
        <v>8</v>
      </c>
      <c r="S25" s="1561">
        <f>F25</f>
        <v>100</v>
      </c>
      <c r="T25" s="1560" t="s">
        <v>8</v>
      </c>
      <c r="U25" s="1561">
        <f>H25</f>
        <v>100</v>
      </c>
      <c r="V25" s="1560" t="s">
        <v>8</v>
      </c>
      <c r="W25" s="1561">
        <f>J25</f>
        <v>100</v>
      </c>
      <c r="X25" s="1554"/>
      <c r="Y25" s="3417"/>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17"/>
      <c r="Q26" s="1559" t="str">
        <f t="shared" si="11"/>
        <v>平面位置/可视性</v>
      </c>
      <c r="R26" s="1560" t="s">
        <v>8</v>
      </c>
      <c r="S26" s="1561">
        <f>F26</f>
        <v>100</v>
      </c>
      <c r="T26" s="1560" t="s">
        <v>8</v>
      </c>
      <c r="U26" s="1561">
        <f>H26</f>
        <v>100</v>
      </c>
      <c r="V26" s="1560" t="s">
        <v>8</v>
      </c>
      <c r="W26" s="1561">
        <f>J26</f>
        <v>100</v>
      </c>
      <c r="X26" s="1554"/>
      <c r="Y26" s="3417"/>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17"/>
      <c r="Q27" s="1147" t="str">
        <f t="shared" si="11"/>
        <v>人流量</v>
      </c>
      <c r="R27" s="1555" t="s">
        <v>8</v>
      </c>
      <c r="S27" s="1556">
        <f>F27</f>
        <v>100</v>
      </c>
      <c r="T27" s="1555" t="s">
        <v>8</v>
      </c>
      <c r="U27" s="1556">
        <f>H27</f>
        <v>100</v>
      </c>
      <c r="V27" s="1555" t="s">
        <v>8</v>
      </c>
      <c r="W27" s="1556">
        <f>J27</f>
        <v>100</v>
      </c>
      <c r="X27" s="1557"/>
      <c r="Y27" s="3417"/>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17"/>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17"/>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17"/>
      <c r="Q29" s="1559">
        <f t="shared" si="11"/>
        <v>111</v>
      </c>
      <c r="R29" s="1560" t="s">
        <v>8</v>
      </c>
      <c r="S29" s="1561">
        <f t="shared" si="12"/>
        <v>100</v>
      </c>
      <c r="T29" s="1560" t="s">
        <v>8</v>
      </c>
      <c r="U29" s="1561">
        <f t="shared" si="13"/>
        <v>100</v>
      </c>
      <c r="V29" s="1560" t="s">
        <v>8</v>
      </c>
      <c r="W29" s="1561">
        <f t="shared" si="14"/>
        <v>100</v>
      </c>
      <c r="X29" s="1554"/>
      <c r="Y29" s="3417"/>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17"/>
      <c r="Q30" s="1559">
        <f t="shared" si="11"/>
        <v>111</v>
      </c>
      <c r="R30" s="1560" t="s">
        <v>8</v>
      </c>
      <c r="S30" s="1561">
        <f t="shared" si="12"/>
        <v>100</v>
      </c>
      <c r="T30" s="1560" t="s">
        <v>8</v>
      </c>
      <c r="U30" s="1561">
        <f t="shared" si="13"/>
        <v>100</v>
      </c>
      <c r="V30" s="1560" t="s">
        <v>8</v>
      </c>
      <c r="W30" s="1561">
        <f t="shared" si="14"/>
        <v>100</v>
      </c>
      <c r="X30" s="1554"/>
      <c r="Y30" s="3417"/>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17"/>
      <c r="Q31" s="1559">
        <f t="shared" si="11"/>
        <v>111</v>
      </c>
      <c r="R31" s="1560" t="s">
        <v>8</v>
      </c>
      <c r="S31" s="1561">
        <f t="shared" si="12"/>
        <v>100</v>
      </c>
      <c r="T31" s="1560" t="s">
        <v>8</v>
      </c>
      <c r="U31" s="1561">
        <f t="shared" si="13"/>
        <v>100</v>
      </c>
      <c r="V31" s="1560" t="s">
        <v>8</v>
      </c>
      <c r="W31" s="1561">
        <f t="shared" si="14"/>
        <v>100</v>
      </c>
      <c r="X31" s="1554"/>
      <c r="Y31" s="3417"/>
      <c r="Z31" s="1562">
        <f t="shared" si="15"/>
        <v>111</v>
      </c>
      <c r="AA31" s="1563">
        <f t="shared" si="3"/>
        <v>1</v>
      </c>
      <c r="AB31" s="1563">
        <f t="shared" si="4"/>
        <v>1</v>
      </c>
      <c r="AC31" s="1563">
        <f t="shared" si="5"/>
        <v>1</v>
      </c>
    </row>
    <row r="32" spans="1:29" ht="15">
      <c r="A32" s="286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18" t="s">
        <v>550</v>
      </c>
      <c r="Q32" s="1559" t="str">
        <f t="shared" si="11"/>
        <v>商业类型</v>
      </c>
      <c r="R32" s="1560" t="s">
        <v>8</v>
      </c>
      <c r="S32" s="1561">
        <f t="shared" si="12"/>
        <v>100</v>
      </c>
      <c r="T32" s="1560" t="s">
        <v>8</v>
      </c>
      <c r="U32" s="1561">
        <f t="shared" si="13"/>
        <v>100</v>
      </c>
      <c r="V32" s="1560" t="s">
        <v>8</v>
      </c>
      <c r="W32" s="1561">
        <f t="shared" si="14"/>
        <v>100</v>
      </c>
      <c r="X32" s="1554"/>
      <c r="Y32" s="3419"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19"/>
      <c r="Q33" s="1591" t="str">
        <f t="shared" si="11"/>
        <v>项目建筑规模</v>
      </c>
      <c r="R33" s="1564" t="s">
        <v>8</v>
      </c>
      <c r="S33" s="1565" t="e">
        <f t="shared" si="12"/>
        <v>#N/A</v>
      </c>
      <c r="T33" s="1564" t="s">
        <v>8</v>
      </c>
      <c r="U33" s="1565" t="e">
        <f t="shared" si="13"/>
        <v>#N/A</v>
      </c>
      <c r="V33" s="1564" t="s">
        <v>8</v>
      </c>
      <c r="W33" s="1565" t="e">
        <f t="shared" si="14"/>
        <v>#N/A</v>
      </c>
      <c r="X33" s="1566"/>
      <c r="Y33" s="3419"/>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19"/>
      <c r="Q34" s="1559" t="str">
        <f t="shared" si="11"/>
        <v>建筑结构</v>
      </c>
      <c r="R34" s="1560" t="s">
        <v>8</v>
      </c>
      <c r="S34" s="1561">
        <f t="shared" si="12"/>
        <v>100</v>
      </c>
      <c r="T34" s="1560" t="s">
        <v>8</v>
      </c>
      <c r="U34" s="1561">
        <f t="shared" si="13"/>
        <v>100</v>
      </c>
      <c r="V34" s="1560" t="s">
        <v>8</v>
      </c>
      <c r="W34" s="1561">
        <f t="shared" si="14"/>
        <v>100</v>
      </c>
      <c r="X34" s="1554"/>
      <c r="Y34" s="3419"/>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19"/>
      <c r="Q35" s="1559" t="str">
        <f t="shared" si="11"/>
        <v>公共部分装修</v>
      </c>
      <c r="R35" s="1560" t="s">
        <v>8</v>
      </c>
      <c r="S35" s="1561">
        <f t="shared" si="12"/>
        <v>100</v>
      </c>
      <c r="T35" s="1560" t="s">
        <v>8</v>
      </c>
      <c r="U35" s="1561">
        <f t="shared" si="13"/>
        <v>100</v>
      </c>
      <c r="V35" s="1560" t="s">
        <v>8</v>
      </c>
      <c r="W35" s="1561">
        <f t="shared" si="14"/>
        <v>100</v>
      </c>
      <c r="X35" s="1554"/>
      <c r="Y35" s="3419"/>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19"/>
      <c r="Q36" s="1559" t="str">
        <f t="shared" si="11"/>
        <v>成新度</v>
      </c>
      <c r="R36" s="1560" t="s">
        <v>8</v>
      </c>
      <c r="S36" s="1561" t="e">
        <f t="shared" si="12"/>
        <v>#N/A</v>
      </c>
      <c r="T36" s="1560" t="s">
        <v>8</v>
      </c>
      <c r="U36" s="1561" t="e">
        <f t="shared" si="13"/>
        <v>#N/A</v>
      </c>
      <c r="V36" s="1560" t="s">
        <v>8</v>
      </c>
      <c r="W36" s="1561" t="e">
        <f t="shared" si="14"/>
        <v>#N/A</v>
      </c>
      <c r="X36" s="1554"/>
      <c r="Y36" s="3419"/>
      <c r="Z36" s="1562" t="str">
        <f t="shared" si="15"/>
        <v>成新度</v>
      </c>
      <c r="AA36" s="1563" t="e">
        <f t="shared" si="3"/>
        <v>#N/A</v>
      </c>
      <c r="AB36" s="1563" t="e">
        <f t="shared" si="4"/>
        <v>#N/A</v>
      </c>
      <c r="AC36" s="1563" t="e">
        <f t="shared" si="5"/>
        <v>#N/A</v>
      </c>
    </row>
    <row r="37" spans="1:29" s="1216" customFormat="1" ht="15">
      <c r="A37" s="600"/>
      <c r="B37" s="1881"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19"/>
      <c r="Q37" s="1147" t="str">
        <f t="shared" si="11"/>
        <v>市政基础设施</v>
      </c>
      <c r="R37" s="1555" t="s">
        <v>8</v>
      </c>
      <c r="S37" s="1556">
        <f t="shared" si="12"/>
        <v>100</v>
      </c>
      <c r="T37" s="1555" t="s">
        <v>8</v>
      </c>
      <c r="U37" s="1556">
        <f t="shared" si="13"/>
        <v>100</v>
      </c>
      <c r="V37" s="1555" t="s">
        <v>8</v>
      </c>
      <c r="W37" s="1556">
        <f t="shared" si="14"/>
        <v>100</v>
      </c>
      <c r="X37" s="1557"/>
      <c r="Y37" s="3419"/>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19" t="s">
        <v>766</v>
      </c>
      <c r="Q38" s="1559" t="str">
        <f t="shared" si="11"/>
        <v>业态</v>
      </c>
      <c r="R38" s="1560" t="s">
        <v>8</v>
      </c>
      <c r="S38" s="1561">
        <f t="shared" si="12"/>
        <v>100</v>
      </c>
      <c r="T38" s="1560" t="s">
        <v>8</v>
      </c>
      <c r="U38" s="1561">
        <f t="shared" si="13"/>
        <v>100</v>
      </c>
      <c r="V38" s="1560" t="s">
        <v>8</v>
      </c>
      <c r="W38" s="1561">
        <f t="shared" si="14"/>
        <v>100</v>
      </c>
      <c r="X38" s="1554"/>
      <c r="Y38" s="3419"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19"/>
      <c r="Q39" s="1559" t="str">
        <f t="shared" si="11"/>
        <v>层高</v>
      </c>
      <c r="R39" s="1560" t="s">
        <v>8</v>
      </c>
      <c r="S39" s="1561">
        <f t="shared" si="12"/>
        <v>100</v>
      </c>
      <c r="T39" s="1560" t="s">
        <v>8</v>
      </c>
      <c r="U39" s="1561">
        <f t="shared" si="13"/>
        <v>100</v>
      </c>
      <c r="V39" s="1560" t="s">
        <v>8</v>
      </c>
      <c r="W39" s="1561">
        <f t="shared" si="14"/>
        <v>100</v>
      </c>
      <c r="X39" s="1554"/>
      <c r="Y39" s="3419"/>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19"/>
      <c r="Q40" s="1559" t="str">
        <f t="shared" si="11"/>
        <v>单套建筑面积</v>
      </c>
      <c r="R40" s="1560" t="s">
        <v>8</v>
      </c>
      <c r="S40" s="1561">
        <f t="shared" si="12"/>
        <v>100</v>
      </c>
      <c r="T40" s="1560" t="s">
        <v>8</v>
      </c>
      <c r="U40" s="1561">
        <f t="shared" si="13"/>
        <v>100</v>
      </c>
      <c r="V40" s="1560" t="s">
        <v>8</v>
      </c>
      <c r="W40" s="1561">
        <f t="shared" si="14"/>
        <v>100</v>
      </c>
      <c r="X40" s="1554"/>
      <c r="Y40" s="3419"/>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19"/>
      <c r="Q41" s="1591" t="str">
        <f t="shared" si="11"/>
        <v>进深比</v>
      </c>
      <c r="R41" s="1564" t="s">
        <v>8</v>
      </c>
      <c r="S41" s="1565">
        <f t="shared" si="12"/>
        <v>100</v>
      </c>
      <c r="T41" s="1564" t="s">
        <v>8</v>
      </c>
      <c r="U41" s="1565">
        <f t="shared" si="13"/>
        <v>100</v>
      </c>
      <c r="V41" s="1564" t="s">
        <v>8</v>
      </c>
      <c r="W41" s="1565">
        <f t="shared" si="14"/>
        <v>100</v>
      </c>
      <c r="X41" s="1566"/>
      <c r="Y41" s="3419"/>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19"/>
      <c r="Q42" s="1559" t="str">
        <f t="shared" si="11"/>
        <v>内部装修</v>
      </c>
      <c r="R42" s="1560" t="s">
        <v>8</v>
      </c>
      <c r="S42" s="1561">
        <f t="shared" si="12"/>
        <v>100</v>
      </c>
      <c r="T42" s="1560" t="s">
        <v>8</v>
      </c>
      <c r="U42" s="1561">
        <f t="shared" si="13"/>
        <v>100</v>
      </c>
      <c r="V42" s="1560" t="s">
        <v>8</v>
      </c>
      <c r="W42" s="1561">
        <f t="shared" si="14"/>
        <v>100</v>
      </c>
      <c r="X42" s="1554"/>
      <c r="Y42" s="3419"/>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19"/>
      <c r="Q43" s="1559" t="str">
        <f t="shared" si="11"/>
        <v>内部装修维护情况</v>
      </c>
      <c r="R43" s="1560" t="s">
        <v>8</v>
      </c>
      <c r="S43" s="1561">
        <f t="shared" si="12"/>
        <v>100</v>
      </c>
      <c r="T43" s="1560" t="s">
        <v>8</v>
      </c>
      <c r="U43" s="1561">
        <f t="shared" si="13"/>
        <v>100</v>
      </c>
      <c r="V43" s="1560" t="s">
        <v>8</v>
      </c>
      <c r="W43" s="1561">
        <f t="shared" si="14"/>
        <v>100</v>
      </c>
      <c r="X43" s="1554"/>
      <c r="Y43" s="3419"/>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19"/>
      <c r="Q44" s="1147">
        <f t="shared" si="11"/>
        <v>111</v>
      </c>
      <c r="R44" s="1555" t="s">
        <v>8</v>
      </c>
      <c r="S44" s="1556">
        <f t="shared" si="12"/>
        <v>100</v>
      </c>
      <c r="T44" s="1555" t="s">
        <v>8</v>
      </c>
      <c r="U44" s="1556">
        <f t="shared" si="13"/>
        <v>100</v>
      </c>
      <c r="V44" s="1555" t="s">
        <v>8</v>
      </c>
      <c r="W44" s="1556">
        <f t="shared" si="14"/>
        <v>100</v>
      </c>
      <c r="X44" s="1557"/>
      <c r="Y44" s="3419"/>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19"/>
      <c r="Q45" s="1559">
        <f t="shared" si="11"/>
        <v>111</v>
      </c>
      <c r="R45" s="1560" t="s">
        <v>8</v>
      </c>
      <c r="S45" s="1561">
        <f t="shared" si="12"/>
        <v>100</v>
      </c>
      <c r="T45" s="1560" t="s">
        <v>8</v>
      </c>
      <c r="U45" s="1561">
        <f t="shared" si="13"/>
        <v>100</v>
      </c>
      <c r="V45" s="1560" t="s">
        <v>8</v>
      </c>
      <c r="W45" s="1561">
        <f t="shared" si="14"/>
        <v>100</v>
      </c>
      <c r="X45" s="1554"/>
      <c r="Y45" s="3419"/>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519"/>
      <c r="Q46" s="1559">
        <f t="shared" si="11"/>
        <v>111</v>
      </c>
      <c r="R46" s="1560" t="s">
        <v>8</v>
      </c>
      <c r="S46" s="1561">
        <f t="shared" si="12"/>
        <v>100</v>
      </c>
      <c r="T46" s="1560" t="s">
        <v>8</v>
      </c>
      <c r="U46" s="1561">
        <f t="shared" si="13"/>
        <v>100</v>
      </c>
      <c r="V46" s="1560" t="s">
        <v>8</v>
      </c>
      <c r="W46" s="1561">
        <f t="shared" si="14"/>
        <v>100</v>
      </c>
      <c r="X46" s="1554"/>
      <c r="Y46" s="3519"/>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414" t="str">
        <f>A47</f>
        <v>成交单价（元/平方米）</v>
      </c>
      <c r="Q47" s="3414"/>
      <c r="R47" s="3518">
        <f>E47</f>
        <v>0</v>
      </c>
      <c r="S47" s="3518"/>
      <c r="T47" s="3518">
        <f>G47</f>
        <v>0</v>
      </c>
      <c r="U47" s="3518"/>
      <c r="V47" s="3518">
        <f>I47</f>
        <v>0</v>
      </c>
      <c r="W47" s="3518"/>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8"/>
      <c r="L48" s="2130"/>
      <c r="M48" s="2131"/>
      <c r="N48" s="2120"/>
      <c r="O48" s="2131"/>
      <c r="P48" s="3414" t="str">
        <f>A48</f>
        <v>比较价格（元/平方米）</v>
      </c>
      <c r="Q48" s="3414"/>
      <c r="R48" s="3518" t="e">
        <f>IF(F1="售价",ROUND(PRODUCT(R47,AA7:AA46),0),ROUND(PRODUCT(R47,AA7:AA46),1))</f>
        <v>#DIV/0!</v>
      </c>
      <c r="S48" s="3518"/>
      <c r="T48" s="3518" t="e">
        <f>IF(F1="售价",ROUND(PRODUCT(T47,AB7:AB46),0),ROUND(PRODUCT(T47,AB7:AB46),1))</f>
        <v>#DIV/0!</v>
      </c>
      <c r="U48" s="3518"/>
      <c r="V48" s="3518" t="e">
        <f>IF(F1="售价",ROUND(PRODUCT(V47,AC7:AC46),0),ROUND(PRODUCT(V47,AC7:AC46),1))</f>
        <v>#DIV/0!</v>
      </c>
      <c r="W48" s="3518"/>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9"/>
      <c r="L49" s="2130"/>
      <c r="M49" s="2131"/>
      <c r="N49" s="2120"/>
      <c r="O49" s="2131"/>
      <c r="P49" s="3435" t="str">
        <f>A49</f>
        <v>估价对象XX用房的比较价格（楼面单价，元/平方米）</v>
      </c>
      <c r="Q49" s="3436"/>
      <c r="R49" s="3517" t="e">
        <f>IF(F1="售价",ROUND(AVERAGE(R48:V48),0),ROUND(AVERAGE(R48:V48),1))</f>
        <v>#DIV/0!</v>
      </c>
      <c r="S49" s="3517"/>
      <c r="T49" s="3517"/>
      <c r="U49" s="3517"/>
      <c r="V49" s="3517"/>
      <c r="W49" s="3517"/>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2021-8</v>
      </c>
      <c r="D58" s="2760">
        <f>EDATE(C58,-1)</f>
        <v>44378</v>
      </c>
      <c r="E58" s="2760">
        <f t="shared" ref="E58:O58" si="16">EDATE(D58,-1)</f>
        <v>44348</v>
      </c>
      <c r="F58" s="2760">
        <f t="shared" si="16"/>
        <v>44317</v>
      </c>
      <c r="G58" s="2760">
        <f t="shared" si="16"/>
        <v>44287</v>
      </c>
      <c r="H58" s="2760">
        <f t="shared" si="16"/>
        <v>44256</v>
      </c>
      <c r="I58" s="2760">
        <f t="shared" si="16"/>
        <v>44228</v>
      </c>
      <c r="J58" s="2760">
        <f t="shared" si="16"/>
        <v>44197</v>
      </c>
      <c r="K58" s="2760">
        <f t="shared" si="16"/>
        <v>44166</v>
      </c>
      <c r="L58" s="2760">
        <f t="shared" si="16"/>
        <v>44136</v>
      </c>
      <c r="M58" s="2760">
        <f t="shared" si="16"/>
        <v>44105</v>
      </c>
      <c r="N58" s="2760">
        <f t="shared" si="16"/>
        <v>44075</v>
      </c>
      <c r="O58" s="2760">
        <f t="shared" si="16"/>
        <v>44044</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420" t="s">
        <v>522</v>
      </c>
      <c r="D4" s="3421"/>
      <c r="E4" s="3444" t="s">
        <v>523</v>
      </c>
      <c r="F4" s="3445"/>
      <c r="G4" s="3420" t="s">
        <v>524</v>
      </c>
      <c r="H4" s="3421"/>
      <c r="I4" s="3420" t="s">
        <v>525</v>
      </c>
      <c r="J4" s="3421"/>
      <c r="K4" s="514" t="s">
        <v>526</v>
      </c>
      <c r="L4" s="2119"/>
      <c r="M4" s="2120"/>
      <c r="N4" s="2120"/>
      <c r="O4" s="2120"/>
      <c r="P4" s="3520" t="s">
        <v>527</v>
      </c>
      <c r="Q4" s="3423"/>
      <c r="R4" s="3408" t="s">
        <v>523</v>
      </c>
      <c r="S4" s="3409"/>
      <c r="T4" s="3408" t="s">
        <v>524</v>
      </c>
      <c r="U4" s="3409"/>
      <c r="V4" s="3428" t="s">
        <v>525</v>
      </c>
      <c r="W4" s="3428"/>
      <c r="X4" s="1554"/>
      <c r="Y4" s="3408" t="s">
        <v>527</v>
      </c>
      <c r="Z4" s="3409"/>
      <c r="AA4" s="3403" t="s">
        <v>523</v>
      </c>
      <c r="AB4" s="3403" t="s">
        <v>524</v>
      </c>
      <c r="AC4" s="3403" t="s">
        <v>525</v>
      </c>
    </row>
    <row r="5" spans="1:29" ht="15">
      <c r="A5" s="515"/>
      <c r="B5" s="516"/>
      <c r="C5" s="3431" t="s">
        <v>2931</v>
      </c>
      <c r="D5" s="3432"/>
      <c r="E5" s="3446" t="s">
        <v>2932</v>
      </c>
      <c r="F5" s="3447"/>
      <c r="G5" s="3431" t="s">
        <v>2933</v>
      </c>
      <c r="H5" s="3432"/>
      <c r="I5" s="3431" t="s">
        <v>2934</v>
      </c>
      <c r="J5" s="3432"/>
      <c r="K5" s="514"/>
      <c r="L5" s="2119"/>
      <c r="M5" s="2120"/>
      <c r="N5" s="2120"/>
      <c r="O5" s="2120"/>
      <c r="P5" s="3521"/>
      <c r="Q5" s="3425"/>
      <c r="R5" s="3410"/>
      <c r="S5" s="3411"/>
      <c r="T5" s="3410"/>
      <c r="U5" s="3411"/>
      <c r="V5" s="3428"/>
      <c r="W5" s="3428"/>
      <c r="X5" s="1554"/>
      <c r="Y5" s="3410"/>
      <c r="Z5" s="3411"/>
      <c r="AA5" s="3404"/>
      <c r="AB5" s="3404"/>
      <c r="AC5" s="3404"/>
    </row>
    <row r="6" spans="1:29" ht="15.75" thickBot="1">
      <c r="A6" s="517"/>
      <c r="B6" s="518"/>
      <c r="C6" s="3429" t="s">
        <v>2935</v>
      </c>
      <c r="D6" s="3430"/>
      <c r="E6" s="3448" t="s">
        <v>2935</v>
      </c>
      <c r="F6" s="3449"/>
      <c r="G6" s="3429" t="s">
        <v>2935</v>
      </c>
      <c r="H6" s="3430"/>
      <c r="I6" s="3429" t="s">
        <v>2935</v>
      </c>
      <c r="J6" s="3430"/>
      <c r="K6" s="514" t="s">
        <v>528</v>
      </c>
      <c r="L6" s="2119"/>
      <c r="M6" s="2120"/>
      <c r="N6" s="2120"/>
      <c r="O6" s="2120"/>
      <c r="P6" s="3522"/>
      <c r="Q6" s="3427"/>
      <c r="R6" s="3410"/>
      <c r="S6" s="3411"/>
      <c r="T6" s="3412"/>
      <c r="U6" s="3413"/>
      <c r="V6" s="3428"/>
      <c r="W6" s="3428"/>
      <c r="X6" s="1554"/>
      <c r="Y6" s="3412"/>
      <c r="Z6" s="3413"/>
      <c r="AA6" s="3405"/>
      <c r="AB6" s="3405"/>
      <c r="AC6" s="3405"/>
    </row>
    <row r="7" spans="1:29" s="1216" customFormat="1" ht="15.75" thickBot="1">
      <c r="A7" s="2868"/>
      <c r="B7" s="2875" t="s">
        <v>529</v>
      </c>
      <c r="C7" s="519">
        <f>'数据-取费表'!B2</f>
        <v>44435</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15" t="s">
        <v>530</v>
      </c>
      <c r="Q7" s="3415"/>
      <c r="R7" s="1555" t="s">
        <v>8</v>
      </c>
      <c r="S7" s="1556">
        <f t="shared" ref="S7:S15" si="0">F7</f>
        <v>0</v>
      </c>
      <c r="T7" s="1555" t="s">
        <v>8</v>
      </c>
      <c r="U7" s="1556">
        <f t="shared" ref="U7:U15" si="1">H7</f>
        <v>0</v>
      </c>
      <c r="V7" s="1555" t="s">
        <v>8</v>
      </c>
      <c r="W7" s="1556">
        <f t="shared" ref="W7:W15" si="2">J7</f>
        <v>0</v>
      </c>
      <c r="X7" s="1557"/>
      <c r="Y7" s="3406" t="s">
        <v>530</v>
      </c>
      <c r="Z7" s="3407"/>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15" t="s">
        <v>533</v>
      </c>
      <c r="Q8" s="3407"/>
      <c r="R8" s="1555" t="s">
        <v>8</v>
      </c>
      <c r="S8" s="1556">
        <f t="shared" si="0"/>
        <v>0</v>
      </c>
      <c r="T8" s="1555" t="s">
        <v>8</v>
      </c>
      <c r="U8" s="1556">
        <f t="shared" si="1"/>
        <v>0</v>
      </c>
      <c r="V8" s="1555" t="s">
        <v>8</v>
      </c>
      <c r="W8" s="1556">
        <f t="shared" si="2"/>
        <v>0</v>
      </c>
      <c r="X8" s="1557"/>
      <c r="Y8" s="3406" t="s">
        <v>533</v>
      </c>
      <c r="Z8" s="3407"/>
      <c r="AA8" s="1558" t="e">
        <f t="shared" ref="AA8:AA47" si="3">D8/F8</f>
        <v>#DIV/0!</v>
      </c>
      <c r="AB8" s="1558" t="e">
        <f t="shared" ref="AB8:AB47" si="4">D8/H8</f>
        <v>#DIV/0!</v>
      </c>
      <c r="AC8" s="1558" t="e">
        <f t="shared" ref="AC8:AC47" si="5">D8/J8</f>
        <v>#DIV/0!</v>
      </c>
    </row>
    <row r="9" spans="1:29" s="1216" customFormat="1" ht="15">
      <c r="A9" s="2870"/>
      <c r="B9" s="2877" t="s">
        <v>2756</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414" t="s">
        <v>535</v>
      </c>
      <c r="Q9" s="1147" t="str">
        <f t="shared" ref="Q9:Q15" si="6">B9</f>
        <v>用途</v>
      </c>
      <c r="R9" s="1555" t="s">
        <v>8</v>
      </c>
      <c r="S9" s="1556">
        <f t="shared" si="0"/>
        <v>100</v>
      </c>
      <c r="T9" s="1555" t="s">
        <v>8</v>
      </c>
      <c r="U9" s="1556">
        <f t="shared" si="1"/>
        <v>100</v>
      </c>
      <c r="V9" s="1555" t="s">
        <v>8</v>
      </c>
      <c r="W9" s="1556">
        <f t="shared" si="2"/>
        <v>100</v>
      </c>
      <c r="X9" s="1557"/>
      <c r="Y9" s="3371"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414"/>
      <c r="Q10" s="1147" t="str">
        <f t="shared" si="6"/>
        <v>土地使用年限（年）</v>
      </c>
      <c r="R10" s="1555" t="s">
        <v>8</v>
      </c>
      <c r="S10" s="1556">
        <f t="shared" si="0"/>
        <v>100</v>
      </c>
      <c r="T10" s="1555" t="s">
        <v>8</v>
      </c>
      <c r="U10" s="1556">
        <f t="shared" si="1"/>
        <v>100</v>
      </c>
      <c r="V10" s="1555" t="s">
        <v>8</v>
      </c>
      <c r="W10" s="1556">
        <f t="shared" si="2"/>
        <v>100</v>
      </c>
      <c r="X10" s="1557"/>
      <c r="Y10" s="3371"/>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414"/>
      <c r="Q11" s="1147" t="str">
        <f t="shared" si="6"/>
        <v>容积率</v>
      </c>
      <c r="R11" s="1555" t="s">
        <v>8</v>
      </c>
      <c r="S11" s="1556" t="e">
        <f t="shared" si="0"/>
        <v>#N/A</v>
      </c>
      <c r="T11" s="1555" t="s">
        <v>8</v>
      </c>
      <c r="U11" s="1556" t="e">
        <f t="shared" si="1"/>
        <v>#N/A</v>
      </c>
      <c r="V11" s="1555" t="s">
        <v>8</v>
      </c>
      <c r="W11" s="1556" t="e">
        <f t="shared" si="2"/>
        <v>#N/A</v>
      </c>
      <c r="X11" s="1557"/>
      <c r="Y11" s="337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414"/>
      <c r="Q12" s="1147">
        <f t="shared" si="6"/>
        <v>111</v>
      </c>
      <c r="R12" s="1555" t="s">
        <v>8</v>
      </c>
      <c r="S12" s="1556">
        <f t="shared" si="0"/>
        <v>100</v>
      </c>
      <c r="T12" s="1555" t="s">
        <v>8</v>
      </c>
      <c r="U12" s="1556">
        <f t="shared" si="1"/>
        <v>100</v>
      </c>
      <c r="V12" s="1555" t="s">
        <v>8</v>
      </c>
      <c r="W12" s="1556">
        <f t="shared" si="2"/>
        <v>100</v>
      </c>
      <c r="X12" s="1557"/>
      <c r="Y12" s="3371"/>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414"/>
      <c r="Q13" s="1147">
        <f t="shared" si="6"/>
        <v>111</v>
      </c>
      <c r="R13" s="1555" t="s">
        <v>8</v>
      </c>
      <c r="S13" s="1556">
        <f t="shared" si="0"/>
        <v>100</v>
      </c>
      <c r="T13" s="1555" t="s">
        <v>8</v>
      </c>
      <c r="U13" s="1556">
        <f t="shared" si="1"/>
        <v>100</v>
      </c>
      <c r="V13" s="1555" t="s">
        <v>8</v>
      </c>
      <c r="W13" s="1556">
        <f t="shared" si="2"/>
        <v>100</v>
      </c>
      <c r="X13" s="1557"/>
      <c r="Y13" s="3371"/>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414"/>
      <c r="Q14" s="1147">
        <f t="shared" si="6"/>
        <v>111</v>
      </c>
      <c r="R14" s="1555" t="s">
        <v>8</v>
      </c>
      <c r="S14" s="1556">
        <f t="shared" si="0"/>
        <v>100</v>
      </c>
      <c r="T14" s="1555" t="s">
        <v>8</v>
      </c>
      <c r="U14" s="1556">
        <f t="shared" si="1"/>
        <v>100</v>
      </c>
      <c r="V14" s="1555" t="s">
        <v>8</v>
      </c>
      <c r="W14" s="1556">
        <f t="shared" si="2"/>
        <v>100</v>
      </c>
      <c r="X14" s="1557"/>
      <c r="Y14" s="3371"/>
      <c r="Z14" s="1146">
        <f t="shared" si="7"/>
        <v>111</v>
      </c>
      <c r="AA14" s="1558">
        <f t="shared" si="3"/>
        <v>1</v>
      </c>
      <c r="AB14" s="1558">
        <f t="shared" si="4"/>
        <v>1</v>
      </c>
      <c r="AC14" s="1558">
        <f t="shared" si="5"/>
        <v>1</v>
      </c>
    </row>
    <row r="15" spans="1:29" ht="71.25">
      <c r="A15" s="2866"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16" t="s">
        <v>540</v>
      </c>
      <c r="Q15" s="1559" t="str">
        <f t="shared" si="6"/>
        <v>办公集聚程度</v>
      </c>
      <c r="R15" s="1560" t="s">
        <v>8</v>
      </c>
      <c r="S15" s="1561">
        <f t="shared" si="0"/>
        <v>100</v>
      </c>
      <c r="T15" s="1560" t="s">
        <v>8</v>
      </c>
      <c r="U15" s="1561">
        <f t="shared" si="1"/>
        <v>100</v>
      </c>
      <c r="V15" s="1560" t="s">
        <v>8</v>
      </c>
      <c r="W15" s="1561">
        <f t="shared" si="2"/>
        <v>100</v>
      </c>
      <c r="X15" s="1554"/>
      <c r="Y15" s="3416"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17"/>
      <c r="Q16" s="1559"/>
      <c r="R16" s="1560"/>
      <c r="S16" s="1561"/>
      <c r="T16" s="1560"/>
      <c r="U16" s="1561"/>
      <c r="V16" s="1560"/>
      <c r="W16" s="1561"/>
      <c r="X16" s="1554"/>
      <c r="Y16" s="3417"/>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17"/>
      <c r="Q17" s="1559" t="str">
        <f>B17</f>
        <v>交通便捷度</v>
      </c>
      <c r="R17" s="1560" t="s">
        <v>8</v>
      </c>
      <c r="S17" s="1561">
        <f>F17</f>
        <v>100</v>
      </c>
      <c r="T17" s="1560" t="s">
        <v>8</v>
      </c>
      <c r="U17" s="1561">
        <f>H17</f>
        <v>100</v>
      </c>
      <c r="V17" s="1560" t="s">
        <v>8</v>
      </c>
      <c r="W17" s="1561">
        <f>J17</f>
        <v>100</v>
      </c>
      <c r="X17" s="1554"/>
      <c r="Y17" s="3417"/>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17"/>
      <c r="Q18" s="1559"/>
      <c r="R18" s="1560"/>
      <c r="S18" s="1561"/>
      <c r="T18" s="1560"/>
      <c r="U18" s="1561"/>
      <c r="V18" s="1560"/>
      <c r="W18" s="1561"/>
      <c r="X18" s="1554"/>
      <c r="Y18" s="3417"/>
      <c r="Z18" s="1562"/>
      <c r="AA18" s="1563">
        <v>1</v>
      </c>
      <c r="AB18" s="1563">
        <v>1</v>
      </c>
      <c r="AC18" s="1563">
        <v>1</v>
      </c>
    </row>
    <row r="19" spans="1:29" ht="42.75">
      <c r="A19" s="532"/>
      <c r="B19" s="2568"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17"/>
      <c r="Q19" s="1559" t="str">
        <f>B19</f>
        <v>公共配套设施</v>
      </c>
      <c r="R19" s="1560" t="s">
        <v>8</v>
      </c>
      <c r="S19" s="1561">
        <f>F19</f>
        <v>100</v>
      </c>
      <c r="T19" s="1560" t="s">
        <v>8</v>
      </c>
      <c r="U19" s="1561">
        <f>H19</f>
        <v>100</v>
      </c>
      <c r="V19" s="1560" t="s">
        <v>8</v>
      </c>
      <c r="W19" s="1561">
        <f>J19</f>
        <v>100</v>
      </c>
      <c r="X19" s="1554"/>
      <c r="Y19" s="3417"/>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17"/>
      <c r="Q20" s="1559"/>
      <c r="R20" s="1560"/>
      <c r="S20" s="1561"/>
      <c r="T20" s="1560"/>
      <c r="U20" s="1561"/>
      <c r="V20" s="1560"/>
      <c r="W20" s="1561"/>
      <c r="X20" s="1554"/>
      <c r="Y20" s="3417"/>
      <c r="Z20" s="1562"/>
      <c r="AA20" s="1563">
        <v>1</v>
      </c>
      <c r="AB20" s="1563">
        <v>1</v>
      </c>
      <c r="AC20" s="1563">
        <v>1</v>
      </c>
    </row>
    <row r="21" spans="1:29" ht="28.5">
      <c r="A21" s="532"/>
      <c r="B21" s="2556"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17"/>
      <c r="Q21" s="2544" t="str">
        <f>B21</f>
        <v>基础设施水平</v>
      </c>
      <c r="R21" s="1560" t="s">
        <v>8</v>
      </c>
      <c r="S21" s="1561">
        <f>F21</f>
        <v>100</v>
      </c>
      <c r="T21" s="1560" t="s">
        <v>8</v>
      </c>
      <c r="U21" s="1561">
        <f>H21</f>
        <v>100</v>
      </c>
      <c r="V21" s="1560" t="s">
        <v>8</v>
      </c>
      <c r="W21" s="1561">
        <f>J21</f>
        <v>100</v>
      </c>
      <c r="X21" s="2546"/>
      <c r="Y21" s="3417"/>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17"/>
      <c r="Q22" s="2544"/>
      <c r="R22" s="1560"/>
      <c r="S22" s="1561"/>
      <c r="T22" s="1560"/>
      <c r="U22" s="1561"/>
      <c r="V22" s="1560"/>
      <c r="W22" s="1561"/>
      <c r="X22" s="2546"/>
      <c r="Y22" s="3417"/>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17"/>
      <c r="Q23" s="1559" t="str">
        <f>B23</f>
        <v>环境质量</v>
      </c>
      <c r="R23" s="1560" t="s">
        <v>8</v>
      </c>
      <c r="S23" s="1561">
        <f>F23</f>
        <v>100</v>
      </c>
      <c r="T23" s="1560" t="s">
        <v>8</v>
      </c>
      <c r="U23" s="1561">
        <f>H23</f>
        <v>100</v>
      </c>
      <c r="V23" s="1560" t="s">
        <v>8</v>
      </c>
      <c r="W23" s="1561">
        <f>J23</f>
        <v>100</v>
      </c>
      <c r="X23" s="1554"/>
      <c r="Y23" s="3417"/>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17"/>
      <c r="Q24" s="1559"/>
      <c r="R24" s="1560"/>
      <c r="S24" s="1561"/>
      <c r="T24" s="1560"/>
      <c r="U24" s="1561"/>
      <c r="V24" s="1560"/>
      <c r="W24" s="1561"/>
      <c r="X24" s="1554"/>
      <c r="Y24" s="3417"/>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17"/>
      <c r="Q25" s="1559" t="str">
        <f>B25</f>
        <v>毗邻道路的类型与等级</v>
      </c>
      <c r="R25" s="1560" t="s">
        <v>8</v>
      </c>
      <c r="S25" s="1561">
        <f>F25</f>
        <v>100</v>
      </c>
      <c r="T25" s="1560" t="s">
        <v>8</v>
      </c>
      <c r="U25" s="1561">
        <f>H25</f>
        <v>100</v>
      </c>
      <c r="V25" s="1560" t="s">
        <v>8</v>
      </c>
      <c r="W25" s="1561">
        <f>J25</f>
        <v>100</v>
      </c>
      <c r="X25" s="1554"/>
      <c r="Y25" s="3417"/>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17"/>
      <c r="Q26" s="1559"/>
      <c r="R26" s="1560"/>
      <c r="S26" s="1561"/>
      <c r="T26" s="1560"/>
      <c r="U26" s="1561"/>
      <c r="V26" s="1560"/>
      <c r="W26" s="1561"/>
      <c r="X26" s="1554"/>
      <c r="Y26" s="3417"/>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17"/>
      <c r="Q27" s="1559" t="str">
        <f t="shared" ref="Q27:Q47" si="11">B27</f>
        <v>楼层</v>
      </c>
      <c r="R27" s="1560" t="s">
        <v>8</v>
      </c>
      <c r="S27" s="1561">
        <f>F27</f>
        <v>100</v>
      </c>
      <c r="T27" s="1560" t="s">
        <v>8</v>
      </c>
      <c r="U27" s="1561">
        <f>H27</f>
        <v>100</v>
      </c>
      <c r="V27" s="1560" t="s">
        <v>8</v>
      </c>
      <c r="W27" s="1561">
        <f>J27</f>
        <v>100</v>
      </c>
      <c r="X27" s="1554"/>
      <c r="Y27" s="3417"/>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17"/>
      <c r="Q28" s="1147" t="str">
        <f t="shared" si="11"/>
        <v>朝向</v>
      </c>
      <c r="R28" s="1555" t="s">
        <v>8</v>
      </c>
      <c r="S28" s="1556">
        <f>F28</f>
        <v>100</v>
      </c>
      <c r="T28" s="1555" t="s">
        <v>8</v>
      </c>
      <c r="U28" s="1556">
        <f>H28</f>
        <v>100</v>
      </c>
      <c r="V28" s="1555" t="s">
        <v>8</v>
      </c>
      <c r="W28" s="1556">
        <f>J28</f>
        <v>100</v>
      </c>
      <c r="X28" s="1557"/>
      <c r="Y28" s="3417"/>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17"/>
      <c r="Q29" s="1559">
        <f t="shared" si="11"/>
        <v>111</v>
      </c>
      <c r="R29" s="1560" t="s">
        <v>8</v>
      </c>
      <c r="S29" s="1561">
        <f t="shared" ref="S29:S47" si="12">F29</f>
        <v>100</v>
      </c>
      <c r="T29" s="1560" t="s">
        <v>8</v>
      </c>
      <c r="U29" s="1561">
        <f t="shared" ref="U29:U47" si="13">H29</f>
        <v>100</v>
      </c>
      <c r="V29" s="1560" t="s">
        <v>8</v>
      </c>
      <c r="W29" s="1561">
        <f t="shared" ref="W29:W47" si="14">J29</f>
        <v>100</v>
      </c>
      <c r="X29" s="1554"/>
      <c r="Y29" s="3417"/>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17"/>
      <c r="Q30" s="1559">
        <f t="shared" si="11"/>
        <v>111</v>
      </c>
      <c r="R30" s="1560" t="s">
        <v>8</v>
      </c>
      <c r="S30" s="1561">
        <f t="shared" si="12"/>
        <v>100</v>
      </c>
      <c r="T30" s="1560" t="s">
        <v>8</v>
      </c>
      <c r="U30" s="1561">
        <f t="shared" si="13"/>
        <v>100</v>
      </c>
      <c r="V30" s="1560" t="s">
        <v>8</v>
      </c>
      <c r="W30" s="1561">
        <f t="shared" si="14"/>
        <v>100</v>
      </c>
      <c r="X30" s="1554"/>
      <c r="Y30" s="3417"/>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17"/>
      <c r="Q31" s="1559">
        <f t="shared" si="11"/>
        <v>111</v>
      </c>
      <c r="R31" s="1560" t="s">
        <v>8</v>
      </c>
      <c r="S31" s="1561">
        <f t="shared" si="12"/>
        <v>100</v>
      </c>
      <c r="T31" s="1560" t="s">
        <v>8</v>
      </c>
      <c r="U31" s="1561">
        <f t="shared" si="13"/>
        <v>100</v>
      </c>
      <c r="V31" s="1560" t="s">
        <v>8</v>
      </c>
      <c r="W31" s="1561">
        <f t="shared" si="14"/>
        <v>100</v>
      </c>
      <c r="X31" s="1554"/>
      <c r="Y31" s="3417"/>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17"/>
      <c r="Q32" s="1559">
        <f t="shared" si="11"/>
        <v>111</v>
      </c>
      <c r="R32" s="1560" t="s">
        <v>8</v>
      </c>
      <c r="S32" s="1561">
        <f t="shared" si="12"/>
        <v>100</v>
      </c>
      <c r="T32" s="1560" t="s">
        <v>8</v>
      </c>
      <c r="U32" s="1561">
        <f t="shared" si="13"/>
        <v>100</v>
      </c>
      <c r="V32" s="1560" t="s">
        <v>8</v>
      </c>
      <c r="W32" s="1561">
        <f t="shared" si="14"/>
        <v>100</v>
      </c>
      <c r="X32" s="1554"/>
      <c r="Y32" s="3417"/>
      <c r="Z32" s="1562">
        <f t="shared" si="15"/>
        <v>111</v>
      </c>
      <c r="AA32" s="1563">
        <f t="shared" si="3"/>
        <v>1</v>
      </c>
      <c r="AB32" s="1563">
        <f t="shared" si="4"/>
        <v>1</v>
      </c>
      <c r="AC32" s="1563">
        <f t="shared" si="5"/>
        <v>1</v>
      </c>
    </row>
    <row r="33" spans="1:29" ht="15">
      <c r="A33" s="286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18" t="s">
        <v>550</v>
      </c>
      <c r="Q33" s="1559" t="str">
        <f t="shared" si="11"/>
        <v>建筑类型</v>
      </c>
      <c r="R33" s="1560" t="s">
        <v>8</v>
      </c>
      <c r="S33" s="1561">
        <f t="shared" si="12"/>
        <v>100</v>
      </c>
      <c r="T33" s="1560" t="s">
        <v>8</v>
      </c>
      <c r="U33" s="1561">
        <f t="shared" si="13"/>
        <v>100</v>
      </c>
      <c r="V33" s="1560" t="s">
        <v>8</v>
      </c>
      <c r="W33" s="1561">
        <f t="shared" si="14"/>
        <v>100</v>
      </c>
      <c r="X33" s="1554"/>
      <c r="Y33" s="3419"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19"/>
      <c r="Q34" s="1591" t="str">
        <f t="shared" si="11"/>
        <v>项目建筑规模</v>
      </c>
      <c r="R34" s="1564" t="s">
        <v>8</v>
      </c>
      <c r="S34" s="1565" t="e">
        <f t="shared" si="12"/>
        <v>#N/A</v>
      </c>
      <c r="T34" s="1564" t="s">
        <v>8</v>
      </c>
      <c r="U34" s="1565" t="e">
        <f t="shared" si="13"/>
        <v>#N/A</v>
      </c>
      <c r="V34" s="1564" t="s">
        <v>8</v>
      </c>
      <c r="W34" s="1565" t="e">
        <f t="shared" si="14"/>
        <v>#N/A</v>
      </c>
      <c r="X34" s="1566"/>
      <c r="Y34" s="3419"/>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19"/>
      <c r="Q35" s="1559" t="str">
        <f t="shared" si="11"/>
        <v>建筑结构</v>
      </c>
      <c r="R35" s="1560" t="s">
        <v>8</v>
      </c>
      <c r="S35" s="1561">
        <f t="shared" si="12"/>
        <v>100</v>
      </c>
      <c r="T35" s="1560" t="s">
        <v>8</v>
      </c>
      <c r="U35" s="1561">
        <f t="shared" si="13"/>
        <v>100</v>
      </c>
      <c r="V35" s="1560" t="s">
        <v>8</v>
      </c>
      <c r="W35" s="1561">
        <f t="shared" si="14"/>
        <v>100</v>
      </c>
      <c r="X35" s="1554"/>
      <c r="Y35" s="3419"/>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19"/>
      <c r="Q36" s="1559" t="str">
        <f t="shared" si="11"/>
        <v>公共部分装修</v>
      </c>
      <c r="R36" s="1560" t="s">
        <v>8</v>
      </c>
      <c r="S36" s="1561">
        <f t="shared" si="12"/>
        <v>100</v>
      </c>
      <c r="T36" s="1560" t="s">
        <v>8</v>
      </c>
      <c r="U36" s="1561">
        <f t="shared" si="13"/>
        <v>100</v>
      </c>
      <c r="V36" s="1560" t="s">
        <v>8</v>
      </c>
      <c r="W36" s="1561">
        <f t="shared" si="14"/>
        <v>100</v>
      </c>
      <c r="X36" s="1554"/>
      <c r="Y36" s="3419"/>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19"/>
      <c r="Q37" s="1559" t="str">
        <f t="shared" si="11"/>
        <v>成新度</v>
      </c>
      <c r="R37" s="1560" t="s">
        <v>8</v>
      </c>
      <c r="S37" s="1561" t="e">
        <f t="shared" si="12"/>
        <v>#N/A</v>
      </c>
      <c r="T37" s="1560" t="s">
        <v>8</v>
      </c>
      <c r="U37" s="1561" t="e">
        <f t="shared" si="13"/>
        <v>#N/A</v>
      </c>
      <c r="V37" s="1560" t="s">
        <v>8</v>
      </c>
      <c r="W37" s="1561" t="e">
        <f t="shared" si="14"/>
        <v>#N/A</v>
      </c>
      <c r="X37" s="1554"/>
      <c r="Y37" s="3419"/>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19"/>
      <c r="Q38" s="1147" t="str">
        <f t="shared" si="11"/>
        <v>写字楼等级</v>
      </c>
      <c r="R38" s="1555" t="s">
        <v>8</v>
      </c>
      <c r="S38" s="1556">
        <f t="shared" si="12"/>
        <v>100</v>
      </c>
      <c r="T38" s="1555" t="s">
        <v>8</v>
      </c>
      <c r="U38" s="1556">
        <f t="shared" si="13"/>
        <v>100</v>
      </c>
      <c r="V38" s="1555" t="s">
        <v>8</v>
      </c>
      <c r="W38" s="1556">
        <f t="shared" si="14"/>
        <v>100</v>
      </c>
      <c r="X38" s="1557"/>
      <c r="Y38" s="3419"/>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19" t="s">
        <v>550</v>
      </c>
      <c r="Q39" s="1559" t="str">
        <f t="shared" si="11"/>
        <v>物业管理</v>
      </c>
      <c r="R39" s="1560" t="s">
        <v>8</v>
      </c>
      <c r="S39" s="1561">
        <f t="shared" si="12"/>
        <v>100</v>
      </c>
      <c r="T39" s="1560" t="s">
        <v>8</v>
      </c>
      <c r="U39" s="1561">
        <f t="shared" si="13"/>
        <v>100</v>
      </c>
      <c r="V39" s="1560" t="s">
        <v>8</v>
      </c>
      <c r="W39" s="1561">
        <f t="shared" si="14"/>
        <v>100</v>
      </c>
      <c r="X39" s="1554"/>
      <c r="Y39" s="3419" t="s">
        <v>550</v>
      </c>
      <c r="Z39" s="1562" t="str">
        <f t="shared" si="15"/>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19"/>
      <c r="Q40" s="1559" t="str">
        <f t="shared" si="11"/>
        <v>市政基础设施</v>
      </c>
      <c r="R40" s="1560" t="s">
        <v>8</v>
      </c>
      <c r="S40" s="1561">
        <f t="shared" si="12"/>
        <v>100</v>
      </c>
      <c r="T40" s="1560" t="s">
        <v>8</v>
      </c>
      <c r="U40" s="1561">
        <f t="shared" si="13"/>
        <v>100</v>
      </c>
      <c r="V40" s="1560" t="s">
        <v>8</v>
      </c>
      <c r="W40" s="1561">
        <f t="shared" si="14"/>
        <v>100</v>
      </c>
      <c r="X40" s="1554"/>
      <c r="Y40" s="3419"/>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19"/>
      <c r="Q41" s="1559" t="str">
        <f t="shared" si="11"/>
        <v>层高</v>
      </c>
      <c r="R41" s="1560" t="s">
        <v>8</v>
      </c>
      <c r="S41" s="1561">
        <f t="shared" si="12"/>
        <v>100</v>
      </c>
      <c r="T41" s="1560" t="s">
        <v>8</v>
      </c>
      <c r="U41" s="1561">
        <f t="shared" si="13"/>
        <v>100</v>
      </c>
      <c r="V41" s="1560" t="s">
        <v>8</v>
      </c>
      <c r="W41" s="1561">
        <f t="shared" si="14"/>
        <v>100</v>
      </c>
      <c r="X41" s="1554"/>
      <c r="Y41" s="3419"/>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19"/>
      <c r="Q42" s="1591" t="str">
        <f t="shared" si="11"/>
        <v>单套建筑面积</v>
      </c>
      <c r="R42" s="1564" t="s">
        <v>8</v>
      </c>
      <c r="S42" s="1565">
        <f t="shared" si="12"/>
        <v>100</v>
      </c>
      <c r="T42" s="1564" t="s">
        <v>8</v>
      </c>
      <c r="U42" s="1565">
        <f t="shared" si="13"/>
        <v>100</v>
      </c>
      <c r="V42" s="1564" t="s">
        <v>8</v>
      </c>
      <c r="W42" s="1565">
        <f t="shared" si="14"/>
        <v>100</v>
      </c>
      <c r="X42" s="1566"/>
      <c r="Y42" s="3419"/>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19"/>
      <c r="Q43" s="1559" t="str">
        <f t="shared" si="11"/>
        <v>内部装修</v>
      </c>
      <c r="R43" s="1560" t="s">
        <v>8</v>
      </c>
      <c r="S43" s="1561">
        <f t="shared" si="12"/>
        <v>100</v>
      </c>
      <c r="T43" s="1560" t="s">
        <v>8</v>
      </c>
      <c r="U43" s="1561">
        <f t="shared" si="13"/>
        <v>100</v>
      </c>
      <c r="V43" s="1560" t="s">
        <v>8</v>
      </c>
      <c r="W43" s="1561">
        <f t="shared" si="14"/>
        <v>100</v>
      </c>
      <c r="X43" s="1554"/>
      <c r="Y43" s="3419"/>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19"/>
      <c r="Q44" s="1559" t="str">
        <f t="shared" si="11"/>
        <v>内部装修维护情况</v>
      </c>
      <c r="R44" s="1560" t="s">
        <v>8</v>
      </c>
      <c r="S44" s="1561">
        <f t="shared" si="12"/>
        <v>100</v>
      </c>
      <c r="T44" s="1560" t="s">
        <v>8</v>
      </c>
      <c r="U44" s="1561">
        <f t="shared" si="13"/>
        <v>100</v>
      </c>
      <c r="V44" s="1560" t="s">
        <v>8</v>
      </c>
      <c r="W44" s="1561">
        <f t="shared" si="14"/>
        <v>100</v>
      </c>
      <c r="X44" s="1554"/>
      <c r="Y44" s="3419"/>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19"/>
      <c r="Q45" s="1147">
        <f t="shared" si="11"/>
        <v>111</v>
      </c>
      <c r="R45" s="1555" t="s">
        <v>8</v>
      </c>
      <c r="S45" s="1556">
        <f t="shared" si="12"/>
        <v>100</v>
      </c>
      <c r="T45" s="1555" t="s">
        <v>8</v>
      </c>
      <c r="U45" s="1556">
        <f t="shared" si="13"/>
        <v>100</v>
      </c>
      <c r="V45" s="1555" t="s">
        <v>8</v>
      </c>
      <c r="W45" s="1556">
        <f t="shared" si="14"/>
        <v>100</v>
      </c>
      <c r="X45" s="1557"/>
      <c r="Y45" s="3419"/>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19"/>
      <c r="Q46" s="1559">
        <f t="shared" si="11"/>
        <v>111</v>
      </c>
      <c r="R46" s="1560" t="s">
        <v>8</v>
      </c>
      <c r="S46" s="1561">
        <f t="shared" si="12"/>
        <v>100</v>
      </c>
      <c r="T46" s="1560" t="s">
        <v>8</v>
      </c>
      <c r="U46" s="1561">
        <f t="shared" si="13"/>
        <v>100</v>
      </c>
      <c r="V46" s="1560" t="s">
        <v>8</v>
      </c>
      <c r="W46" s="1561">
        <f t="shared" si="14"/>
        <v>100</v>
      </c>
      <c r="X46" s="1554"/>
      <c r="Y46" s="3419"/>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519"/>
      <c r="Q47" s="1559">
        <f t="shared" si="11"/>
        <v>111</v>
      </c>
      <c r="R47" s="1560" t="s">
        <v>8</v>
      </c>
      <c r="S47" s="1561">
        <f t="shared" si="12"/>
        <v>100</v>
      </c>
      <c r="T47" s="1560" t="s">
        <v>8</v>
      </c>
      <c r="U47" s="1561">
        <f t="shared" si="13"/>
        <v>100</v>
      </c>
      <c r="V47" s="1560" t="s">
        <v>8</v>
      </c>
      <c r="W47" s="1561">
        <f t="shared" si="14"/>
        <v>100</v>
      </c>
      <c r="X47" s="1554"/>
      <c r="Y47" s="3519"/>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436" t="str">
        <f>A48</f>
        <v>成交单价（元/平方米）</v>
      </c>
      <c r="Q48" s="3414"/>
      <c r="R48" s="3518">
        <f>E48</f>
        <v>0</v>
      </c>
      <c r="S48" s="3518"/>
      <c r="T48" s="3518">
        <f>G48</f>
        <v>0</v>
      </c>
      <c r="U48" s="3518"/>
      <c r="V48" s="3518">
        <f>I48</f>
        <v>0</v>
      </c>
      <c r="W48" s="3518"/>
      <c r="X48" s="1546"/>
      <c r="Y48" s="1568"/>
      <c r="Z48" s="1546"/>
      <c r="AA48" s="1546"/>
      <c r="AB48" s="1546"/>
      <c r="AC48" s="1546"/>
    </row>
    <row r="49" spans="1:29" ht="15.75" thickBot="1">
      <c r="A49" s="615" t="s">
        <v>2760</v>
      </c>
      <c r="B49" s="888"/>
      <c r="C49" s="2598" t="e">
        <f>R50</f>
        <v>#DIV/0!</v>
      </c>
      <c r="D49" s="2599"/>
      <c r="E49" s="2600" t="e">
        <f>R49</f>
        <v>#DIV/0!</v>
      </c>
      <c r="F49" s="2600"/>
      <c r="G49" s="2598" t="e">
        <f>T49</f>
        <v>#DIV/0!</v>
      </c>
      <c r="H49" s="2599"/>
      <c r="I49" s="2600" t="e">
        <f>V49</f>
        <v>#DIV/0!</v>
      </c>
      <c r="J49" s="2599"/>
      <c r="K49" s="1598"/>
      <c r="L49" s="2130"/>
      <c r="M49" s="2120"/>
      <c r="N49" s="2120"/>
      <c r="O49" s="2120"/>
      <c r="P49" s="3436" t="str">
        <f>A49</f>
        <v>比较价格（元/平方米）</v>
      </c>
      <c r="Q49" s="3414"/>
      <c r="R49" s="3518" t="e">
        <f>IF(F1="售价",ROUND(PRODUCT(R48,AA7:AA47),0),ROUND(PRODUCT(R48,AA7:AA47),1))</f>
        <v>#DIV/0!</v>
      </c>
      <c r="S49" s="3518"/>
      <c r="T49" s="3518" t="e">
        <f>IF(F1="售价",ROUND(PRODUCT(T48,AB7:AB47),0),ROUND(PRODUCT(T48,AB7:AB47),1))</f>
        <v>#DIV/0!</v>
      </c>
      <c r="U49" s="3518"/>
      <c r="V49" s="3518" t="e">
        <f>IF(F1="售价",ROUND(PRODUCT(V48,AC7:AC47),0),ROUND(PRODUCT(V48,AC7:AC47),1))</f>
        <v>#DIV/0!</v>
      </c>
      <c r="W49" s="3518"/>
      <c r="X49" s="1546"/>
      <c r="Y49" s="1546"/>
      <c r="Z49" s="1546"/>
      <c r="AA49" s="1546"/>
      <c r="AB49" s="1546"/>
      <c r="AC49" s="1546"/>
    </row>
    <row r="50" spans="1:29" ht="15.75" thickBot="1">
      <c r="A50" s="621" t="s">
        <v>2937</v>
      </c>
      <c r="B50" s="622"/>
      <c r="C50" s="2601" t="e">
        <f>R50</f>
        <v>#DIV/0!</v>
      </c>
      <c r="D50" s="2601"/>
      <c r="E50" s="2601"/>
      <c r="F50" s="2601"/>
      <c r="G50" s="2601"/>
      <c r="H50" s="2601"/>
      <c r="I50" s="2601"/>
      <c r="J50" s="2601"/>
      <c r="K50" s="1599"/>
      <c r="L50" s="2130"/>
      <c r="M50" s="2120"/>
      <c r="N50" s="2120"/>
      <c r="O50" s="2120"/>
      <c r="P50" s="3523" t="str">
        <f>A50</f>
        <v>估价对象XX用房的比较价格（楼面单价，元/平方米）</v>
      </c>
      <c r="Q50" s="3436"/>
      <c r="R50" s="3517" t="e">
        <f>IF(F1="售价",ROUND(AVERAGE(R49:V49),0),ROUND(AVERAGE(R49:V49),1))</f>
        <v>#DIV/0!</v>
      </c>
      <c r="S50" s="3517"/>
      <c r="T50" s="3517"/>
      <c r="U50" s="3517"/>
      <c r="V50" s="3517"/>
      <c r="W50" s="3517"/>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2021-8</v>
      </c>
      <c r="D59" s="2760">
        <f>EDATE(C59,-1)</f>
        <v>44378</v>
      </c>
      <c r="E59" s="2760">
        <f t="shared" ref="E59:O59" si="16">EDATE(D59,-1)</f>
        <v>44348</v>
      </c>
      <c r="F59" s="2760">
        <f t="shared" si="16"/>
        <v>44317</v>
      </c>
      <c r="G59" s="2760">
        <f t="shared" si="16"/>
        <v>44287</v>
      </c>
      <c r="H59" s="2760">
        <f t="shared" si="16"/>
        <v>44256</v>
      </c>
      <c r="I59" s="2760">
        <f t="shared" si="16"/>
        <v>44228</v>
      </c>
      <c r="J59" s="2760">
        <f t="shared" si="16"/>
        <v>44197</v>
      </c>
      <c r="K59" s="2760">
        <f t="shared" si="16"/>
        <v>44166</v>
      </c>
      <c r="L59" s="2760">
        <f t="shared" si="16"/>
        <v>44136</v>
      </c>
      <c r="M59" s="2760">
        <f t="shared" si="16"/>
        <v>44105</v>
      </c>
      <c r="N59" s="2760">
        <f t="shared" si="16"/>
        <v>44075</v>
      </c>
      <c r="O59" s="2760">
        <f t="shared" si="16"/>
        <v>44044</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2558</v>
      </c>
      <c r="C83" s="2563" t="s">
        <v>2559</v>
      </c>
      <c r="D83" s="2563" t="s">
        <v>2560</v>
      </c>
      <c r="E83" s="2563" t="s">
        <v>2561</v>
      </c>
      <c r="F83" s="2563" t="s">
        <v>2562</v>
      </c>
      <c r="G83" s="2563" t="s">
        <v>2563</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420" t="s">
        <v>522</v>
      </c>
      <c r="D4" s="3421"/>
      <c r="E4" s="3444" t="s">
        <v>523</v>
      </c>
      <c r="F4" s="3445"/>
      <c r="G4" s="3420" t="s">
        <v>524</v>
      </c>
      <c r="H4" s="3421"/>
      <c r="I4" s="3420" t="s">
        <v>525</v>
      </c>
      <c r="J4" s="3421"/>
      <c r="K4" s="514" t="s">
        <v>526</v>
      </c>
      <c r="L4" s="2119"/>
      <c r="M4" s="2120"/>
      <c r="N4" s="2120"/>
      <c r="O4" s="2120"/>
      <c r="P4" s="3422" t="s">
        <v>527</v>
      </c>
      <c r="Q4" s="3423"/>
      <c r="R4" s="3408" t="s">
        <v>523</v>
      </c>
      <c r="S4" s="3409"/>
      <c r="T4" s="3408" t="s">
        <v>524</v>
      </c>
      <c r="U4" s="3409"/>
      <c r="V4" s="3428" t="s">
        <v>525</v>
      </c>
      <c r="W4" s="3428"/>
      <c r="X4" s="1554"/>
      <c r="Y4" s="3408" t="s">
        <v>527</v>
      </c>
      <c r="Z4" s="3409"/>
      <c r="AA4" s="3403" t="s">
        <v>523</v>
      </c>
      <c r="AB4" s="3404" t="s">
        <v>524</v>
      </c>
      <c r="AC4" s="3403" t="s">
        <v>525</v>
      </c>
    </row>
    <row r="5" spans="1:29" ht="15">
      <c r="A5" s="515"/>
      <c r="B5" s="516"/>
      <c r="C5" s="3431" t="s">
        <v>2931</v>
      </c>
      <c r="D5" s="3432"/>
      <c r="E5" s="3446" t="s">
        <v>2932</v>
      </c>
      <c r="F5" s="3447"/>
      <c r="G5" s="3431" t="s">
        <v>2933</v>
      </c>
      <c r="H5" s="3432"/>
      <c r="I5" s="3431" t="s">
        <v>2934</v>
      </c>
      <c r="J5" s="3432"/>
      <c r="K5" s="514"/>
      <c r="L5" s="2119"/>
      <c r="M5" s="2120"/>
      <c r="N5" s="2120"/>
      <c r="O5" s="2120"/>
      <c r="P5" s="3424"/>
      <c r="Q5" s="3425"/>
      <c r="R5" s="3410"/>
      <c r="S5" s="3411"/>
      <c r="T5" s="3410"/>
      <c r="U5" s="3411"/>
      <c r="V5" s="3428"/>
      <c r="W5" s="3428"/>
      <c r="X5" s="1554"/>
      <c r="Y5" s="3410"/>
      <c r="Z5" s="3411"/>
      <c r="AA5" s="3404"/>
      <c r="AB5" s="3404"/>
      <c r="AC5" s="3404"/>
    </row>
    <row r="6" spans="1:29" ht="15.75" thickBot="1">
      <c r="A6" s="517"/>
      <c r="B6" s="518"/>
      <c r="C6" s="3429" t="s">
        <v>2935</v>
      </c>
      <c r="D6" s="3430"/>
      <c r="E6" s="3448" t="s">
        <v>2935</v>
      </c>
      <c r="F6" s="3449"/>
      <c r="G6" s="3429" t="s">
        <v>2935</v>
      </c>
      <c r="H6" s="3430"/>
      <c r="I6" s="3429" t="s">
        <v>2935</v>
      </c>
      <c r="J6" s="3430"/>
      <c r="K6" s="514" t="s">
        <v>528</v>
      </c>
      <c r="L6" s="2119"/>
      <c r="M6" s="2120"/>
      <c r="N6" s="2120"/>
      <c r="O6" s="2120"/>
      <c r="P6" s="3426"/>
      <c r="Q6" s="3427"/>
      <c r="R6" s="3410"/>
      <c r="S6" s="3411"/>
      <c r="T6" s="3412"/>
      <c r="U6" s="3413"/>
      <c r="V6" s="3428"/>
      <c r="W6" s="3428"/>
      <c r="X6" s="1554"/>
      <c r="Y6" s="3412"/>
      <c r="Z6" s="3413"/>
      <c r="AA6" s="3405"/>
      <c r="AB6" s="3405"/>
      <c r="AC6" s="3405"/>
    </row>
    <row r="7" spans="1:29" s="1216" customFormat="1" ht="15.75" thickBot="1">
      <c r="A7" s="2868"/>
      <c r="B7" s="2875" t="s">
        <v>529</v>
      </c>
      <c r="C7" s="519">
        <f>'数据-取费表'!B2</f>
        <v>44435</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06" t="s">
        <v>530</v>
      </c>
      <c r="Q7" s="3415"/>
      <c r="R7" s="1555" t="s">
        <v>8</v>
      </c>
      <c r="S7" s="1556">
        <f t="shared" ref="S7:S15" si="0">F7</f>
        <v>0</v>
      </c>
      <c r="T7" s="1555" t="s">
        <v>8</v>
      </c>
      <c r="U7" s="1556">
        <f t="shared" ref="U7:U15" si="1">H7</f>
        <v>0</v>
      </c>
      <c r="V7" s="1555" t="s">
        <v>8</v>
      </c>
      <c r="W7" s="1556">
        <f t="shared" ref="W7:W15" si="2">J7</f>
        <v>0</v>
      </c>
      <c r="X7" s="1557"/>
      <c r="Y7" s="3406" t="s">
        <v>530</v>
      </c>
      <c r="Z7" s="3407"/>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06" t="s">
        <v>533</v>
      </c>
      <c r="Q8" s="3407"/>
      <c r="R8" s="1555" t="s">
        <v>8</v>
      </c>
      <c r="S8" s="1556">
        <f t="shared" si="0"/>
        <v>0</v>
      </c>
      <c r="T8" s="1555" t="s">
        <v>8</v>
      </c>
      <c r="U8" s="1556">
        <f t="shared" si="1"/>
        <v>0</v>
      </c>
      <c r="V8" s="1555" t="s">
        <v>8</v>
      </c>
      <c r="W8" s="1556">
        <f t="shared" si="2"/>
        <v>0</v>
      </c>
      <c r="X8" s="1557"/>
      <c r="Y8" s="3406" t="s">
        <v>533</v>
      </c>
      <c r="Z8" s="3407"/>
      <c r="AA8" s="1558" t="e">
        <f t="shared" ref="AA8:AA40" si="3">D8/F8</f>
        <v>#DIV/0!</v>
      </c>
      <c r="AB8" s="1558" t="e">
        <f t="shared" ref="AB8:AB40" si="4">D8/H8</f>
        <v>#DIV/0!</v>
      </c>
      <c r="AC8" s="1558" t="e">
        <f t="shared" ref="AC8:AC40" si="5">D8/J8</f>
        <v>#DIV/0!</v>
      </c>
    </row>
    <row r="9" spans="1:29" s="1216" customFormat="1" ht="15">
      <c r="A9" s="2870"/>
      <c r="B9" s="2877" t="s">
        <v>2756</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414" t="s">
        <v>535</v>
      </c>
      <c r="Q9" s="1147" t="str">
        <f t="shared" ref="Q9:Q15" si="6">B9</f>
        <v>用途</v>
      </c>
      <c r="R9" s="1555" t="s">
        <v>8</v>
      </c>
      <c r="S9" s="1556">
        <f t="shared" si="0"/>
        <v>100</v>
      </c>
      <c r="T9" s="1555" t="s">
        <v>8</v>
      </c>
      <c r="U9" s="1556">
        <f t="shared" si="1"/>
        <v>100</v>
      </c>
      <c r="V9" s="1555" t="s">
        <v>8</v>
      </c>
      <c r="W9" s="1556">
        <f t="shared" si="2"/>
        <v>100</v>
      </c>
      <c r="X9" s="1557"/>
      <c r="Y9" s="3371"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414"/>
      <c r="Q10" s="1147" t="str">
        <f t="shared" si="6"/>
        <v>土地使用年限（年）</v>
      </c>
      <c r="R10" s="1555" t="s">
        <v>8</v>
      </c>
      <c r="S10" s="1556">
        <f t="shared" si="0"/>
        <v>100</v>
      </c>
      <c r="T10" s="1555" t="s">
        <v>8</v>
      </c>
      <c r="U10" s="1556">
        <f t="shared" si="1"/>
        <v>100</v>
      </c>
      <c r="V10" s="1555" t="s">
        <v>8</v>
      </c>
      <c r="W10" s="1556">
        <f t="shared" si="2"/>
        <v>100</v>
      </c>
      <c r="X10" s="1557"/>
      <c r="Y10" s="3371"/>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414"/>
      <c r="Q11" s="1147" t="str">
        <f t="shared" si="6"/>
        <v>容积率</v>
      </c>
      <c r="R11" s="1555" t="s">
        <v>8</v>
      </c>
      <c r="S11" s="1556" t="e">
        <f t="shared" si="0"/>
        <v>#N/A</v>
      </c>
      <c r="T11" s="1555" t="s">
        <v>8</v>
      </c>
      <c r="U11" s="1556" t="e">
        <f t="shared" si="1"/>
        <v>#N/A</v>
      </c>
      <c r="V11" s="1555" t="s">
        <v>8</v>
      </c>
      <c r="W11" s="1556" t="e">
        <f t="shared" si="2"/>
        <v>#N/A</v>
      </c>
      <c r="X11" s="1557"/>
      <c r="Y11" s="337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414"/>
      <c r="Q12" s="1147">
        <f t="shared" si="6"/>
        <v>111</v>
      </c>
      <c r="R12" s="1555" t="s">
        <v>8</v>
      </c>
      <c r="S12" s="1556">
        <f t="shared" si="0"/>
        <v>100</v>
      </c>
      <c r="T12" s="1555" t="s">
        <v>8</v>
      </c>
      <c r="U12" s="1556">
        <f t="shared" si="1"/>
        <v>100</v>
      </c>
      <c r="V12" s="1555" t="s">
        <v>8</v>
      </c>
      <c r="W12" s="1556">
        <f t="shared" si="2"/>
        <v>100</v>
      </c>
      <c r="X12" s="1557"/>
      <c r="Y12" s="3371"/>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414"/>
      <c r="Q13" s="1147">
        <f t="shared" si="6"/>
        <v>111</v>
      </c>
      <c r="R13" s="1555" t="s">
        <v>8</v>
      </c>
      <c r="S13" s="1556">
        <f t="shared" si="0"/>
        <v>100</v>
      </c>
      <c r="T13" s="1555" t="s">
        <v>8</v>
      </c>
      <c r="U13" s="1556">
        <f t="shared" si="1"/>
        <v>100</v>
      </c>
      <c r="V13" s="1555" t="s">
        <v>8</v>
      </c>
      <c r="W13" s="1556">
        <f t="shared" si="2"/>
        <v>100</v>
      </c>
      <c r="X13" s="1557"/>
      <c r="Y13" s="3371"/>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414"/>
      <c r="Q14" s="1147">
        <f t="shared" si="6"/>
        <v>111</v>
      </c>
      <c r="R14" s="1555" t="s">
        <v>8</v>
      </c>
      <c r="S14" s="1556">
        <f t="shared" si="0"/>
        <v>100</v>
      </c>
      <c r="T14" s="1555" t="s">
        <v>8</v>
      </c>
      <c r="U14" s="1556">
        <f t="shared" si="1"/>
        <v>100</v>
      </c>
      <c r="V14" s="1555" t="s">
        <v>8</v>
      </c>
      <c r="W14" s="1556">
        <f t="shared" si="2"/>
        <v>100</v>
      </c>
      <c r="X14" s="1557"/>
      <c r="Y14" s="3371"/>
      <c r="Z14" s="1146">
        <f t="shared" si="7"/>
        <v>111</v>
      </c>
      <c r="AA14" s="1558">
        <f t="shared" si="3"/>
        <v>1</v>
      </c>
      <c r="AB14" s="1558">
        <f t="shared" si="4"/>
        <v>1</v>
      </c>
      <c r="AC14" s="1558">
        <f t="shared" si="5"/>
        <v>1</v>
      </c>
    </row>
    <row r="15" spans="1:29" ht="57">
      <c r="A15" s="2866"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16" t="s">
        <v>540</v>
      </c>
      <c r="Q15" s="1559" t="str">
        <f t="shared" si="6"/>
        <v>产业集聚程度</v>
      </c>
      <c r="R15" s="1560" t="s">
        <v>8</v>
      </c>
      <c r="S15" s="1561">
        <f t="shared" si="0"/>
        <v>100</v>
      </c>
      <c r="T15" s="1560" t="s">
        <v>8</v>
      </c>
      <c r="U15" s="1561">
        <f t="shared" si="1"/>
        <v>100</v>
      </c>
      <c r="V15" s="1560" t="s">
        <v>8</v>
      </c>
      <c r="W15" s="1561">
        <f t="shared" si="2"/>
        <v>100</v>
      </c>
      <c r="X15" s="1554"/>
      <c r="Y15" s="3416"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17"/>
      <c r="Q16" s="1559"/>
      <c r="R16" s="1560"/>
      <c r="S16" s="1561"/>
      <c r="T16" s="1560"/>
      <c r="U16" s="1561"/>
      <c r="V16" s="1560"/>
      <c r="W16" s="1561"/>
      <c r="X16" s="1554"/>
      <c r="Y16" s="3417"/>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17"/>
      <c r="Q17" s="1559" t="str">
        <f>B17</f>
        <v>交通便捷度</v>
      </c>
      <c r="R17" s="1560" t="s">
        <v>8</v>
      </c>
      <c r="S17" s="1561">
        <f>F17</f>
        <v>100</v>
      </c>
      <c r="T17" s="1560" t="s">
        <v>8</v>
      </c>
      <c r="U17" s="1561">
        <f>H17</f>
        <v>100</v>
      </c>
      <c r="V17" s="1560" t="s">
        <v>8</v>
      </c>
      <c r="W17" s="1561">
        <f>J17</f>
        <v>100</v>
      </c>
      <c r="X17" s="1554"/>
      <c r="Y17" s="3417"/>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17"/>
      <c r="Q18" s="1559"/>
      <c r="R18" s="1560"/>
      <c r="S18" s="1561"/>
      <c r="T18" s="1560"/>
      <c r="U18" s="1561"/>
      <c r="V18" s="1560"/>
      <c r="W18" s="1561"/>
      <c r="X18" s="1554"/>
      <c r="Y18" s="3417"/>
      <c r="Z18" s="1562"/>
      <c r="AA18" s="1563">
        <v>1</v>
      </c>
      <c r="AB18" s="1563">
        <v>1</v>
      </c>
      <c r="AC18" s="1563">
        <v>1</v>
      </c>
    </row>
    <row r="19" spans="1:29" ht="42.75">
      <c r="A19" s="532"/>
      <c r="B19" s="2568"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17"/>
      <c r="Q19" s="1559" t="str">
        <f>B19</f>
        <v>公共配套设施</v>
      </c>
      <c r="R19" s="1560" t="s">
        <v>8</v>
      </c>
      <c r="S19" s="1561">
        <f>F19</f>
        <v>100</v>
      </c>
      <c r="T19" s="1560" t="s">
        <v>8</v>
      </c>
      <c r="U19" s="1561">
        <f>H19</f>
        <v>100</v>
      </c>
      <c r="V19" s="1560" t="s">
        <v>8</v>
      </c>
      <c r="W19" s="1561">
        <f>J19</f>
        <v>100</v>
      </c>
      <c r="X19" s="1554"/>
      <c r="Y19" s="3417"/>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17"/>
      <c r="Q20" s="1559"/>
      <c r="R20" s="1560"/>
      <c r="S20" s="1561"/>
      <c r="T20" s="1560"/>
      <c r="U20" s="1561"/>
      <c r="V20" s="1560"/>
      <c r="W20" s="1561"/>
      <c r="X20" s="1554"/>
      <c r="Y20" s="3417"/>
      <c r="Z20" s="1562"/>
      <c r="AA20" s="1563">
        <v>1</v>
      </c>
      <c r="AB20" s="1563">
        <v>1</v>
      </c>
      <c r="AC20" s="1563">
        <v>1</v>
      </c>
    </row>
    <row r="21" spans="1:29" ht="28.5">
      <c r="A21" s="532"/>
      <c r="B21" s="2556"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17"/>
      <c r="Q21" s="2544" t="str">
        <f>B21</f>
        <v>基础设施水平</v>
      </c>
      <c r="R21" s="1560" t="s">
        <v>8</v>
      </c>
      <c r="S21" s="1561">
        <f>F21</f>
        <v>100</v>
      </c>
      <c r="T21" s="1560" t="s">
        <v>8</v>
      </c>
      <c r="U21" s="1561">
        <f>H21</f>
        <v>100</v>
      </c>
      <c r="V21" s="1560" t="s">
        <v>8</v>
      </c>
      <c r="W21" s="1561">
        <f>J21</f>
        <v>100</v>
      </c>
      <c r="X21" s="2546"/>
      <c r="Y21" s="3417"/>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17"/>
      <c r="Q22" s="2544"/>
      <c r="R22" s="1560"/>
      <c r="S22" s="1561"/>
      <c r="T22" s="1560"/>
      <c r="U22" s="1561"/>
      <c r="V22" s="1560"/>
      <c r="W22" s="1561"/>
      <c r="X22" s="2546"/>
      <c r="Y22" s="3417"/>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17"/>
      <c r="Q23" s="1559" t="str">
        <f>B23</f>
        <v>环境质量</v>
      </c>
      <c r="R23" s="1560" t="s">
        <v>8</v>
      </c>
      <c r="S23" s="1561">
        <f>F23</f>
        <v>100</v>
      </c>
      <c r="T23" s="1560" t="s">
        <v>8</v>
      </c>
      <c r="U23" s="1561">
        <f>H23</f>
        <v>100</v>
      </c>
      <c r="V23" s="1560" t="s">
        <v>8</v>
      </c>
      <c r="W23" s="1561">
        <f>J23</f>
        <v>100</v>
      </c>
      <c r="X23" s="1554"/>
      <c r="Y23" s="3417"/>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17"/>
      <c r="Q24" s="1559"/>
      <c r="R24" s="1560"/>
      <c r="S24" s="1561"/>
      <c r="T24" s="1560"/>
      <c r="U24" s="1561"/>
      <c r="V24" s="1560"/>
      <c r="W24" s="1561"/>
      <c r="X24" s="1554"/>
      <c r="Y24" s="3417"/>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17"/>
      <c r="Q25" s="1559">
        <f>B25</f>
        <v>111</v>
      </c>
      <c r="R25" s="1560" t="s">
        <v>8</v>
      </c>
      <c r="S25" s="1561">
        <f>F25</f>
        <v>100</v>
      </c>
      <c r="T25" s="1560" t="s">
        <v>8</v>
      </c>
      <c r="U25" s="1561">
        <f>H25</f>
        <v>100</v>
      </c>
      <c r="V25" s="1560" t="s">
        <v>8</v>
      </c>
      <c r="W25" s="1561">
        <f>J25</f>
        <v>100</v>
      </c>
      <c r="X25" s="1554"/>
      <c r="Y25" s="3417"/>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17"/>
      <c r="Q26" s="1559">
        <f t="shared" ref="Q26:Q40" si="11">B26</f>
        <v>111</v>
      </c>
      <c r="R26" s="1560" t="s">
        <v>8</v>
      </c>
      <c r="S26" s="1561">
        <f>F26</f>
        <v>100</v>
      </c>
      <c r="T26" s="1560" t="s">
        <v>8</v>
      </c>
      <c r="U26" s="1561">
        <f>H26</f>
        <v>100</v>
      </c>
      <c r="V26" s="1560" t="s">
        <v>8</v>
      </c>
      <c r="W26" s="1561">
        <f>J26</f>
        <v>100</v>
      </c>
      <c r="X26" s="1554"/>
      <c r="Y26" s="3417"/>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17"/>
      <c r="Q27" s="1147">
        <f t="shared" si="11"/>
        <v>111</v>
      </c>
      <c r="R27" s="1555" t="s">
        <v>8</v>
      </c>
      <c r="S27" s="1556">
        <f>F27</f>
        <v>100</v>
      </c>
      <c r="T27" s="1555" t="s">
        <v>8</v>
      </c>
      <c r="U27" s="1556">
        <f>H27</f>
        <v>100</v>
      </c>
      <c r="V27" s="1555" t="s">
        <v>8</v>
      </c>
      <c r="W27" s="1556">
        <f>J27</f>
        <v>100</v>
      </c>
      <c r="X27" s="1557"/>
      <c r="Y27" s="3417"/>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17"/>
      <c r="Q28" s="1559">
        <f t="shared" si="11"/>
        <v>111</v>
      </c>
      <c r="R28" s="1560" t="s">
        <v>8</v>
      </c>
      <c r="S28" s="1561">
        <f t="shared" ref="S28:S40" si="12">F28</f>
        <v>100</v>
      </c>
      <c r="T28" s="1560" t="s">
        <v>8</v>
      </c>
      <c r="U28" s="1561">
        <f t="shared" ref="U28:U40" si="13">H28</f>
        <v>100</v>
      </c>
      <c r="V28" s="1560" t="s">
        <v>8</v>
      </c>
      <c r="W28" s="1561">
        <f t="shared" ref="W28:W40" si="14">J28</f>
        <v>100</v>
      </c>
      <c r="X28" s="1554"/>
      <c r="Y28" s="3417"/>
      <c r="Z28" s="1562">
        <f t="shared" ref="Z28:Z40" si="15">Q28</f>
        <v>111</v>
      </c>
      <c r="AA28" s="1563">
        <f t="shared" si="3"/>
        <v>1</v>
      </c>
      <c r="AB28" s="1563">
        <f t="shared" si="4"/>
        <v>1</v>
      </c>
      <c r="AC28" s="1563">
        <f t="shared" si="5"/>
        <v>1</v>
      </c>
    </row>
    <row r="29" spans="1:29" ht="15">
      <c r="A29" s="286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18" t="s">
        <v>550</v>
      </c>
      <c r="Q29" s="1559" t="str">
        <f t="shared" si="11"/>
        <v>建筑类型</v>
      </c>
      <c r="R29" s="1560" t="s">
        <v>8</v>
      </c>
      <c r="S29" s="1561">
        <f t="shared" si="12"/>
        <v>100</v>
      </c>
      <c r="T29" s="1560" t="s">
        <v>8</v>
      </c>
      <c r="U29" s="1561">
        <f t="shared" si="13"/>
        <v>100</v>
      </c>
      <c r="V29" s="1560" t="s">
        <v>8</v>
      </c>
      <c r="W29" s="1561">
        <f t="shared" si="14"/>
        <v>100</v>
      </c>
      <c r="X29" s="1554"/>
      <c r="Y29" s="3419"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19"/>
      <c r="Q30" s="1591" t="str">
        <f t="shared" si="11"/>
        <v>项目建筑规模</v>
      </c>
      <c r="R30" s="1564" t="s">
        <v>8</v>
      </c>
      <c r="S30" s="1565" t="e">
        <f t="shared" si="12"/>
        <v>#N/A</v>
      </c>
      <c r="T30" s="1564" t="s">
        <v>8</v>
      </c>
      <c r="U30" s="1565" t="e">
        <f t="shared" si="13"/>
        <v>#N/A</v>
      </c>
      <c r="V30" s="1564" t="s">
        <v>8</v>
      </c>
      <c r="W30" s="1565" t="e">
        <f t="shared" si="14"/>
        <v>#N/A</v>
      </c>
      <c r="X30" s="1566"/>
      <c r="Y30" s="3419"/>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19"/>
      <c r="Q31" s="1559" t="str">
        <f t="shared" si="11"/>
        <v>建筑结构</v>
      </c>
      <c r="R31" s="1560" t="s">
        <v>8</v>
      </c>
      <c r="S31" s="1561">
        <f t="shared" si="12"/>
        <v>100</v>
      </c>
      <c r="T31" s="1560" t="s">
        <v>8</v>
      </c>
      <c r="U31" s="1561">
        <f t="shared" si="13"/>
        <v>100</v>
      </c>
      <c r="V31" s="1560" t="s">
        <v>8</v>
      </c>
      <c r="W31" s="1561">
        <f t="shared" si="14"/>
        <v>100</v>
      </c>
      <c r="X31" s="1554"/>
      <c r="Y31" s="3419"/>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19"/>
      <c r="Q32" s="1559" t="str">
        <f t="shared" si="11"/>
        <v>公共部分装修</v>
      </c>
      <c r="R32" s="1560" t="s">
        <v>8</v>
      </c>
      <c r="S32" s="1561">
        <f t="shared" si="12"/>
        <v>100</v>
      </c>
      <c r="T32" s="1560" t="s">
        <v>8</v>
      </c>
      <c r="U32" s="1561">
        <f t="shared" si="13"/>
        <v>100</v>
      </c>
      <c r="V32" s="1560" t="s">
        <v>8</v>
      </c>
      <c r="W32" s="1561">
        <f t="shared" si="14"/>
        <v>100</v>
      </c>
      <c r="X32" s="1554"/>
      <c r="Y32" s="3419"/>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19"/>
      <c r="Q33" s="1559" t="str">
        <f t="shared" si="11"/>
        <v>成新度</v>
      </c>
      <c r="R33" s="1560" t="s">
        <v>8</v>
      </c>
      <c r="S33" s="1561" t="e">
        <f t="shared" si="12"/>
        <v>#N/A</v>
      </c>
      <c r="T33" s="1560" t="s">
        <v>8</v>
      </c>
      <c r="U33" s="1561" t="e">
        <f t="shared" si="13"/>
        <v>#N/A</v>
      </c>
      <c r="V33" s="1560" t="s">
        <v>8</v>
      </c>
      <c r="W33" s="1561" t="e">
        <f t="shared" si="14"/>
        <v>#N/A</v>
      </c>
      <c r="X33" s="1554"/>
      <c r="Y33" s="3419"/>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19"/>
      <c r="Q34" s="1147" t="str">
        <f t="shared" si="11"/>
        <v>物业管理</v>
      </c>
      <c r="R34" s="1555" t="s">
        <v>8</v>
      </c>
      <c r="S34" s="1556">
        <f t="shared" si="12"/>
        <v>100</v>
      </c>
      <c r="T34" s="1555" t="s">
        <v>8</v>
      </c>
      <c r="U34" s="1556">
        <f t="shared" si="13"/>
        <v>100</v>
      </c>
      <c r="V34" s="1555" t="s">
        <v>8</v>
      </c>
      <c r="W34" s="1556">
        <f t="shared" si="14"/>
        <v>100</v>
      </c>
      <c r="X34" s="1557"/>
      <c r="Y34" s="3419"/>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19" t="s">
        <v>550</v>
      </c>
      <c r="Q35" s="1559" t="str">
        <f t="shared" si="11"/>
        <v>市政基础设施</v>
      </c>
      <c r="R35" s="1560" t="s">
        <v>8</v>
      </c>
      <c r="S35" s="1561">
        <f t="shared" si="12"/>
        <v>100</v>
      </c>
      <c r="T35" s="1560" t="s">
        <v>8</v>
      </c>
      <c r="U35" s="1561">
        <f t="shared" si="13"/>
        <v>100</v>
      </c>
      <c r="V35" s="1560" t="s">
        <v>8</v>
      </c>
      <c r="W35" s="1561">
        <f t="shared" si="14"/>
        <v>100</v>
      </c>
      <c r="X35" s="1554"/>
      <c r="Y35" s="3419"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19"/>
      <c r="Q36" s="1559" t="str">
        <f t="shared" si="11"/>
        <v>内部装修</v>
      </c>
      <c r="R36" s="1560" t="s">
        <v>8</v>
      </c>
      <c r="S36" s="1561">
        <f t="shared" si="12"/>
        <v>100</v>
      </c>
      <c r="T36" s="1560" t="s">
        <v>8</v>
      </c>
      <c r="U36" s="1561">
        <f t="shared" si="13"/>
        <v>100</v>
      </c>
      <c r="V36" s="1560" t="s">
        <v>8</v>
      </c>
      <c r="W36" s="1561">
        <f t="shared" si="14"/>
        <v>100</v>
      </c>
      <c r="X36" s="1554"/>
      <c r="Y36" s="3419"/>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19"/>
      <c r="Q37" s="1559" t="str">
        <f t="shared" si="11"/>
        <v>内部装修状况</v>
      </c>
      <c r="R37" s="1560" t="s">
        <v>8</v>
      </c>
      <c r="S37" s="1561">
        <f t="shared" si="12"/>
        <v>100</v>
      </c>
      <c r="T37" s="1560" t="s">
        <v>8</v>
      </c>
      <c r="U37" s="1561">
        <f t="shared" si="13"/>
        <v>100</v>
      </c>
      <c r="V37" s="1560" t="s">
        <v>8</v>
      </c>
      <c r="W37" s="1561">
        <f t="shared" si="14"/>
        <v>100</v>
      </c>
      <c r="X37" s="1554"/>
      <c r="Y37" s="3419"/>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19"/>
      <c r="Q38" s="1591">
        <f t="shared" si="11"/>
        <v>111</v>
      </c>
      <c r="R38" s="1564" t="s">
        <v>8</v>
      </c>
      <c r="S38" s="1565">
        <f t="shared" si="12"/>
        <v>100</v>
      </c>
      <c r="T38" s="1564" t="s">
        <v>8</v>
      </c>
      <c r="U38" s="1565">
        <f t="shared" si="13"/>
        <v>100</v>
      </c>
      <c r="V38" s="1564" t="s">
        <v>8</v>
      </c>
      <c r="W38" s="1565">
        <f t="shared" si="14"/>
        <v>100</v>
      </c>
      <c r="X38" s="1566"/>
      <c r="Y38" s="3419"/>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19"/>
      <c r="Q39" s="1559">
        <f t="shared" si="11"/>
        <v>111</v>
      </c>
      <c r="R39" s="1560" t="s">
        <v>8</v>
      </c>
      <c r="S39" s="1561">
        <f t="shared" si="12"/>
        <v>100</v>
      </c>
      <c r="T39" s="1560" t="s">
        <v>8</v>
      </c>
      <c r="U39" s="1561">
        <f t="shared" si="13"/>
        <v>100</v>
      </c>
      <c r="V39" s="1560" t="s">
        <v>8</v>
      </c>
      <c r="W39" s="1561">
        <f t="shared" si="14"/>
        <v>100</v>
      </c>
      <c r="X39" s="1554"/>
      <c r="Y39" s="3419"/>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519"/>
      <c r="Q40" s="1559">
        <f t="shared" si="11"/>
        <v>111</v>
      </c>
      <c r="R40" s="1560" t="s">
        <v>8</v>
      </c>
      <c r="S40" s="1561">
        <f t="shared" si="12"/>
        <v>100</v>
      </c>
      <c r="T40" s="1560" t="s">
        <v>8</v>
      </c>
      <c r="U40" s="1561">
        <f t="shared" si="13"/>
        <v>100</v>
      </c>
      <c r="V40" s="1560" t="s">
        <v>8</v>
      </c>
      <c r="W40" s="1561">
        <f t="shared" si="14"/>
        <v>100</v>
      </c>
      <c r="X40" s="1554"/>
      <c r="Y40" s="3519"/>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414" t="str">
        <f>A41</f>
        <v>成交单价（元/平方米）</v>
      </c>
      <c r="Q41" s="3414"/>
      <c r="R41" s="3518">
        <f>E41</f>
        <v>0</v>
      </c>
      <c r="S41" s="3518"/>
      <c r="T41" s="3518">
        <f>G41</f>
        <v>0</v>
      </c>
      <c r="U41" s="3518"/>
      <c r="V41" s="3518">
        <f>I41</f>
        <v>0</v>
      </c>
      <c r="W41" s="3518"/>
      <c r="X41" s="1546"/>
      <c r="Y41" s="1568"/>
      <c r="Z41" s="1546"/>
      <c r="AA41" s="1546"/>
      <c r="AB41" s="1546"/>
      <c r="AC41" s="1546"/>
    </row>
    <row r="42" spans="1:29" ht="15.75" thickBot="1">
      <c r="A42" s="615" t="s">
        <v>2760</v>
      </c>
      <c r="B42" s="888"/>
      <c r="C42" s="2598" t="e">
        <f>R43</f>
        <v>#DIV/0!</v>
      </c>
      <c r="D42" s="2599"/>
      <c r="E42" s="2600" t="e">
        <f>R42</f>
        <v>#DIV/0!</v>
      </c>
      <c r="F42" s="2600"/>
      <c r="G42" s="2598" t="e">
        <f>T42</f>
        <v>#DIV/0!</v>
      </c>
      <c r="H42" s="2599"/>
      <c r="I42" s="2600" t="e">
        <f>V42</f>
        <v>#DIV/0!</v>
      </c>
      <c r="J42" s="2599"/>
      <c r="K42" s="1598"/>
      <c r="L42" s="2130"/>
      <c r="M42" s="2131"/>
      <c r="N42" s="2120"/>
      <c r="O42" s="2131"/>
      <c r="P42" s="3414" t="str">
        <f>A42</f>
        <v>比较价格（元/平方米）</v>
      </c>
      <c r="Q42" s="3414"/>
      <c r="R42" s="3518" t="e">
        <f>IF(F1="售价",ROUND(PRODUCT(R41,AA7:AA40),0),ROUND(PRODUCT(R41,AA7:AA40),1))</f>
        <v>#DIV/0!</v>
      </c>
      <c r="S42" s="3518"/>
      <c r="T42" s="3518" t="e">
        <f>IF(F1="售价",ROUND(PRODUCT(T41,AB7:AB40),0),ROUND(PRODUCT(T41,AB7:AB40),1))</f>
        <v>#DIV/0!</v>
      </c>
      <c r="U42" s="3518"/>
      <c r="V42" s="3518" t="e">
        <f>IF(F1="售价",ROUND(PRODUCT(V41,AC7:AC40),0),ROUND(PRODUCT(V41,AC7:AC40),1))</f>
        <v>#DIV/0!</v>
      </c>
      <c r="W42" s="3518"/>
      <c r="X42" s="1546"/>
      <c r="Y42" s="1546"/>
      <c r="Z42" s="1546"/>
      <c r="AA42" s="1546"/>
      <c r="AB42" s="1546"/>
      <c r="AC42" s="1546"/>
    </row>
    <row r="43" spans="1:29" ht="15.75" thickBot="1">
      <c r="A43" s="621" t="s">
        <v>2937</v>
      </c>
      <c r="B43" s="622"/>
      <c r="C43" s="2601" t="e">
        <f>R43</f>
        <v>#DIV/0!</v>
      </c>
      <c r="D43" s="2601"/>
      <c r="E43" s="2601"/>
      <c r="F43" s="2601"/>
      <c r="G43" s="2601"/>
      <c r="H43" s="2601"/>
      <c r="I43" s="2601"/>
      <c r="J43" s="2601"/>
      <c r="K43" s="1599"/>
      <c r="L43" s="2130"/>
      <c r="M43" s="2131"/>
      <c r="N43" s="2131"/>
      <c r="O43" s="2131"/>
      <c r="P43" s="3435" t="str">
        <f>A43</f>
        <v>估价对象XX用房的比较价格（楼面单价，元/平方米）</v>
      </c>
      <c r="Q43" s="3436"/>
      <c r="R43" s="3517" t="e">
        <f>IF(F1="售价",ROUND(AVERAGE(R42:V42),0),ROUND(AVERAGE(R42:V42),1))</f>
        <v>#DIV/0!</v>
      </c>
      <c r="S43" s="3517"/>
      <c r="T43" s="3517"/>
      <c r="U43" s="3517"/>
      <c r="V43" s="3517"/>
      <c r="W43" s="3517"/>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2021-8</v>
      </c>
      <c r="D52" s="2760">
        <f>EDATE(C52,-1)</f>
        <v>44378</v>
      </c>
      <c r="E52" s="2760">
        <f t="shared" ref="E52:O52" si="16">EDATE(D52,-1)</f>
        <v>44348</v>
      </c>
      <c r="F52" s="2760">
        <f t="shared" si="16"/>
        <v>44317</v>
      </c>
      <c r="G52" s="2760">
        <f t="shared" si="16"/>
        <v>44287</v>
      </c>
      <c r="H52" s="2760">
        <f t="shared" si="16"/>
        <v>44256</v>
      </c>
      <c r="I52" s="2760">
        <f t="shared" si="16"/>
        <v>44228</v>
      </c>
      <c r="J52" s="2760">
        <f t="shared" si="16"/>
        <v>44197</v>
      </c>
      <c r="K52" s="2760">
        <f t="shared" si="16"/>
        <v>44166</v>
      </c>
      <c r="L52" s="2760">
        <f t="shared" si="16"/>
        <v>44136</v>
      </c>
      <c r="M52" s="2760">
        <f t="shared" si="16"/>
        <v>44105</v>
      </c>
      <c r="N52" s="2760">
        <f t="shared" si="16"/>
        <v>44075</v>
      </c>
      <c r="O52" s="2760">
        <f t="shared" si="16"/>
        <v>44044</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2558</v>
      </c>
      <c r="C76" s="2563" t="s">
        <v>2559</v>
      </c>
      <c r="D76" s="2563" t="s">
        <v>2560</v>
      </c>
      <c r="E76" s="2563" t="s">
        <v>2561</v>
      </c>
      <c r="F76" s="2563" t="s">
        <v>2562</v>
      </c>
      <c r="G76" s="2563"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20" t="s">
        <v>798</v>
      </c>
      <c r="D4" s="3421"/>
      <c r="E4" s="3420" t="s">
        <v>799</v>
      </c>
      <c r="F4" s="3421"/>
      <c r="G4" s="3420" t="s">
        <v>800</v>
      </c>
      <c r="H4" s="3421"/>
      <c r="I4" s="3420" t="s">
        <v>801</v>
      </c>
      <c r="J4" s="3421"/>
      <c r="K4" s="514" t="s">
        <v>802</v>
      </c>
      <c r="L4" s="2119"/>
      <c r="M4" s="2120"/>
      <c r="N4" s="2120"/>
      <c r="O4" s="2120"/>
      <c r="P4" s="3422" t="s">
        <v>803</v>
      </c>
      <c r="Q4" s="3423"/>
      <c r="R4" s="3408" t="s">
        <v>799</v>
      </c>
      <c r="S4" s="3409"/>
      <c r="T4" s="3408" t="s">
        <v>800</v>
      </c>
      <c r="U4" s="3409"/>
      <c r="V4" s="3428" t="s">
        <v>801</v>
      </c>
      <c r="W4" s="3428"/>
      <c r="X4" s="1554"/>
      <c r="Y4" s="3408" t="s">
        <v>803</v>
      </c>
      <c r="Z4" s="3409"/>
      <c r="AA4" s="3403" t="s">
        <v>799</v>
      </c>
      <c r="AB4" s="3404" t="s">
        <v>800</v>
      </c>
      <c r="AC4" s="3403" t="s">
        <v>801</v>
      </c>
    </row>
    <row r="5" spans="1:29" ht="15">
      <c r="A5" s="515"/>
      <c r="B5" s="516"/>
      <c r="C5" s="3431" t="s">
        <v>2931</v>
      </c>
      <c r="D5" s="3432"/>
      <c r="E5" s="3431" t="s">
        <v>2932</v>
      </c>
      <c r="F5" s="3432"/>
      <c r="G5" s="3431" t="s">
        <v>2933</v>
      </c>
      <c r="H5" s="3432"/>
      <c r="I5" s="3431" t="s">
        <v>2934</v>
      </c>
      <c r="J5" s="3432"/>
      <c r="K5" s="514"/>
      <c r="L5" s="2119"/>
      <c r="M5" s="2120"/>
      <c r="N5" s="2120"/>
      <c r="O5" s="2120"/>
      <c r="P5" s="3424"/>
      <c r="Q5" s="3425"/>
      <c r="R5" s="3410"/>
      <c r="S5" s="3411"/>
      <c r="T5" s="3410"/>
      <c r="U5" s="3411"/>
      <c r="V5" s="3428"/>
      <c r="W5" s="3428"/>
      <c r="X5" s="1554"/>
      <c r="Y5" s="3410"/>
      <c r="Z5" s="3411"/>
      <c r="AA5" s="3404"/>
      <c r="AB5" s="3404"/>
      <c r="AC5" s="3404"/>
    </row>
    <row r="6" spans="1:29" ht="15.75" thickBot="1">
      <c r="A6" s="517"/>
      <c r="B6" s="518"/>
      <c r="C6" s="3429" t="s">
        <v>2935</v>
      </c>
      <c r="D6" s="3430"/>
      <c r="E6" s="3433" t="s">
        <v>2935</v>
      </c>
      <c r="F6" s="3434"/>
      <c r="G6" s="3429" t="s">
        <v>2935</v>
      </c>
      <c r="H6" s="3430"/>
      <c r="I6" s="3429" t="s">
        <v>2935</v>
      </c>
      <c r="J6" s="3430"/>
      <c r="K6" s="514" t="s">
        <v>528</v>
      </c>
      <c r="L6" s="2119"/>
      <c r="M6" s="2120"/>
      <c r="N6" s="2120"/>
      <c r="O6" s="2120"/>
      <c r="P6" s="3426"/>
      <c r="Q6" s="3427"/>
      <c r="R6" s="3410"/>
      <c r="S6" s="3411"/>
      <c r="T6" s="3412"/>
      <c r="U6" s="3413"/>
      <c r="V6" s="3428"/>
      <c r="W6" s="3428"/>
      <c r="X6" s="1554"/>
      <c r="Y6" s="3412"/>
      <c r="Z6" s="3413"/>
      <c r="AA6" s="3405"/>
      <c r="AB6" s="3405"/>
      <c r="AC6" s="3405"/>
    </row>
    <row r="7" spans="1:29" s="1216" customFormat="1" ht="15.75" thickBot="1">
      <c r="A7" s="2868"/>
      <c r="B7" s="2875" t="s">
        <v>529</v>
      </c>
      <c r="C7" s="519">
        <f>'数据-取费表'!B2</f>
        <v>44435</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06" t="s">
        <v>530</v>
      </c>
      <c r="Q7" s="3415"/>
      <c r="R7" s="1555" t="s">
        <v>8</v>
      </c>
      <c r="S7" s="1556">
        <f t="shared" ref="S7:S14" si="0">F7</f>
        <v>0</v>
      </c>
      <c r="T7" s="1555" t="s">
        <v>8</v>
      </c>
      <c r="U7" s="1556">
        <f t="shared" ref="U7:U14" si="1">H7</f>
        <v>0</v>
      </c>
      <c r="V7" s="1555" t="s">
        <v>8</v>
      </c>
      <c r="W7" s="1556">
        <f t="shared" ref="W7:W14" si="2">J7</f>
        <v>0</v>
      </c>
      <c r="X7" s="1557"/>
      <c r="Y7" s="3406" t="s">
        <v>530</v>
      </c>
      <c r="Z7" s="3407"/>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06" t="s">
        <v>533</v>
      </c>
      <c r="Q8" s="3407"/>
      <c r="R8" s="1555" t="s">
        <v>8</v>
      </c>
      <c r="S8" s="1556">
        <f t="shared" si="0"/>
        <v>0</v>
      </c>
      <c r="T8" s="1555" t="s">
        <v>8</v>
      </c>
      <c r="U8" s="1556">
        <f t="shared" si="1"/>
        <v>0</v>
      </c>
      <c r="V8" s="1555" t="s">
        <v>8</v>
      </c>
      <c r="W8" s="1556">
        <f t="shared" si="2"/>
        <v>0</v>
      </c>
      <c r="X8" s="1557"/>
      <c r="Y8" s="3406" t="s">
        <v>533</v>
      </c>
      <c r="Z8" s="3407"/>
      <c r="AA8" s="1558" t="e">
        <f t="shared" ref="AA8:AA36" si="3">D8/F8</f>
        <v>#DIV/0!</v>
      </c>
      <c r="AB8" s="1558" t="e">
        <f t="shared" ref="AB8:AB36" si="4">D8/H8</f>
        <v>#DIV/0!</v>
      </c>
      <c r="AC8" s="1558" t="e">
        <f t="shared" ref="AC8:AC36" si="5">D8/J8</f>
        <v>#DIV/0!</v>
      </c>
    </row>
    <row r="9" spans="1:29" s="1216" customFormat="1" ht="15">
      <c r="A9" s="2870"/>
      <c r="B9" s="2877" t="s">
        <v>2756</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414" t="s">
        <v>535</v>
      </c>
      <c r="Q9" s="1147" t="str">
        <f t="shared" ref="Q9:Q14" si="6">B9</f>
        <v>用途</v>
      </c>
      <c r="R9" s="1555" t="s">
        <v>8</v>
      </c>
      <c r="S9" s="1556">
        <f t="shared" si="0"/>
        <v>100</v>
      </c>
      <c r="T9" s="1555" t="s">
        <v>8</v>
      </c>
      <c r="U9" s="1556">
        <f t="shared" si="1"/>
        <v>100</v>
      </c>
      <c r="V9" s="1555" t="s">
        <v>8</v>
      </c>
      <c r="W9" s="1556">
        <f t="shared" si="2"/>
        <v>100</v>
      </c>
      <c r="X9" s="1557"/>
      <c r="Y9" s="3371"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414"/>
      <c r="Q10" s="1147" t="str">
        <f t="shared" si="6"/>
        <v>土地使用年限（年）</v>
      </c>
      <c r="R10" s="1555" t="s">
        <v>8</v>
      </c>
      <c r="S10" s="1556">
        <f t="shared" si="0"/>
        <v>100</v>
      </c>
      <c r="T10" s="1555" t="s">
        <v>8</v>
      </c>
      <c r="U10" s="1556">
        <f t="shared" si="1"/>
        <v>100</v>
      </c>
      <c r="V10" s="1555" t="s">
        <v>8</v>
      </c>
      <c r="W10" s="1556">
        <f t="shared" si="2"/>
        <v>100</v>
      </c>
      <c r="X10" s="1557"/>
      <c r="Y10" s="3371"/>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414"/>
      <c r="Q11" s="1147">
        <f t="shared" si="6"/>
        <v>111</v>
      </c>
      <c r="R11" s="1555" t="s">
        <v>8</v>
      </c>
      <c r="S11" s="1556">
        <f t="shared" si="0"/>
        <v>100</v>
      </c>
      <c r="T11" s="1555" t="s">
        <v>8</v>
      </c>
      <c r="U11" s="1556">
        <f t="shared" si="1"/>
        <v>100</v>
      </c>
      <c r="V11" s="1555" t="s">
        <v>8</v>
      </c>
      <c r="W11" s="1556">
        <f t="shared" si="2"/>
        <v>100</v>
      </c>
      <c r="X11" s="1557"/>
      <c r="Y11" s="3371"/>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414"/>
      <c r="Q12" s="1147">
        <f t="shared" si="6"/>
        <v>111</v>
      </c>
      <c r="R12" s="1555" t="s">
        <v>8</v>
      </c>
      <c r="S12" s="1556">
        <f t="shared" si="0"/>
        <v>100</v>
      </c>
      <c r="T12" s="1555" t="s">
        <v>8</v>
      </c>
      <c r="U12" s="1556">
        <f t="shared" si="1"/>
        <v>100</v>
      </c>
      <c r="V12" s="1555" t="s">
        <v>8</v>
      </c>
      <c r="W12" s="1556">
        <f t="shared" si="2"/>
        <v>100</v>
      </c>
      <c r="X12" s="1557"/>
      <c r="Y12" s="3371"/>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414"/>
      <c r="Q13" s="1147">
        <f t="shared" si="6"/>
        <v>111</v>
      </c>
      <c r="R13" s="1555" t="s">
        <v>8</v>
      </c>
      <c r="S13" s="1556">
        <f t="shared" si="0"/>
        <v>100</v>
      </c>
      <c r="T13" s="1555" t="s">
        <v>8</v>
      </c>
      <c r="U13" s="1556">
        <f t="shared" si="1"/>
        <v>100</v>
      </c>
      <c r="V13" s="1555" t="s">
        <v>8</v>
      </c>
      <c r="W13" s="1556">
        <f t="shared" si="2"/>
        <v>100</v>
      </c>
      <c r="X13" s="1557"/>
      <c r="Y13" s="3371"/>
      <c r="Z13" s="1146">
        <f t="shared" si="7"/>
        <v>111</v>
      </c>
      <c r="AA13" s="1558">
        <f t="shared" si="3"/>
        <v>1</v>
      </c>
      <c r="AB13" s="1558">
        <f t="shared" si="4"/>
        <v>1</v>
      </c>
      <c r="AC13" s="1558">
        <f t="shared" si="5"/>
        <v>1</v>
      </c>
    </row>
    <row r="14" spans="1:29" ht="85.5">
      <c r="A14" s="2866"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16" t="s">
        <v>540</v>
      </c>
      <c r="Q14" s="1559" t="str">
        <f t="shared" si="6"/>
        <v>交通便捷度</v>
      </c>
      <c r="R14" s="1560" t="s">
        <v>8</v>
      </c>
      <c r="S14" s="1561">
        <f t="shared" si="0"/>
        <v>100</v>
      </c>
      <c r="T14" s="1560" t="s">
        <v>8</v>
      </c>
      <c r="U14" s="1561">
        <f t="shared" si="1"/>
        <v>100</v>
      </c>
      <c r="V14" s="1560" t="s">
        <v>8</v>
      </c>
      <c r="W14" s="1561">
        <f t="shared" si="2"/>
        <v>100</v>
      </c>
      <c r="X14" s="1554"/>
      <c r="Y14" s="3416"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17"/>
      <c r="Q15" s="1559"/>
      <c r="R15" s="1560"/>
      <c r="S15" s="1561"/>
      <c r="T15" s="1560"/>
      <c r="U15" s="1561"/>
      <c r="V15" s="1560"/>
      <c r="W15" s="1561"/>
      <c r="X15" s="1554"/>
      <c r="Y15" s="3417"/>
      <c r="Z15" s="1562"/>
      <c r="AA15" s="1563">
        <v>1</v>
      </c>
      <c r="AB15" s="1563">
        <v>1</v>
      </c>
      <c r="AC15" s="1563">
        <v>1</v>
      </c>
    </row>
    <row r="16" spans="1:29" ht="42.75">
      <c r="A16" s="515"/>
      <c r="B16" s="2568"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17"/>
      <c r="Q16" s="1559" t="str">
        <f>B16</f>
        <v>公共配套设施</v>
      </c>
      <c r="R16" s="1560" t="s">
        <v>8</v>
      </c>
      <c r="S16" s="1561">
        <f>F16</f>
        <v>100</v>
      </c>
      <c r="T16" s="1560" t="s">
        <v>8</v>
      </c>
      <c r="U16" s="1561">
        <f>H16</f>
        <v>100</v>
      </c>
      <c r="V16" s="1560" t="s">
        <v>8</v>
      </c>
      <c r="W16" s="1561">
        <f>J16</f>
        <v>100</v>
      </c>
      <c r="X16" s="1554"/>
      <c r="Y16" s="3417"/>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17"/>
      <c r="Q17" s="1559"/>
      <c r="R17" s="1560"/>
      <c r="S17" s="1561"/>
      <c r="T17" s="1560"/>
      <c r="U17" s="1561"/>
      <c r="V17" s="1560"/>
      <c r="W17" s="1561"/>
      <c r="X17" s="1554"/>
      <c r="Y17" s="3417"/>
      <c r="Z17" s="1562"/>
      <c r="AA17" s="1563">
        <v>1</v>
      </c>
      <c r="AB17" s="1563">
        <v>1</v>
      </c>
      <c r="AC17" s="1563">
        <v>1</v>
      </c>
    </row>
    <row r="18" spans="1:29" ht="28.5">
      <c r="A18" s="515"/>
      <c r="B18" s="2556"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17"/>
      <c r="Q18" s="2544" t="str">
        <f>B18</f>
        <v>基础设施水平</v>
      </c>
      <c r="R18" s="1560" t="s">
        <v>8</v>
      </c>
      <c r="S18" s="1561">
        <f>F18</f>
        <v>100</v>
      </c>
      <c r="T18" s="1560" t="s">
        <v>8</v>
      </c>
      <c r="U18" s="1561">
        <f>H18</f>
        <v>100</v>
      </c>
      <c r="V18" s="1560" t="s">
        <v>8</v>
      </c>
      <c r="W18" s="1561">
        <f>J18</f>
        <v>100</v>
      </c>
      <c r="X18" s="2546"/>
      <c r="Y18" s="3417"/>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17"/>
      <c r="Q19" s="2544"/>
      <c r="R19" s="1560"/>
      <c r="S19" s="1561"/>
      <c r="T19" s="1560"/>
      <c r="U19" s="1561"/>
      <c r="V19" s="1560"/>
      <c r="W19" s="1561"/>
      <c r="X19" s="2546"/>
      <c r="Y19" s="3417"/>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17"/>
      <c r="Q20" s="1559" t="str">
        <f>B20</f>
        <v>自然及人文环境</v>
      </c>
      <c r="R20" s="1560" t="s">
        <v>8</v>
      </c>
      <c r="S20" s="1561">
        <f>F20</f>
        <v>100</v>
      </c>
      <c r="T20" s="1560" t="s">
        <v>8</v>
      </c>
      <c r="U20" s="1561">
        <f>H20</f>
        <v>100</v>
      </c>
      <c r="V20" s="1560" t="s">
        <v>8</v>
      </c>
      <c r="W20" s="1561">
        <f>J20</f>
        <v>100</v>
      </c>
      <c r="X20" s="1554"/>
      <c r="Y20" s="3417"/>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17"/>
      <c r="Q21" s="1559"/>
      <c r="R21" s="1560"/>
      <c r="S21" s="1561"/>
      <c r="T21" s="1560"/>
      <c r="U21" s="1561"/>
      <c r="V21" s="1560"/>
      <c r="W21" s="1561"/>
      <c r="X21" s="1554"/>
      <c r="Y21" s="3417"/>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17"/>
      <c r="Q22" s="1559" t="str">
        <f>B22</f>
        <v>楼层</v>
      </c>
      <c r="R22" s="1560" t="s">
        <v>8</v>
      </c>
      <c r="S22" s="1561">
        <f>F22</f>
        <v>100</v>
      </c>
      <c r="T22" s="1560" t="s">
        <v>8</v>
      </c>
      <c r="U22" s="1561">
        <f>H22</f>
        <v>100</v>
      </c>
      <c r="V22" s="1560" t="s">
        <v>8</v>
      </c>
      <c r="W22" s="1561">
        <f>J22</f>
        <v>100</v>
      </c>
      <c r="X22" s="1554"/>
      <c r="Y22" s="3417"/>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17"/>
      <c r="Q23" s="1559">
        <f>B23</f>
        <v>111</v>
      </c>
      <c r="R23" s="1560" t="s">
        <v>8</v>
      </c>
      <c r="S23" s="1561">
        <f>F23</f>
        <v>100</v>
      </c>
      <c r="T23" s="1560" t="s">
        <v>8</v>
      </c>
      <c r="U23" s="1561">
        <f>H23</f>
        <v>100</v>
      </c>
      <c r="V23" s="1560" t="s">
        <v>8</v>
      </c>
      <c r="W23" s="1561">
        <f>J23</f>
        <v>100</v>
      </c>
      <c r="X23" s="1554"/>
      <c r="Y23" s="3417"/>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17"/>
      <c r="Q24" s="1559">
        <f t="shared" ref="Q24:Q36" si="11">B24</f>
        <v>111</v>
      </c>
      <c r="R24" s="1560" t="s">
        <v>8</v>
      </c>
      <c r="S24" s="1561">
        <f>F24</f>
        <v>100</v>
      </c>
      <c r="T24" s="1560" t="s">
        <v>8</v>
      </c>
      <c r="U24" s="1561">
        <f>H24</f>
        <v>100</v>
      </c>
      <c r="V24" s="1560" t="s">
        <v>8</v>
      </c>
      <c r="W24" s="1561">
        <f>J24</f>
        <v>100</v>
      </c>
      <c r="X24" s="1554"/>
      <c r="Y24" s="3417"/>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17"/>
      <c r="Q25" s="1147">
        <f t="shared" si="11"/>
        <v>111</v>
      </c>
      <c r="R25" s="1555" t="s">
        <v>8</v>
      </c>
      <c r="S25" s="1556">
        <f>F25</f>
        <v>100</v>
      </c>
      <c r="T25" s="1555" t="s">
        <v>8</v>
      </c>
      <c r="U25" s="1556">
        <f>H25</f>
        <v>100</v>
      </c>
      <c r="V25" s="1555" t="s">
        <v>8</v>
      </c>
      <c r="W25" s="1556">
        <f>J25</f>
        <v>100</v>
      </c>
      <c r="X25" s="1557"/>
      <c r="Y25" s="3417"/>
      <c r="Z25" s="1146">
        <f>Q25</f>
        <v>111</v>
      </c>
      <c r="AA25" s="1563">
        <f>D25/F25</f>
        <v>1</v>
      </c>
      <c r="AB25" s="1563">
        <f>D25/H25</f>
        <v>1</v>
      </c>
      <c r="AC25" s="1563">
        <f>D25/J25</f>
        <v>1</v>
      </c>
    </row>
    <row r="26" spans="1:29" ht="15">
      <c r="A26" s="286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18"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19"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19"/>
      <c r="Q27" s="1591" t="str">
        <f t="shared" si="11"/>
        <v>项目停车位配比</v>
      </c>
      <c r="R27" s="1564" t="s">
        <v>8</v>
      </c>
      <c r="S27" s="1565">
        <f t="shared" si="12"/>
        <v>100</v>
      </c>
      <c r="T27" s="1564" t="s">
        <v>8</v>
      </c>
      <c r="U27" s="1565">
        <f t="shared" si="13"/>
        <v>100</v>
      </c>
      <c r="V27" s="1564" t="s">
        <v>8</v>
      </c>
      <c r="W27" s="1565">
        <f t="shared" si="14"/>
        <v>100</v>
      </c>
      <c r="X27" s="1566"/>
      <c r="Y27" s="3419"/>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19"/>
      <c r="Q28" s="1559" t="str">
        <f t="shared" si="11"/>
        <v>公共部分装修</v>
      </c>
      <c r="R28" s="1560" t="s">
        <v>8</v>
      </c>
      <c r="S28" s="1561">
        <f t="shared" si="12"/>
        <v>100</v>
      </c>
      <c r="T28" s="1560" t="s">
        <v>8</v>
      </c>
      <c r="U28" s="1561">
        <f t="shared" si="13"/>
        <v>100</v>
      </c>
      <c r="V28" s="1560" t="s">
        <v>8</v>
      </c>
      <c r="W28" s="1561">
        <f t="shared" si="14"/>
        <v>100</v>
      </c>
      <c r="X28" s="1554"/>
      <c r="Y28" s="3419"/>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19"/>
      <c r="Q29" s="1559" t="str">
        <f t="shared" si="11"/>
        <v>成新率</v>
      </c>
      <c r="R29" s="1560" t="s">
        <v>8</v>
      </c>
      <c r="S29" s="1561" t="e">
        <f t="shared" si="12"/>
        <v>#N/A</v>
      </c>
      <c r="T29" s="1560" t="s">
        <v>8</v>
      </c>
      <c r="U29" s="1561" t="e">
        <f t="shared" si="13"/>
        <v>#N/A</v>
      </c>
      <c r="V29" s="1560" t="s">
        <v>8</v>
      </c>
      <c r="W29" s="1561" t="e">
        <f t="shared" si="14"/>
        <v>#N/A</v>
      </c>
      <c r="X29" s="1554"/>
      <c r="Y29" s="3419"/>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19"/>
      <c r="Q30" s="1559" t="str">
        <f t="shared" si="11"/>
        <v>物业等级</v>
      </c>
      <c r="R30" s="1560" t="s">
        <v>8</v>
      </c>
      <c r="S30" s="1561">
        <f t="shared" si="12"/>
        <v>100</v>
      </c>
      <c r="T30" s="1560" t="s">
        <v>8</v>
      </c>
      <c r="U30" s="1561">
        <f t="shared" si="13"/>
        <v>100</v>
      </c>
      <c r="V30" s="1560" t="s">
        <v>8</v>
      </c>
      <c r="W30" s="1561">
        <f t="shared" si="14"/>
        <v>100</v>
      </c>
      <c r="X30" s="1554"/>
      <c r="Y30" s="3419"/>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19"/>
      <c r="Q31" s="1147" t="str">
        <f t="shared" si="11"/>
        <v>停车位面积</v>
      </c>
      <c r="R31" s="1555" t="s">
        <v>8</v>
      </c>
      <c r="S31" s="1556" t="e">
        <f t="shared" si="12"/>
        <v>#N/A</v>
      </c>
      <c r="T31" s="1555" t="s">
        <v>8</v>
      </c>
      <c r="U31" s="1556" t="e">
        <f t="shared" si="13"/>
        <v>#N/A</v>
      </c>
      <c r="V31" s="1555" t="s">
        <v>8</v>
      </c>
      <c r="W31" s="1556" t="e">
        <f t="shared" si="14"/>
        <v>#N/A</v>
      </c>
      <c r="X31" s="1557"/>
      <c r="Y31" s="3419"/>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19" t="s">
        <v>550</v>
      </c>
      <c r="Q32" s="1559" t="str">
        <f t="shared" si="11"/>
        <v>车位类型</v>
      </c>
      <c r="R32" s="1560" t="s">
        <v>8</v>
      </c>
      <c r="S32" s="1561">
        <f t="shared" si="12"/>
        <v>100</v>
      </c>
      <c r="T32" s="1560" t="s">
        <v>8</v>
      </c>
      <c r="U32" s="1561">
        <f t="shared" si="13"/>
        <v>100</v>
      </c>
      <c r="V32" s="1560" t="s">
        <v>8</v>
      </c>
      <c r="W32" s="1561">
        <f t="shared" si="14"/>
        <v>100</v>
      </c>
      <c r="X32" s="1554"/>
      <c r="Y32" s="3419"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19"/>
      <c r="Q33" s="1559" t="str">
        <f t="shared" si="11"/>
        <v>是否直接入户</v>
      </c>
      <c r="R33" s="1560" t="s">
        <v>8</v>
      </c>
      <c r="S33" s="1561">
        <f t="shared" si="12"/>
        <v>100</v>
      </c>
      <c r="T33" s="1560" t="s">
        <v>8</v>
      </c>
      <c r="U33" s="1561">
        <f t="shared" si="13"/>
        <v>100</v>
      </c>
      <c r="V33" s="1560" t="s">
        <v>8</v>
      </c>
      <c r="W33" s="1561">
        <f t="shared" si="14"/>
        <v>100</v>
      </c>
      <c r="X33" s="1554"/>
      <c r="Y33" s="3419"/>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19"/>
      <c r="Q34" s="1559">
        <f t="shared" si="11"/>
        <v>111</v>
      </c>
      <c r="R34" s="1560" t="s">
        <v>8</v>
      </c>
      <c r="S34" s="1561">
        <f t="shared" si="12"/>
        <v>100</v>
      </c>
      <c r="T34" s="1560" t="s">
        <v>8</v>
      </c>
      <c r="U34" s="1561">
        <f t="shared" si="13"/>
        <v>100</v>
      </c>
      <c r="V34" s="1560" t="s">
        <v>8</v>
      </c>
      <c r="W34" s="1561">
        <f t="shared" si="14"/>
        <v>100</v>
      </c>
      <c r="X34" s="1554"/>
      <c r="Y34" s="3419"/>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19"/>
      <c r="Q35" s="1591">
        <f t="shared" si="11"/>
        <v>111</v>
      </c>
      <c r="R35" s="1564" t="s">
        <v>8</v>
      </c>
      <c r="S35" s="1565">
        <f t="shared" si="12"/>
        <v>100</v>
      </c>
      <c r="T35" s="1564" t="s">
        <v>8</v>
      </c>
      <c r="U35" s="1565">
        <f t="shared" si="13"/>
        <v>100</v>
      </c>
      <c r="V35" s="1564" t="s">
        <v>8</v>
      </c>
      <c r="W35" s="1565">
        <f t="shared" si="14"/>
        <v>100</v>
      </c>
      <c r="X35" s="1566"/>
      <c r="Y35" s="3419"/>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19"/>
      <c r="Q36" s="1559">
        <f t="shared" si="11"/>
        <v>111</v>
      </c>
      <c r="R36" s="1560" t="s">
        <v>8</v>
      </c>
      <c r="S36" s="1561">
        <f t="shared" si="12"/>
        <v>100</v>
      </c>
      <c r="T36" s="1560" t="s">
        <v>8</v>
      </c>
      <c r="U36" s="1561">
        <f t="shared" si="13"/>
        <v>100</v>
      </c>
      <c r="V36" s="1560" t="s">
        <v>8</v>
      </c>
      <c r="W36" s="1561">
        <f t="shared" si="14"/>
        <v>100</v>
      </c>
      <c r="X36" s="1554"/>
      <c r="Y36" s="3419"/>
      <c r="Z36" s="1562">
        <f t="shared" si="15"/>
        <v>111</v>
      </c>
      <c r="AA36" s="1563">
        <f t="shared" si="3"/>
        <v>1</v>
      </c>
      <c r="AB36" s="1563">
        <f t="shared" si="4"/>
        <v>1</v>
      </c>
      <c r="AC36" s="1563">
        <f t="shared" si="5"/>
        <v>1</v>
      </c>
    </row>
    <row r="37" spans="1:29" ht="15">
      <c r="A37" s="1832" t="s">
        <v>2077</v>
      </c>
      <c r="B37" s="1833" t="s">
        <v>2078</v>
      </c>
      <c r="C37" s="2592" t="s">
        <v>1</v>
      </c>
      <c r="D37" s="2593"/>
      <c r="E37" s="2594"/>
      <c r="F37" s="2595"/>
      <c r="G37" s="2596"/>
      <c r="H37" s="2597"/>
      <c r="I37" s="2594"/>
      <c r="J37" s="2597"/>
      <c r="K37" s="1597"/>
      <c r="L37" s="2130"/>
      <c r="M37" s="2131"/>
      <c r="N37" s="2120"/>
      <c r="O37" s="2131"/>
      <c r="P37" s="3414" t="str">
        <f>A37</f>
        <v>成交单价</v>
      </c>
      <c r="Q37" s="3414"/>
      <c r="R37" s="3518">
        <f>E37</f>
        <v>0</v>
      </c>
      <c r="S37" s="3518"/>
      <c r="T37" s="3518">
        <f>G37</f>
        <v>0</v>
      </c>
      <c r="U37" s="3518"/>
      <c r="V37" s="3518">
        <f>I37</f>
        <v>0</v>
      </c>
      <c r="W37" s="3518"/>
      <c r="X37" s="1546"/>
      <c r="Y37" s="1568"/>
      <c r="Z37" s="1546"/>
      <c r="AA37" s="1546"/>
      <c r="AB37" s="1546"/>
      <c r="AC37" s="1546"/>
    </row>
    <row r="38" spans="1:29" ht="15.75" thickBot="1">
      <c r="A38" s="615" t="s">
        <v>2760</v>
      </c>
      <c r="B38" s="888"/>
      <c r="C38" s="2598" t="e">
        <f>R39</f>
        <v>#DIV/0!</v>
      </c>
      <c r="D38" s="2599"/>
      <c r="E38" s="2600" t="e">
        <f>R38</f>
        <v>#DIV/0!</v>
      </c>
      <c r="F38" s="2600"/>
      <c r="G38" s="2598" t="e">
        <f>T38</f>
        <v>#DIV/0!</v>
      </c>
      <c r="H38" s="2599"/>
      <c r="I38" s="2600" t="e">
        <f>V38</f>
        <v>#DIV/0!</v>
      </c>
      <c r="J38" s="2599"/>
      <c r="K38" s="1598"/>
      <c r="L38" s="2130"/>
      <c r="M38" s="2131"/>
      <c r="N38" s="2131"/>
      <c r="O38" s="2131"/>
      <c r="P38" s="3414" t="str">
        <f>A38</f>
        <v>比较价格（元/平方米）</v>
      </c>
      <c r="Q38" s="3414"/>
      <c r="R38" s="3518" t="e">
        <f>IF(F1="售价",ROUND(PRODUCT(R37,AA7:AA36),0),ROUND(PRODUCT(R37,AA7:AA36),1))</f>
        <v>#DIV/0!</v>
      </c>
      <c r="S38" s="3518"/>
      <c r="T38" s="3518" t="e">
        <f>IF(F1="售价",ROUND(PRODUCT(T37,AB7:AB36),0),ROUND(PRODUCT(T37,AB7:AB36),1))</f>
        <v>#DIV/0!</v>
      </c>
      <c r="U38" s="3518"/>
      <c r="V38" s="3518" t="e">
        <f>IF(F1="售价",ROUND(PRODUCT(V37,AC7:AC36),0),ROUND(PRODUCT(V37,AC7:AC36),1))</f>
        <v>#DIV/0!</v>
      </c>
      <c r="W38" s="3518"/>
      <c r="X38" s="1546"/>
      <c r="Y38" s="1546"/>
      <c r="Z38" s="1546"/>
      <c r="AA38" s="1546"/>
      <c r="AB38" s="1546"/>
      <c r="AC38" s="1546"/>
    </row>
    <row r="39" spans="1:29" ht="15.75" thickBot="1">
      <c r="A39" s="621" t="s">
        <v>2937</v>
      </c>
      <c r="B39" s="622"/>
      <c r="C39" s="2601" t="e">
        <f>R39</f>
        <v>#DIV/0!</v>
      </c>
      <c r="D39" s="2601"/>
      <c r="E39" s="2601"/>
      <c r="F39" s="2601"/>
      <c r="G39" s="2601"/>
      <c r="H39" s="2601"/>
      <c r="I39" s="2601"/>
      <c r="J39" s="2601"/>
      <c r="K39" s="1599"/>
      <c r="L39" s="2130"/>
      <c r="M39" s="2131"/>
      <c r="N39" s="2131"/>
      <c r="O39" s="2131"/>
      <c r="P39" s="3435" t="str">
        <f>A39</f>
        <v>估价对象XX用房的比较价格（楼面单价，元/平方米）</v>
      </c>
      <c r="Q39" s="3436"/>
      <c r="R39" s="3517" t="e">
        <f>IF(F1="售价",ROUND(AVERAGE(R38:V38),0),ROUND(AVERAGE(R38:V38),1))</f>
        <v>#DIV/0!</v>
      </c>
      <c r="S39" s="3517"/>
      <c r="T39" s="3517"/>
      <c r="U39" s="3517"/>
      <c r="V39" s="3517"/>
      <c r="W39" s="3517"/>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2021-8</v>
      </c>
      <c r="D48" s="2760">
        <f>EDATE(C48,-1)</f>
        <v>44378</v>
      </c>
      <c r="E48" s="2760">
        <f t="shared" ref="E48:O48" si="16">EDATE(D48,-1)</f>
        <v>44348</v>
      </c>
      <c r="F48" s="2760">
        <f t="shared" si="16"/>
        <v>44317</v>
      </c>
      <c r="G48" s="2760">
        <f t="shared" si="16"/>
        <v>44287</v>
      </c>
      <c r="H48" s="2760">
        <f t="shared" si="16"/>
        <v>44256</v>
      </c>
      <c r="I48" s="2760">
        <f t="shared" si="16"/>
        <v>44228</v>
      </c>
      <c r="J48" s="2760">
        <f t="shared" si="16"/>
        <v>44197</v>
      </c>
      <c r="K48" s="2760">
        <f t="shared" si="16"/>
        <v>44166</v>
      </c>
      <c r="L48" s="2760">
        <f t="shared" si="16"/>
        <v>44136</v>
      </c>
      <c r="M48" s="2760">
        <f t="shared" si="16"/>
        <v>44105</v>
      </c>
      <c r="N48" s="2760">
        <f t="shared" si="16"/>
        <v>44075</v>
      </c>
      <c r="O48" s="2760">
        <f t="shared" si="16"/>
        <v>44044</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2558</v>
      </c>
      <c r="C67" s="2563" t="s">
        <v>2559</v>
      </c>
      <c r="D67" s="2563" t="s">
        <v>2560</v>
      </c>
      <c r="E67" s="2563" t="s">
        <v>2561</v>
      </c>
      <c r="F67" s="2563" t="s">
        <v>2562</v>
      </c>
      <c r="G67" s="2563" t="s">
        <v>2563</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20" t="s">
        <v>798</v>
      </c>
      <c r="D4" s="3421"/>
      <c r="E4" s="3444" t="s">
        <v>799</v>
      </c>
      <c r="F4" s="3445"/>
      <c r="G4" s="3420" t="s">
        <v>800</v>
      </c>
      <c r="H4" s="3421"/>
      <c r="I4" s="3420" t="s">
        <v>801</v>
      </c>
      <c r="J4" s="3421"/>
      <c r="K4" s="514" t="s">
        <v>802</v>
      </c>
      <c r="L4" s="2119"/>
      <c r="M4" s="2120"/>
      <c r="N4" s="2120"/>
      <c r="O4" s="2120"/>
      <c r="P4" s="3422" t="s">
        <v>803</v>
      </c>
      <c r="Q4" s="3423"/>
      <c r="R4" s="3408" t="s">
        <v>799</v>
      </c>
      <c r="S4" s="3409"/>
      <c r="T4" s="3408" t="s">
        <v>800</v>
      </c>
      <c r="U4" s="3409"/>
      <c r="V4" s="3428" t="s">
        <v>801</v>
      </c>
      <c r="W4" s="3428"/>
      <c r="X4" s="1554"/>
      <c r="Y4" s="3408" t="s">
        <v>803</v>
      </c>
      <c r="Z4" s="3409"/>
      <c r="AA4" s="3403" t="s">
        <v>799</v>
      </c>
      <c r="AB4" s="3404" t="s">
        <v>800</v>
      </c>
      <c r="AC4" s="3403" t="s">
        <v>801</v>
      </c>
    </row>
    <row r="5" spans="1:29" ht="15">
      <c r="A5" s="515"/>
      <c r="B5" s="516"/>
      <c r="C5" s="3431" t="s">
        <v>2931</v>
      </c>
      <c r="D5" s="3432"/>
      <c r="E5" s="3446" t="s">
        <v>2932</v>
      </c>
      <c r="F5" s="3447"/>
      <c r="G5" s="3431" t="s">
        <v>2933</v>
      </c>
      <c r="H5" s="3432"/>
      <c r="I5" s="3431" t="s">
        <v>2934</v>
      </c>
      <c r="J5" s="3432"/>
      <c r="K5" s="514"/>
      <c r="L5" s="2119"/>
      <c r="M5" s="2120"/>
      <c r="N5" s="2120"/>
      <c r="O5" s="2120"/>
      <c r="P5" s="3424"/>
      <c r="Q5" s="3425"/>
      <c r="R5" s="3410"/>
      <c r="S5" s="3411"/>
      <c r="T5" s="3410"/>
      <c r="U5" s="3411"/>
      <c r="V5" s="3428"/>
      <c r="W5" s="3428"/>
      <c r="X5" s="1554"/>
      <c r="Y5" s="3410"/>
      <c r="Z5" s="3411"/>
      <c r="AA5" s="3404"/>
      <c r="AB5" s="3404"/>
      <c r="AC5" s="3404"/>
    </row>
    <row r="6" spans="1:29" ht="15.75" thickBot="1">
      <c r="A6" s="517"/>
      <c r="B6" s="518"/>
      <c r="C6" s="3429" t="s">
        <v>2935</v>
      </c>
      <c r="D6" s="3430"/>
      <c r="E6" s="3448" t="s">
        <v>2935</v>
      </c>
      <c r="F6" s="3449"/>
      <c r="G6" s="3429" t="s">
        <v>2935</v>
      </c>
      <c r="H6" s="3430"/>
      <c r="I6" s="3429" t="s">
        <v>2935</v>
      </c>
      <c r="J6" s="3430"/>
      <c r="K6" s="514" t="s">
        <v>528</v>
      </c>
      <c r="L6" s="2119"/>
      <c r="M6" s="2120"/>
      <c r="N6" s="2120"/>
      <c r="O6" s="2120"/>
      <c r="P6" s="3426"/>
      <c r="Q6" s="3427"/>
      <c r="R6" s="3410"/>
      <c r="S6" s="3411"/>
      <c r="T6" s="3412"/>
      <c r="U6" s="3413"/>
      <c r="V6" s="3428"/>
      <c r="W6" s="3428"/>
      <c r="X6" s="1554"/>
      <c r="Y6" s="3412"/>
      <c r="Z6" s="3413"/>
      <c r="AA6" s="3405"/>
      <c r="AB6" s="3405"/>
      <c r="AC6" s="3405"/>
    </row>
    <row r="7" spans="1:29" s="1216" customFormat="1" ht="15.75" thickBot="1">
      <c r="A7" s="2868"/>
      <c r="B7" s="2875" t="s">
        <v>529</v>
      </c>
      <c r="C7" s="519">
        <f>'数据-取费表'!B2</f>
        <v>44435</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06" t="s">
        <v>530</v>
      </c>
      <c r="Q7" s="3415"/>
      <c r="R7" s="1555" t="s">
        <v>8</v>
      </c>
      <c r="S7" s="1556">
        <f t="shared" ref="S7:S14" si="0">F7</f>
        <v>0</v>
      </c>
      <c r="T7" s="1555" t="s">
        <v>8</v>
      </c>
      <c r="U7" s="1556">
        <f t="shared" ref="U7:U14" si="1">H7</f>
        <v>0</v>
      </c>
      <c r="V7" s="1555" t="s">
        <v>8</v>
      </c>
      <c r="W7" s="1556">
        <f t="shared" ref="W7:W14" si="2">J7</f>
        <v>0</v>
      </c>
      <c r="X7" s="1557"/>
      <c r="Y7" s="3406" t="s">
        <v>530</v>
      </c>
      <c r="Z7" s="3407"/>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06" t="s">
        <v>533</v>
      </c>
      <c r="Q8" s="3407"/>
      <c r="R8" s="1555" t="s">
        <v>8</v>
      </c>
      <c r="S8" s="1556">
        <f t="shared" si="0"/>
        <v>0</v>
      </c>
      <c r="T8" s="1555" t="s">
        <v>8</v>
      </c>
      <c r="U8" s="1556">
        <f t="shared" si="1"/>
        <v>0</v>
      </c>
      <c r="V8" s="1555" t="s">
        <v>8</v>
      </c>
      <c r="W8" s="1556">
        <f t="shared" si="2"/>
        <v>0</v>
      </c>
      <c r="X8" s="1557"/>
      <c r="Y8" s="3406" t="s">
        <v>533</v>
      </c>
      <c r="Z8" s="3407"/>
      <c r="AA8" s="1558" t="e">
        <f t="shared" ref="AA8:AA34" si="3">D8/F8</f>
        <v>#DIV/0!</v>
      </c>
      <c r="AB8" s="1558" t="e">
        <f t="shared" ref="AB8:AB34" si="4">D8/H8</f>
        <v>#DIV/0!</v>
      </c>
      <c r="AC8" s="1558" t="e">
        <f t="shared" ref="AC8:AC34" si="5">D8/J8</f>
        <v>#DIV/0!</v>
      </c>
    </row>
    <row r="9" spans="1:29" s="1216" customFormat="1" ht="15">
      <c r="A9" s="2870"/>
      <c r="B9" s="2877" t="s">
        <v>2756</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414" t="s">
        <v>535</v>
      </c>
      <c r="Q9" s="1147" t="str">
        <f t="shared" ref="Q9:Q14" si="6">B9</f>
        <v>用途</v>
      </c>
      <c r="R9" s="1555" t="s">
        <v>8</v>
      </c>
      <c r="S9" s="1556">
        <f t="shared" si="0"/>
        <v>100</v>
      </c>
      <c r="T9" s="1555" t="s">
        <v>8</v>
      </c>
      <c r="U9" s="1556">
        <f t="shared" si="1"/>
        <v>100</v>
      </c>
      <c r="V9" s="1555" t="s">
        <v>8</v>
      </c>
      <c r="W9" s="1556">
        <f t="shared" si="2"/>
        <v>100</v>
      </c>
      <c r="X9" s="1557"/>
      <c r="Y9" s="3371"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414"/>
      <c r="Q10" s="1147" t="str">
        <f t="shared" si="6"/>
        <v>土地使用年限（年）</v>
      </c>
      <c r="R10" s="1555" t="s">
        <v>8</v>
      </c>
      <c r="S10" s="1556">
        <f t="shared" si="0"/>
        <v>100</v>
      </c>
      <c r="T10" s="1555" t="s">
        <v>8</v>
      </c>
      <c r="U10" s="1556">
        <f t="shared" si="1"/>
        <v>100</v>
      </c>
      <c r="V10" s="1555" t="s">
        <v>8</v>
      </c>
      <c r="W10" s="1556">
        <f t="shared" si="2"/>
        <v>100</v>
      </c>
      <c r="X10" s="1557"/>
      <c r="Y10" s="3371"/>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414"/>
      <c r="Q11" s="1147">
        <f t="shared" si="6"/>
        <v>111</v>
      </c>
      <c r="R11" s="1555" t="s">
        <v>8</v>
      </c>
      <c r="S11" s="1556">
        <f t="shared" si="0"/>
        <v>100</v>
      </c>
      <c r="T11" s="1555" t="s">
        <v>8</v>
      </c>
      <c r="U11" s="1556">
        <f t="shared" si="1"/>
        <v>100</v>
      </c>
      <c r="V11" s="1555" t="s">
        <v>8</v>
      </c>
      <c r="W11" s="1556">
        <f t="shared" si="2"/>
        <v>100</v>
      </c>
      <c r="X11" s="1557"/>
      <c r="Y11" s="3371"/>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414"/>
      <c r="Q12" s="1147">
        <f t="shared" si="6"/>
        <v>111</v>
      </c>
      <c r="R12" s="1555" t="s">
        <v>8</v>
      </c>
      <c r="S12" s="1556">
        <f t="shared" si="0"/>
        <v>100</v>
      </c>
      <c r="T12" s="1555" t="s">
        <v>8</v>
      </c>
      <c r="U12" s="1556">
        <f t="shared" si="1"/>
        <v>100</v>
      </c>
      <c r="V12" s="1555" t="s">
        <v>8</v>
      </c>
      <c r="W12" s="1556">
        <f t="shared" si="2"/>
        <v>100</v>
      </c>
      <c r="X12" s="1557"/>
      <c r="Y12" s="3371"/>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414"/>
      <c r="Q13" s="1147">
        <f t="shared" si="6"/>
        <v>111</v>
      </c>
      <c r="R13" s="1555" t="s">
        <v>8</v>
      </c>
      <c r="S13" s="1556">
        <f t="shared" si="0"/>
        <v>100</v>
      </c>
      <c r="T13" s="1555" t="s">
        <v>8</v>
      </c>
      <c r="U13" s="1556">
        <f t="shared" si="1"/>
        <v>100</v>
      </c>
      <c r="V13" s="1555" t="s">
        <v>8</v>
      </c>
      <c r="W13" s="1556">
        <f t="shared" si="2"/>
        <v>100</v>
      </c>
      <c r="X13" s="1557"/>
      <c r="Y13" s="3371"/>
      <c r="Z13" s="1146">
        <f t="shared" si="7"/>
        <v>111</v>
      </c>
      <c r="AA13" s="1558">
        <f t="shared" si="3"/>
        <v>1</v>
      </c>
      <c r="AB13" s="1558">
        <f t="shared" si="4"/>
        <v>1</v>
      </c>
      <c r="AC13" s="1558">
        <f t="shared" si="5"/>
        <v>1</v>
      </c>
    </row>
    <row r="14" spans="1:29" ht="85.5">
      <c r="A14" s="2866"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16" t="s">
        <v>540</v>
      </c>
      <c r="Q14" s="1559" t="str">
        <f t="shared" si="6"/>
        <v>交通便捷度</v>
      </c>
      <c r="R14" s="1560" t="s">
        <v>8</v>
      </c>
      <c r="S14" s="1561">
        <f t="shared" si="0"/>
        <v>100</v>
      </c>
      <c r="T14" s="1560" t="s">
        <v>8</v>
      </c>
      <c r="U14" s="1561">
        <f t="shared" si="1"/>
        <v>100</v>
      </c>
      <c r="V14" s="1560" t="s">
        <v>8</v>
      </c>
      <c r="W14" s="1561">
        <f t="shared" si="2"/>
        <v>100</v>
      </c>
      <c r="X14" s="1554"/>
      <c r="Y14" s="3416"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17"/>
      <c r="Q15" s="1559"/>
      <c r="R15" s="1560"/>
      <c r="S15" s="1561"/>
      <c r="T15" s="1560"/>
      <c r="U15" s="1561"/>
      <c r="V15" s="1560"/>
      <c r="W15" s="1561"/>
      <c r="X15" s="1554"/>
      <c r="Y15" s="3417"/>
      <c r="Z15" s="1562"/>
      <c r="AA15" s="1563">
        <v>1</v>
      </c>
      <c r="AB15" s="1563">
        <v>1</v>
      </c>
      <c r="AC15" s="1563">
        <v>1</v>
      </c>
    </row>
    <row r="16" spans="1:29" ht="42.75">
      <c r="A16" s="532"/>
      <c r="B16" s="2568"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17"/>
      <c r="Q16" s="1559" t="str">
        <f>B16</f>
        <v>公共配套设施</v>
      </c>
      <c r="R16" s="1560" t="s">
        <v>8</v>
      </c>
      <c r="S16" s="1561">
        <f>F16</f>
        <v>100</v>
      </c>
      <c r="T16" s="1560" t="s">
        <v>8</v>
      </c>
      <c r="U16" s="1561">
        <f>H16</f>
        <v>100</v>
      </c>
      <c r="V16" s="1560" t="s">
        <v>8</v>
      </c>
      <c r="W16" s="1561">
        <f>J16</f>
        <v>100</v>
      </c>
      <c r="X16" s="1554"/>
      <c r="Y16" s="3417"/>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17"/>
      <c r="Q17" s="1559"/>
      <c r="R17" s="1560"/>
      <c r="S17" s="1561"/>
      <c r="T17" s="1560"/>
      <c r="U17" s="1561"/>
      <c r="V17" s="1560"/>
      <c r="W17" s="1561"/>
      <c r="X17" s="1554"/>
      <c r="Y17" s="3417"/>
      <c r="Z17" s="1562"/>
      <c r="AA17" s="1563">
        <v>1</v>
      </c>
      <c r="AB17" s="1563">
        <v>1</v>
      </c>
      <c r="AC17" s="1563">
        <v>1</v>
      </c>
    </row>
    <row r="18" spans="1:29" ht="28.5">
      <c r="A18" s="532"/>
      <c r="B18" s="2556"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17"/>
      <c r="Q18" s="2544" t="str">
        <f>B18</f>
        <v>基础设施水平</v>
      </c>
      <c r="R18" s="1560" t="s">
        <v>8</v>
      </c>
      <c r="S18" s="1561">
        <f>F18</f>
        <v>100</v>
      </c>
      <c r="T18" s="1560" t="s">
        <v>8</v>
      </c>
      <c r="U18" s="1561">
        <f>H18</f>
        <v>100</v>
      </c>
      <c r="V18" s="1560" t="s">
        <v>8</v>
      </c>
      <c r="W18" s="1561">
        <f>J18</f>
        <v>100</v>
      </c>
      <c r="X18" s="2546"/>
      <c r="Y18" s="3417"/>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17"/>
      <c r="Q19" s="2544"/>
      <c r="R19" s="1560"/>
      <c r="S19" s="1561"/>
      <c r="T19" s="1560"/>
      <c r="U19" s="1561"/>
      <c r="V19" s="1560"/>
      <c r="W19" s="1561"/>
      <c r="X19" s="2546"/>
      <c r="Y19" s="3417"/>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17"/>
      <c r="Q20" s="1559" t="str">
        <f>B20</f>
        <v>自然及人文环境</v>
      </c>
      <c r="R20" s="1560" t="s">
        <v>8</v>
      </c>
      <c r="S20" s="1561">
        <f>F20</f>
        <v>100</v>
      </c>
      <c r="T20" s="1560" t="s">
        <v>8</v>
      </c>
      <c r="U20" s="1561">
        <f>H20</f>
        <v>100</v>
      </c>
      <c r="V20" s="1560" t="s">
        <v>8</v>
      </c>
      <c r="W20" s="1561">
        <f>J20</f>
        <v>100</v>
      </c>
      <c r="X20" s="1554"/>
      <c r="Y20" s="3417"/>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17"/>
      <c r="Q21" s="1559"/>
      <c r="R21" s="1560"/>
      <c r="S21" s="1561"/>
      <c r="T21" s="1560"/>
      <c r="U21" s="1561"/>
      <c r="V21" s="1560"/>
      <c r="W21" s="1561"/>
      <c r="X21" s="1554"/>
      <c r="Y21" s="3417"/>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17"/>
      <c r="Q22" s="1559" t="str">
        <f>B22</f>
        <v>楼层</v>
      </c>
      <c r="R22" s="1560" t="s">
        <v>8</v>
      </c>
      <c r="S22" s="1561">
        <f>F22</f>
        <v>100</v>
      </c>
      <c r="T22" s="1560" t="s">
        <v>8</v>
      </c>
      <c r="U22" s="1561">
        <f>H22</f>
        <v>100</v>
      </c>
      <c r="V22" s="1560" t="s">
        <v>8</v>
      </c>
      <c r="W22" s="1561">
        <f>J22</f>
        <v>100</v>
      </c>
      <c r="X22" s="1554"/>
      <c r="Y22" s="3417"/>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17"/>
      <c r="Q23" s="1559">
        <f>B23</f>
        <v>111</v>
      </c>
      <c r="R23" s="1560" t="s">
        <v>8</v>
      </c>
      <c r="S23" s="1561">
        <f>F23</f>
        <v>100</v>
      </c>
      <c r="T23" s="1560" t="s">
        <v>8</v>
      </c>
      <c r="U23" s="1561">
        <f>H23</f>
        <v>100</v>
      </c>
      <c r="V23" s="1560" t="s">
        <v>8</v>
      </c>
      <c r="W23" s="1561">
        <f>J23</f>
        <v>100</v>
      </c>
      <c r="X23" s="1554"/>
      <c r="Y23" s="3417"/>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17"/>
      <c r="Q24" s="1559">
        <f t="shared" ref="Q24:Q34" si="11">B24</f>
        <v>111</v>
      </c>
      <c r="R24" s="1560" t="s">
        <v>8</v>
      </c>
      <c r="S24" s="1561">
        <f>F24</f>
        <v>100</v>
      </c>
      <c r="T24" s="1560" t="s">
        <v>8</v>
      </c>
      <c r="U24" s="1561">
        <f>H24</f>
        <v>100</v>
      </c>
      <c r="V24" s="1560" t="s">
        <v>8</v>
      </c>
      <c r="W24" s="1561">
        <f>J24</f>
        <v>100</v>
      </c>
      <c r="X24" s="1554"/>
      <c r="Y24" s="3417"/>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17"/>
      <c r="Q25" s="1147">
        <f t="shared" si="11"/>
        <v>111</v>
      </c>
      <c r="R25" s="1555" t="s">
        <v>8</v>
      </c>
      <c r="S25" s="1556">
        <f>F25</f>
        <v>100</v>
      </c>
      <c r="T25" s="1555" t="s">
        <v>8</v>
      </c>
      <c r="U25" s="1556">
        <f>H25</f>
        <v>100</v>
      </c>
      <c r="V25" s="1555" t="s">
        <v>8</v>
      </c>
      <c r="W25" s="1556">
        <f>J25</f>
        <v>100</v>
      </c>
      <c r="X25" s="1557"/>
      <c r="Y25" s="3417"/>
      <c r="Z25" s="1146">
        <f>Q25</f>
        <v>111</v>
      </c>
      <c r="AA25" s="1563">
        <f>D25/F25</f>
        <v>1</v>
      </c>
      <c r="AB25" s="1563">
        <f>D25/H25</f>
        <v>1</v>
      </c>
      <c r="AC25" s="1563">
        <f>D25/J25</f>
        <v>1</v>
      </c>
    </row>
    <row r="26" spans="1:29" ht="15">
      <c r="A26" s="286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18"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19"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19"/>
      <c r="Q27" s="1591" t="str">
        <f t="shared" si="11"/>
        <v>成新率</v>
      </c>
      <c r="R27" s="1564" t="s">
        <v>8</v>
      </c>
      <c r="S27" s="1565" t="e">
        <f t="shared" si="12"/>
        <v>#N/A</v>
      </c>
      <c r="T27" s="1564" t="s">
        <v>8</v>
      </c>
      <c r="U27" s="1565" t="e">
        <f t="shared" si="13"/>
        <v>#N/A</v>
      </c>
      <c r="V27" s="1564" t="s">
        <v>8</v>
      </c>
      <c r="W27" s="1565" t="e">
        <f t="shared" si="14"/>
        <v>#N/A</v>
      </c>
      <c r="X27" s="1566"/>
      <c r="Y27" s="3419"/>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19"/>
      <c r="Q28" s="1559" t="str">
        <f t="shared" si="11"/>
        <v>物业等级</v>
      </c>
      <c r="R28" s="1560" t="s">
        <v>8</v>
      </c>
      <c r="S28" s="1561">
        <f t="shared" si="12"/>
        <v>100</v>
      </c>
      <c r="T28" s="1560" t="s">
        <v>8</v>
      </c>
      <c r="U28" s="1561">
        <f t="shared" si="13"/>
        <v>100</v>
      </c>
      <c r="V28" s="1560" t="s">
        <v>8</v>
      </c>
      <c r="W28" s="1561">
        <f t="shared" si="14"/>
        <v>100</v>
      </c>
      <c r="X28" s="1554"/>
      <c r="Y28" s="3419"/>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19"/>
      <c r="Q29" s="1559" t="str">
        <f t="shared" si="11"/>
        <v>有无电梯</v>
      </c>
      <c r="R29" s="1560" t="s">
        <v>8</v>
      </c>
      <c r="S29" s="1561">
        <f t="shared" si="12"/>
        <v>100</v>
      </c>
      <c r="T29" s="1560" t="s">
        <v>8</v>
      </c>
      <c r="U29" s="1561">
        <f t="shared" si="13"/>
        <v>100</v>
      </c>
      <c r="V29" s="1560" t="s">
        <v>8</v>
      </c>
      <c r="W29" s="1561">
        <f t="shared" si="14"/>
        <v>100</v>
      </c>
      <c r="X29" s="1554"/>
      <c r="Y29" s="3419"/>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19"/>
      <c r="Q30" s="1559" t="str">
        <f t="shared" si="11"/>
        <v>建筑面积</v>
      </c>
      <c r="R30" s="1560" t="s">
        <v>8</v>
      </c>
      <c r="S30" s="1561" t="e">
        <f t="shared" si="12"/>
        <v>#N/A</v>
      </c>
      <c r="T30" s="1560" t="s">
        <v>8</v>
      </c>
      <c r="U30" s="1561" t="e">
        <f t="shared" si="13"/>
        <v>#N/A</v>
      </c>
      <c r="V30" s="1560" t="s">
        <v>8</v>
      </c>
      <c r="W30" s="1561" t="e">
        <f t="shared" si="14"/>
        <v>#N/A</v>
      </c>
      <c r="X30" s="1554"/>
      <c r="Y30" s="3419"/>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19"/>
      <c r="Q31" s="1147" t="str">
        <f t="shared" si="11"/>
        <v>是否封闭</v>
      </c>
      <c r="R31" s="1555" t="s">
        <v>8</v>
      </c>
      <c r="S31" s="1556">
        <f t="shared" si="12"/>
        <v>100</v>
      </c>
      <c r="T31" s="1555" t="s">
        <v>8</v>
      </c>
      <c r="U31" s="1556">
        <f t="shared" si="13"/>
        <v>100</v>
      </c>
      <c r="V31" s="1555" t="s">
        <v>8</v>
      </c>
      <c r="W31" s="1556">
        <f t="shared" si="14"/>
        <v>100</v>
      </c>
      <c r="X31" s="1557"/>
      <c r="Y31" s="3419"/>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19" t="s">
        <v>550</v>
      </c>
      <c r="Q32" s="1559">
        <f t="shared" si="11"/>
        <v>111</v>
      </c>
      <c r="R32" s="1560" t="s">
        <v>8</v>
      </c>
      <c r="S32" s="1561">
        <f t="shared" si="12"/>
        <v>100</v>
      </c>
      <c r="T32" s="1560" t="s">
        <v>8</v>
      </c>
      <c r="U32" s="1561">
        <f t="shared" si="13"/>
        <v>100</v>
      </c>
      <c r="V32" s="1560" t="s">
        <v>8</v>
      </c>
      <c r="W32" s="1561">
        <f t="shared" si="14"/>
        <v>100</v>
      </c>
      <c r="X32" s="1554"/>
      <c r="Y32" s="3419"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19"/>
      <c r="Q33" s="1559">
        <f t="shared" si="11"/>
        <v>111</v>
      </c>
      <c r="R33" s="1560" t="s">
        <v>8</v>
      </c>
      <c r="S33" s="1561">
        <f t="shared" si="12"/>
        <v>100</v>
      </c>
      <c r="T33" s="1560" t="s">
        <v>8</v>
      </c>
      <c r="U33" s="1561">
        <f t="shared" si="13"/>
        <v>100</v>
      </c>
      <c r="V33" s="1560" t="s">
        <v>8</v>
      </c>
      <c r="W33" s="1561">
        <f t="shared" si="14"/>
        <v>100</v>
      </c>
      <c r="X33" s="1554"/>
      <c r="Y33" s="3419"/>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19"/>
      <c r="Q34" s="1559">
        <f t="shared" si="11"/>
        <v>111</v>
      </c>
      <c r="R34" s="1560" t="s">
        <v>8</v>
      </c>
      <c r="S34" s="1561">
        <f t="shared" si="12"/>
        <v>100</v>
      </c>
      <c r="T34" s="1560" t="s">
        <v>8</v>
      </c>
      <c r="U34" s="1561">
        <f t="shared" si="13"/>
        <v>100</v>
      </c>
      <c r="V34" s="1560" t="s">
        <v>8</v>
      </c>
      <c r="W34" s="1561">
        <f t="shared" si="14"/>
        <v>100</v>
      </c>
      <c r="X34" s="1554"/>
      <c r="Y34" s="3419"/>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414" t="str">
        <f>A35</f>
        <v>成交单价（元/平方米）</v>
      </c>
      <c r="Q35" s="3414"/>
      <c r="R35" s="3518">
        <f>E35</f>
        <v>0</v>
      </c>
      <c r="S35" s="3518"/>
      <c r="T35" s="3518">
        <f>G35</f>
        <v>0</v>
      </c>
      <c r="U35" s="3518"/>
      <c r="V35" s="3518">
        <f>I35</f>
        <v>0</v>
      </c>
      <c r="W35" s="3518"/>
      <c r="X35" s="1546"/>
      <c r="Y35" s="1568"/>
      <c r="Z35" s="1546"/>
      <c r="AA35" s="1546"/>
      <c r="AB35" s="1546"/>
      <c r="AC35" s="1546"/>
    </row>
    <row r="36" spans="1:29" ht="15.75" thickBot="1">
      <c r="A36" s="615" t="s">
        <v>2760</v>
      </c>
      <c r="B36" s="888"/>
      <c r="C36" s="2598" t="e">
        <f>R37</f>
        <v>#DIV/0!</v>
      </c>
      <c r="D36" s="2599"/>
      <c r="E36" s="2600" t="e">
        <f>R36</f>
        <v>#DIV/0!</v>
      </c>
      <c r="F36" s="2600"/>
      <c r="G36" s="2598" t="e">
        <f>T36</f>
        <v>#DIV/0!</v>
      </c>
      <c r="H36" s="2599"/>
      <c r="I36" s="2600" t="e">
        <f>V36</f>
        <v>#DIV/0!</v>
      </c>
      <c r="J36" s="2599"/>
      <c r="K36" s="1598"/>
      <c r="L36" s="2130"/>
      <c r="M36" s="2131"/>
      <c r="N36" s="2120"/>
      <c r="O36" s="2131"/>
      <c r="P36" s="3414" t="str">
        <f>A36</f>
        <v>比较价格（元/平方米）</v>
      </c>
      <c r="Q36" s="3414"/>
      <c r="R36" s="3518" t="e">
        <f>IF(F1="售价",ROUND(PRODUCT(R35,AA7:AA34),0),ROUND(PRODUCT(R35,AA7:AA34),1))</f>
        <v>#DIV/0!</v>
      </c>
      <c r="S36" s="3518"/>
      <c r="T36" s="3518" t="e">
        <f>IF(F1="售价",ROUND(PRODUCT(T35,AB7:AB34),0),ROUND(PRODUCT(T35,AB7:AB34),1))</f>
        <v>#DIV/0!</v>
      </c>
      <c r="U36" s="3518"/>
      <c r="V36" s="3518" t="e">
        <f>IF(F1="售价",ROUND(PRODUCT(V35,AC7:AC34),0),ROUND(PRODUCT(V35,AC7:AC34),1))</f>
        <v>#DIV/0!</v>
      </c>
      <c r="W36" s="3518"/>
      <c r="X36" s="1546"/>
      <c r="Y36" s="1546"/>
      <c r="Z36" s="1546"/>
      <c r="AA36" s="1546"/>
      <c r="AB36" s="1546"/>
      <c r="AC36" s="1546"/>
    </row>
    <row r="37" spans="1:29" ht="15.75" thickBot="1">
      <c r="A37" s="621" t="s">
        <v>2937</v>
      </c>
      <c r="B37" s="622"/>
      <c r="C37" s="2601" t="e">
        <f>R37</f>
        <v>#DIV/0!</v>
      </c>
      <c r="D37" s="2601"/>
      <c r="E37" s="2601"/>
      <c r="F37" s="2601"/>
      <c r="G37" s="2601"/>
      <c r="H37" s="2601"/>
      <c r="I37" s="2601"/>
      <c r="J37" s="2601"/>
      <c r="K37" s="1599"/>
      <c r="L37" s="2130"/>
      <c r="M37" s="2131"/>
      <c r="N37" s="2131"/>
      <c r="O37" s="2131"/>
      <c r="P37" s="3435" t="str">
        <f>A37</f>
        <v>估价对象XX用房的比较价格（楼面单价，元/平方米）</v>
      </c>
      <c r="Q37" s="3436"/>
      <c r="R37" s="3517" t="e">
        <f>IF(F1="售价",ROUND(AVERAGE(R36:V36),0),ROUND(AVERAGE(R36:V36),1))</f>
        <v>#DIV/0!</v>
      </c>
      <c r="S37" s="3517"/>
      <c r="T37" s="3517"/>
      <c r="U37" s="3517"/>
      <c r="V37" s="3517"/>
      <c r="W37" s="3517"/>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2021-8</v>
      </c>
      <c r="D46" s="2760">
        <f>EDATE(C46,-1)</f>
        <v>44378</v>
      </c>
      <c r="E46" s="2760">
        <f t="shared" ref="E46:O46" si="16">EDATE(D46,-1)</f>
        <v>44348</v>
      </c>
      <c r="F46" s="2760">
        <f t="shared" si="16"/>
        <v>44317</v>
      </c>
      <c r="G46" s="2760">
        <f t="shared" si="16"/>
        <v>44287</v>
      </c>
      <c r="H46" s="2760">
        <f t="shared" si="16"/>
        <v>44256</v>
      </c>
      <c r="I46" s="2760">
        <f t="shared" si="16"/>
        <v>44228</v>
      </c>
      <c r="J46" s="2760">
        <f t="shared" si="16"/>
        <v>44197</v>
      </c>
      <c r="K46" s="2760">
        <f t="shared" si="16"/>
        <v>44166</v>
      </c>
      <c r="L46" s="2760">
        <f t="shared" si="16"/>
        <v>44136</v>
      </c>
      <c r="M46" s="2760">
        <f t="shared" si="16"/>
        <v>44105</v>
      </c>
      <c r="N46" s="2760">
        <f t="shared" si="16"/>
        <v>44075</v>
      </c>
      <c r="O46" s="2760">
        <f t="shared" si="16"/>
        <v>44044</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2558</v>
      </c>
      <c r="C65" s="2563" t="s">
        <v>2559</v>
      </c>
      <c r="D65" s="2563" t="s">
        <v>2560</v>
      </c>
      <c r="E65" s="2563" t="s">
        <v>2561</v>
      </c>
      <c r="F65" s="2563" t="s">
        <v>2562</v>
      </c>
      <c r="G65" s="2563" t="s">
        <v>2563</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527" t="s">
        <v>2304</v>
      </c>
      <c r="D1" s="3528"/>
      <c r="E1" s="3528"/>
      <c r="F1" s="3528"/>
      <c r="G1" s="3528"/>
      <c r="H1" s="3528"/>
      <c r="I1" s="3528"/>
      <c r="J1" s="3528"/>
      <c r="K1" s="3528"/>
      <c r="L1" s="3528"/>
      <c r="M1" s="3528"/>
      <c r="N1" s="3528"/>
      <c r="O1" s="3528"/>
      <c r="P1" s="3528"/>
      <c r="Q1" s="3528"/>
      <c r="R1" s="3528"/>
      <c r="S1" s="3529"/>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1" t="s">
        <v>2930</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3" t="s">
        <v>2929</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3" t="s">
        <v>2928</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2"/>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1" t="s">
        <v>2941</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1" t="s">
        <v>2927</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1" t="s">
        <v>2926</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524" t="s">
        <v>20</v>
      </c>
      <c r="D22" s="3525"/>
      <c r="E22" s="3525"/>
      <c r="F22" s="3525"/>
      <c r="G22" s="3525"/>
      <c r="H22" s="3525"/>
      <c r="I22" s="3525"/>
      <c r="J22" s="3525"/>
      <c r="K22" s="3525"/>
      <c r="L22" s="3525"/>
      <c r="M22" s="3525"/>
      <c r="N22" s="3525"/>
      <c r="O22" s="3525"/>
      <c r="P22" s="3525"/>
      <c r="Q22" s="3526"/>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受贵公司委托，我公司对出让国有建设用地使用权进行了预评估。</v>
      </c>
    </row>
    <row r="5" spans="1:4" ht="18.75">
      <c r="A5" s="1780" t="s">
        <v>1905</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15557.09平方米。根据《建设工程规划许可证》[]、《出让合同》[]，估价对象规划建筑面积为10288平方米。</v>
      </c>
    </row>
    <row r="7" spans="1:4" ht="93.75">
      <c r="A7" s="2829" t="s">
        <v>2748</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2021年8月27日</v>
      </c>
    </row>
    <row r="12" spans="1:4" ht="18.75">
      <c r="A12" s="1783" t="s">
        <v>2025</v>
      </c>
    </row>
    <row r="13" spans="1:4" ht="18.75">
      <c r="A13" s="1777" t="s">
        <v>2071</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根据《国有土地使用证》[]，估价对象（分摊）出让国有建设用地使用权面积为15557.09平方米。根据《建设工程规划许可证》[]、《出让合同》[]，估价对象规划建筑面积为10288平方米。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2074</v>
      </c>
    </row>
    <row r="23" spans="1:1" ht="18.75">
      <c r="A23" s="2831" t="s">
        <v>2749</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2021年8月27日，在规划利用条件下、设定土地开发程度为红线外“七通”、宗地内场地，设定用途为，剩余土地使用年限为的出让国有建设用地使用权价格。</v>
      </c>
    </row>
    <row r="26" spans="1:1" ht="9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2788</v>
      </c>
      <c r="C1" s="2960">
        <f>项目基本情况!D3</f>
        <v>44435</v>
      </c>
      <c r="H1" s="2894">
        <f>IF(C1&gt;C13,0,MATCH(C1,C$13:C$100,-1))+IF(SUMIF(C13:C100,C1,D13:D100)=0,13,12)</f>
        <v>13</v>
      </c>
      <c r="I1" s="2894">
        <f ca="1">MATCH(C2,H3:H7,1)+IF(SUMIF(H3:H7,C2,I3:I7)=0,2,1)</f>
        <v>2</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2819</v>
      </c>
      <c r="C2" s="2961">
        <f>'数据-取费表'!B22</f>
        <v>0</v>
      </c>
      <c r="D2" s="2956" t="s">
        <v>2789</v>
      </c>
      <c r="E2" s="2959" t="e">
        <f ca="1">INDIRECT("I"&amp;$I$1)/100</f>
        <v>#VALUE!</v>
      </c>
      <c r="G2" s="2896"/>
      <c r="H2" s="2896"/>
      <c r="I2" s="2896" t="s">
        <v>2790</v>
      </c>
      <c r="K2" s="2896"/>
      <c r="L2" s="2896"/>
      <c r="M2" s="2896"/>
      <c r="N2" s="2896" t="s">
        <v>2791</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2821</v>
      </c>
      <c r="C3" s="2958">
        <f>'数据-取费表'!B19</f>
        <v>0</v>
      </c>
      <c r="D3" s="2956" t="s">
        <v>2789</v>
      </c>
      <c r="E3" s="2959">
        <f ca="1">INDIRECT("J"&amp;$J$1)/100</f>
        <v>0</v>
      </c>
      <c r="G3" s="2898" t="s">
        <v>2792</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2820</v>
      </c>
      <c r="C4" s="2959">
        <f ca="1">N4/100</f>
        <v>1.4999999999999999E-2</v>
      </c>
      <c r="G4" s="2904" t="s">
        <v>2793</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2794</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2795</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2796</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2797</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2798</v>
      </c>
      <c r="C10" s="2923"/>
      <c r="D10" s="2923"/>
      <c r="E10" s="2923"/>
      <c r="F10" s="2923"/>
      <c r="G10" s="2923"/>
      <c r="H10" s="2923"/>
      <c r="I10" s="2897"/>
      <c r="J10" s="2897"/>
      <c r="K10" s="2923"/>
      <c r="L10" s="2924" t="s">
        <v>2799</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2800</v>
      </c>
      <c r="C11" s="2928" t="s">
        <v>2801</v>
      </c>
      <c r="D11" s="2929" t="s">
        <v>2802</v>
      </c>
      <c r="E11" s="2930"/>
      <c r="F11" s="2929" t="s">
        <v>2803</v>
      </c>
      <c r="G11" s="2931"/>
      <c r="H11" s="2930"/>
      <c r="I11" s="2929" t="s">
        <v>2804</v>
      </c>
      <c r="J11" s="2930"/>
      <c r="K11" s="2926"/>
      <c r="L11" s="2927" t="s">
        <v>2800</v>
      </c>
      <c r="M11" s="2928" t="s">
        <v>2801</v>
      </c>
      <c r="N11" s="2927" t="s">
        <v>2805</v>
      </c>
      <c r="O11" s="2929" t="s">
        <v>2806</v>
      </c>
      <c r="P11" s="2931"/>
      <c r="Q11" s="2931"/>
      <c r="R11" s="2931"/>
      <c r="S11" s="2931"/>
      <c r="T11" s="2930"/>
      <c r="U11" s="2929" t="s">
        <v>2807</v>
      </c>
      <c r="V11" s="2931"/>
      <c r="W11" s="2930"/>
      <c r="X11" s="2927" t="s">
        <v>2808</v>
      </c>
      <c r="Y11" s="2927" t="s">
        <v>2809</v>
      </c>
      <c r="Z11" s="2927" t="s">
        <v>2810</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2811</v>
      </c>
      <c r="E12" s="2936" t="s">
        <v>2812</v>
      </c>
      <c r="F12" s="2936" t="s">
        <v>2813</v>
      </c>
      <c r="G12" s="2936" t="s">
        <v>2814</v>
      </c>
      <c r="H12" s="2936" t="s">
        <v>2796</v>
      </c>
      <c r="I12" s="2937" t="s">
        <v>2815</v>
      </c>
      <c r="J12" s="2937" t="s">
        <v>2815</v>
      </c>
      <c r="K12" s="2933"/>
      <c r="L12" s="2934"/>
      <c r="M12" s="2935"/>
      <c r="N12" s="2934"/>
      <c r="O12" s="2937" t="s">
        <v>2816</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2817</v>
      </c>
      <c r="C13" s="2941">
        <v>42301</v>
      </c>
      <c r="D13" s="2942">
        <v>4.3499999999999996</v>
      </c>
      <c r="E13" s="2942">
        <v>4.3499999999999996</v>
      </c>
      <c r="F13" s="2942">
        <v>4.75</v>
      </c>
      <c r="G13" s="2942">
        <v>4.75</v>
      </c>
      <c r="H13" s="2942">
        <v>4.9000000000000004</v>
      </c>
      <c r="I13" s="2942">
        <v>2.75</v>
      </c>
      <c r="J13" s="2942">
        <v>3.25</v>
      </c>
      <c r="K13" s="2939"/>
      <c r="L13" s="2940" t="s">
        <v>2817</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2818</v>
      </c>
      <c r="Y42" s="2946" t="s">
        <v>2818</v>
      </c>
      <c r="Z42" s="2946" t="s">
        <v>2818</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2818</v>
      </c>
      <c r="Y43" s="2946" t="s">
        <v>2818</v>
      </c>
      <c r="Z43" s="2946" t="s">
        <v>2818</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2818</v>
      </c>
      <c r="Y44" s="2946" t="s">
        <v>2818</v>
      </c>
      <c r="Z44" s="2946" t="s">
        <v>2818</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2818</v>
      </c>
      <c r="Y45" s="2946" t="s">
        <v>2818</v>
      </c>
      <c r="Z45" s="2946" t="s">
        <v>2818</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2818</v>
      </c>
      <c r="Y46" s="2946" t="s">
        <v>2818</v>
      </c>
      <c r="Z46" s="2946" t="s">
        <v>2818</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2818</v>
      </c>
      <c r="Y47" s="2946" t="s">
        <v>2818</v>
      </c>
      <c r="Z47" s="2946" t="s">
        <v>2818</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2818</v>
      </c>
      <c r="Y48" s="2946" t="s">
        <v>2818</v>
      </c>
      <c r="Z48" s="2946" t="s">
        <v>2818</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2818</v>
      </c>
      <c r="Y49" s="2946" t="s">
        <v>2818</v>
      </c>
      <c r="Z49" s="2946" t="s">
        <v>2818</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2818</v>
      </c>
      <c r="Y50" s="2946" t="s">
        <v>2818</v>
      </c>
      <c r="Z50" s="2946" t="s">
        <v>2818</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2818</v>
      </c>
      <c r="V51" s="2946" t="s">
        <v>2818</v>
      </c>
      <c r="W51" s="2946" t="s">
        <v>2818</v>
      </c>
      <c r="X51" s="2946" t="s">
        <v>2818</v>
      </c>
      <c r="Y51" s="2946" t="s">
        <v>2818</v>
      </c>
      <c r="Z51" s="2946" t="s">
        <v>2818</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2818</v>
      </c>
      <c r="J55" s="2946" t="s">
        <v>2818</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2168"/>
      <c r="G1" s="2094">
        <v>15557.09</v>
      </c>
      <c r="H1" s="2094"/>
    </row>
    <row r="2" spans="1:10" ht="15.75">
      <c r="A2" s="423" t="s">
        <v>467</v>
      </c>
      <c r="B2" s="425">
        <f>ROUND(B4*G4/10000,0)</f>
        <v>62</v>
      </c>
      <c r="C2" s="2094"/>
      <c r="D2" s="2094"/>
      <c r="E2" s="2094"/>
      <c r="F2" s="2094"/>
      <c r="G2" s="2094">
        <v>2900</v>
      </c>
      <c r="H2" s="2094"/>
      <c r="J2">
        <f>2536623.77*666.67</f>
        <v>1691090968.7458999</v>
      </c>
    </row>
    <row r="3" spans="1:10" ht="15.75">
      <c r="A3" s="1376" t="s">
        <v>1684</v>
      </c>
      <c r="B3" s="425"/>
      <c r="C3" s="2094"/>
      <c r="D3" s="2094"/>
      <c r="E3" s="2094"/>
      <c r="F3" s="2094"/>
      <c r="G3" s="2094">
        <v>2427</v>
      </c>
      <c r="H3" s="2094"/>
      <c r="J3">
        <f>(83289528.5+9211198.07+2988085.53)/J2</f>
        <v>5.6465804539665758E-2</v>
      </c>
    </row>
    <row r="4" spans="1:10" ht="27">
      <c r="A4" s="3197" t="s">
        <v>468</v>
      </c>
      <c r="B4" s="427">
        <f>I38</f>
        <v>1157</v>
      </c>
      <c r="C4" s="2047"/>
      <c r="D4" s="2094"/>
      <c r="E4" s="2094"/>
      <c r="F4" s="2094"/>
      <c r="G4" s="3215">
        <v>539.77</v>
      </c>
      <c r="H4" s="2094"/>
    </row>
    <row r="5" spans="1:10" ht="15.75">
      <c r="A5" s="429"/>
      <c r="B5" s="430">
        <f>ROUND(B2/(G4/666.67),0)</f>
        <v>77</v>
      </c>
      <c r="C5" s="431" t="s">
        <v>469</v>
      </c>
      <c r="D5" s="2094"/>
      <c r="E5" s="2094"/>
      <c r="F5" s="2094"/>
      <c r="G5" s="2094">
        <f>SUM(G1:G4)</f>
        <v>21423.86</v>
      </c>
      <c r="H5" s="2094"/>
    </row>
    <row r="6" spans="1:10" ht="16.5" thickBot="1">
      <c r="A6" s="429"/>
      <c r="B6" s="3185"/>
      <c r="C6" s="3186"/>
      <c r="D6" s="2094"/>
      <c r="E6" s="2094"/>
      <c r="F6" s="2094"/>
      <c r="G6" s="2094"/>
      <c r="H6" s="2094"/>
    </row>
    <row r="7" spans="1:10">
      <c r="A7" s="3532" t="s">
        <v>2999</v>
      </c>
      <c r="B7" s="3534" t="s">
        <v>604</v>
      </c>
      <c r="C7" s="3536" t="s">
        <v>3002</v>
      </c>
      <c r="D7" s="3537"/>
      <c r="E7" s="3538" t="s">
        <v>3003</v>
      </c>
      <c r="F7" s="3539"/>
      <c r="G7" s="3538" t="s">
        <v>3004</v>
      </c>
      <c r="H7" s="3539"/>
      <c r="I7" s="3205" t="s">
        <v>3127</v>
      </c>
      <c r="J7" s="3530" t="s">
        <v>3007</v>
      </c>
    </row>
    <row r="8" spans="1:10" ht="24">
      <c r="A8" s="3533"/>
      <c r="B8" s="3535"/>
      <c r="C8" s="3187" t="s">
        <v>3000</v>
      </c>
      <c r="D8" s="3187" t="s">
        <v>3001</v>
      </c>
      <c r="E8" s="3188" t="s">
        <v>3000</v>
      </c>
      <c r="F8" s="3188" t="s">
        <v>3001</v>
      </c>
      <c r="G8" s="3196" t="s">
        <v>3005</v>
      </c>
      <c r="H8" s="3196" t="s">
        <v>3006</v>
      </c>
      <c r="I8" s="3205" t="s">
        <v>3006</v>
      </c>
      <c r="J8" s="3531"/>
    </row>
    <row r="9" spans="1:10" ht="20.25" customHeight="1">
      <c r="A9" s="2434">
        <v>1</v>
      </c>
      <c r="B9" s="3192" t="s">
        <v>3036</v>
      </c>
      <c r="C9" s="749" t="s">
        <v>3058</v>
      </c>
      <c r="D9" s="749" t="s">
        <v>3058</v>
      </c>
      <c r="E9" s="750" t="s">
        <v>3058</v>
      </c>
      <c r="F9" s="750" t="s">
        <v>3058</v>
      </c>
      <c r="G9" s="3208">
        <f>G10+G12+G15+G23</f>
        <v>350.1</v>
      </c>
      <c r="H9" s="3202">
        <f>H10+H12+H15+H23</f>
        <v>225.04</v>
      </c>
      <c r="I9" s="3204">
        <f>I10+I12+I15+I23</f>
        <v>602</v>
      </c>
      <c r="J9" s="3189" t="s">
        <v>3008</v>
      </c>
    </row>
    <row r="10" spans="1:10" ht="21" customHeight="1">
      <c r="A10" s="2434" t="s">
        <v>2440</v>
      </c>
      <c r="B10" s="3190" t="s">
        <v>3009</v>
      </c>
      <c r="C10" s="749" t="s">
        <v>3058</v>
      </c>
      <c r="D10" s="749" t="s">
        <v>3058</v>
      </c>
      <c r="E10" s="750" t="s">
        <v>3058</v>
      </c>
      <c r="F10" s="750" t="s">
        <v>3058</v>
      </c>
      <c r="G10" s="751">
        <f>G11</f>
        <v>350.1</v>
      </c>
      <c r="H10" s="751">
        <f>H11</f>
        <v>225.04</v>
      </c>
      <c r="I10" s="3204">
        <f>I11</f>
        <v>225</v>
      </c>
      <c r="J10" s="3193" t="s">
        <v>3059</v>
      </c>
    </row>
    <row r="11" spans="1:10" ht="38.25">
      <c r="A11" s="2441" t="s">
        <v>3010</v>
      </c>
      <c r="B11" s="3190" t="s">
        <v>3118</v>
      </c>
      <c r="C11" s="2438">
        <v>15</v>
      </c>
      <c r="D11" s="749" t="s">
        <v>3060</v>
      </c>
      <c r="E11" s="3198">
        <f>ROUND('数据-汇总表'!D3/666.67,2)</f>
        <v>23.34</v>
      </c>
      <c r="F11" s="3194" t="s">
        <v>3061</v>
      </c>
      <c r="G11" s="751">
        <f>C11*E11</f>
        <v>350.1</v>
      </c>
      <c r="H11" s="751">
        <f>ROUND(G11/'数据-汇总表'!D3*10000,2)</f>
        <v>225.04</v>
      </c>
      <c r="I11" s="3204">
        <f>ROUND(C11*10000/666.67,0)</f>
        <v>225</v>
      </c>
      <c r="J11" s="3193" t="s">
        <v>3062</v>
      </c>
    </row>
    <row r="12" spans="1:10">
      <c r="A12" s="2434" t="s">
        <v>2441</v>
      </c>
      <c r="B12" s="3190" t="s">
        <v>3014</v>
      </c>
      <c r="C12" s="749" t="s">
        <v>3058</v>
      </c>
      <c r="D12" s="749" t="s">
        <v>3058</v>
      </c>
      <c r="E12" s="749" t="s">
        <v>3058</v>
      </c>
      <c r="F12" s="750" t="s">
        <v>3058</v>
      </c>
      <c r="G12" s="751">
        <f>G13+G14</f>
        <v>0</v>
      </c>
      <c r="H12" s="751">
        <f>H13+H14</f>
        <v>0</v>
      </c>
      <c r="I12" s="3204"/>
      <c r="J12" s="3193" t="s">
        <v>3067</v>
      </c>
    </row>
    <row r="13" spans="1:10" ht="38.25">
      <c r="A13" s="2441" t="s">
        <v>3010</v>
      </c>
      <c r="B13" s="3190" t="s">
        <v>3016</v>
      </c>
      <c r="C13" s="2438">
        <v>1500</v>
      </c>
      <c r="D13" s="749" t="s">
        <v>3068</v>
      </c>
      <c r="E13" s="3211">
        <v>0</v>
      </c>
      <c r="F13" s="3195" t="s">
        <v>3061</v>
      </c>
      <c r="G13" s="751">
        <f>C13*E13/10000</f>
        <v>0</v>
      </c>
      <c r="H13" s="751">
        <f>ROUND(G13*10000/'数据-汇总表'!D3,2)</f>
        <v>0</v>
      </c>
      <c r="I13" s="3204"/>
      <c r="J13" s="3193" t="s">
        <v>3069</v>
      </c>
    </row>
    <row r="14" spans="1:10" ht="36">
      <c r="A14" s="2441" t="s">
        <v>3022</v>
      </c>
      <c r="B14" s="3190" t="s">
        <v>3119</v>
      </c>
      <c r="C14" s="2438">
        <v>2000</v>
      </c>
      <c r="D14" s="749" t="s">
        <v>3068</v>
      </c>
      <c r="E14" s="3210">
        <v>0</v>
      </c>
      <c r="F14" s="3195" t="s">
        <v>3061</v>
      </c>
      <c r="G14" s="751">
        <f>C14*E14/10000</f>
        <v>0</v>
      </c>
      <c r="H14" s="751">
        <f>ROUND(G14*10000/'数据-汇总表'!D3,2)</f>
        <v>0</v>
      </c>
      <c r="I14" s="3204"/>
      <c r="J14" s="3209" t="s">
        <v>3120</v>
      </c>
    </row>
    <row r="15" spans="1:10">
      <c r="A15" s="2441" t="s">
        <v>3019</v>
      </c>
      <c r="B15" s="3190" t="s">
        <v>3020</v>
      </c>
      <c r="C15" s="749" t="s">
        <v>3058</v>
      </c>
      <c r="D15" s="749" t="s">
        <v>3058</v>
      </c>
      <c r="E15" s="749" t="s">
        <v>3058</v>
      </c>
      <c r="F15" s="3191" t="s">
        <v>3058</v>
      </c>
      <c r="G15" s="751">
        <f>G16+G17+G18+G19+G20+G21+G22</f>
        <v>0</v>
      </c>
      <c r="H15" s="751">
        <f>H16+H17+H18+H19+H20+H21+H22</f>
        <v>0</v>
      </c>
      <c r="I15" s="3204">
        <v>350</v>
      </c>
      <c r="J15" s="3193" t="s">
        <v>3079</v>
      </c>
    </row>
    <row r="16" spans="1:10" ht="37.5">
      <c r="A16" s="2441" t="s">
        <v>3010</v>
      </c>
      <c r="B16" s="3190" t="s">
        <v>3023</v>
      </c>
      <c r="C16" s="2438">
        <v>1300</v>
      </c>
      <c r="D16" s="749" t="s">
        <v>3080</v>
      </c>
      <c r="E16" s="3210">
        <v>0</v>
      </c>
      <c r="F16" s="3195" t="s">
        <v>3081</v>
      </c>
      <c r="G16" s="751">
        <f>C16*E16/10000</f>
        <v>0</v>
      </c>
      <c r="H16" s="751">
        <f>ROUND(G16*10000/'数据-汇总表'!D3,2)</f>
        <v>0</v>
      </c>
      <c r="I16" s="3204"/>
      <c r="J16" s="3193" t="s">
        <v>3121</v>
      </c>
    </row>
    <row r="17" spans="1:10" ht="25.5">
      <c r="A17" s="2441" t="s">
        <v>3022</v>
      </c>
      <c r="B17" s="3190" t="s">
        <v>3025</v>
      </c>
      <c r="C17" s="2438">
        <v>25</v>
      </c>
      <c r="D17" s="749" t="s">
        <v>3083</v>
      </c>
      <c r="E17" s="3210">
        <v>0</v>
      </c>
      <c r="F17" s="3195" t="s">
        <v>3084</v>
      </c>
      <c r="G17" s="751">
        <f>C17*E17</f>
        <v>0</v>
      </c>
      <c r="H17" s="751">
        <f>ROUND(G17*10000/'数据-汇总表'!D3,2)</f>
        <v>0</v>
      </c>
      <c r="I17" s="3204"/>
      <c r="J17" s="3193" t="s">
        <v>3122</v>
      </c>
    </row>
    <row r="18" spans="1:10" ht="49.5">
      <c r="A18" s="2441" t="s">
        <v>3015</v>
      </c>
      <c r="B18" s="3190" t="s">
        <v>3026</v>
      </c>
      <c r="C18" s="2438">
        <v>400</v>
      </c>
      <c r="D18" s="749" t="s">
        <v>3080</v>
      </c>
      <c r="E18" s="3210">
        <v>0</v>
      </c>
      <c r="F18" s="3195" t="s">
        <v>3081</v>
      </c>
      <c r="G18" s="751">
        <f>C18*E18/10000</f>
        <v>0</v>
      </c>
      <c r="H18" s="751">
        <f>ROUND(G18*10000/'数据-汇总表'!D3,2)</f>
        <v>0</v>
      </c>
      <c r="I18" s="3204"/>
      <c r="J18" s="3193" t="s">
        <v>3088</v>
      </c>
    </row>
    <row r="19" spans="1:10" ht="63">
      <c r="A19" s="2441" t="s">
        <v>3075</v>
      </c>
      <c r="B19" s="3190" t="s">
        <v>3027</v>
      </c>
      <c r="C19" s="2438">
        <v>35</v>
      </c>
      <c r="D19" s="749" t="s">
        <v>3089</v>
      </c>
      <c r="E19" s="3210">
        <v>0</v>
      </c>
      <c r="F19" s="3195" t="s">
        <v>3090</v>
      </c>
      <c r="G19" s="751">
        <f>C19*E19/10000</f>
        <v>0</v>
      </c>
      <c r="H19" s="751">
        <f>ROUND(G19*10000/'数据-汇总表'!D3,2)</f>
        <v>0</v>
      </c>
      <c r="I19" s="3204"/>
      <c r="J19" s="3193" t="s">
        <v>3091</v>
      </c>
    </row>
    <row r="20" spans="1:10" ht="37.5">
      <c r="A20" s="2441" t="s">
        <v>3076</v>
      </c>
      <c r="B20" s="3190" t="s">
        <v>3028</v>
      </c>
      <c r="C20" s="2438">
        <v>1300</v>
      </c>
      <c r="D20" s="749" t="s">
        <v>3080</v>
      </c>
      <c r="E20" s="3210">
        <v>0</v>
      </c>
      <c r="F20" s="3195" t="s">
        <v>3081</v>
      </c>
      <c r="G20" s="751">
        <f>C20*E20/10000</f>
        <v>0</v>
      </c>
      <c r="H20" s="751">
        <f>ROUND(G20*10000/'数据-汇总表'!D3,2)</f>
        <v>0</v>
      </c>
      <c r="I20" s="3204"/>
      <c r="J20" s="3193" t="s">
        <v>3123</v>
      </c>
    </row>
    <row r="21" spans="1:10" ht="38.25">
      <c r="A21" s="2441" t="s">
        <v>3077</v>
      </c>
      <c r="B21" s="3190" t="s">
        <v>3029</v>
      </c>
      <c r="C21" s="2438">
        <v>1495</v>
      </c>
      <c r="D21" s="749" t="s">
        <v>3080</v>
      </c>
      <c r="E21" s="2438"/>
      <c r="F21" s="3195" t="s">
        <v>3081</v>
      </c>
      <c r="G21" s="751">
        <f>ROUND(C21*E21/10000,2)</f>
        <v>0</v>
      </c>
      <c r="H21" s="751">
        <f>ROUND(G21*10000/'数据-汇总表'!D3,2)</f>
        <v>0</v>
      </c>
      <c r="I21" s="3204"/>
      <c r="J21" s="3193" t="s">
        <v>3124</v>
      </c>
    </row>
    <row r="22" spans="1:10" ht="63">
      <c r="A22" s="2441" t="s">
        <v>3078</v>
      </c>
      <c r="B22" s="3190" t="s">
        <v>3034</v>
      </c>
      <c r="C22" s="3198">
        <v>1.7</v>
      </c>
      <c r="D22" s="749" t="s">
        <v>3089</v>
      </c>
      <c r="E22" s="3210">
        <v>0</v>
      </c>
      <c r="F22" s="3195" t="s">
        <v>3090</v>
      </c>
      <c r="G22" s="751">
        <f>C22*E22/10000</f>
        <v>0</v>
      </c>
      <c r="H22" s="751">
        <f>ROUND(G22*10000/'数据-汇总表'!D3,2)</f>
        <v>0</v>
      </c>
      <c r="I22" s="3204"/>
      <c r="J22" s="3193" t="s">
        <v>3098</v>
      </c>
    </row>
    <row r="23" spans="1:10">
      <c r="A23" s="2441" t="s">
        <v>3030</v>
      </c>
      <c r="B23" s="3190" t="s">
        <v>3031</v>
      </c>
      <c r="C23" s="749" t="s">
        <v>3058</v>
      </c>
      <c r="D23" s="749" t="s">
        <v>3058</v>
      </c>
      <c r="E23" s="749" t="s">
        <v>3058</v>
      </c>
      <c r="F23" s="3191" t="s">
        <v>3058</v>
      </c>
      <c r="G23" s="751">
        <f>G24+G25</f>
        <v>0</v>
      </c>
      <c r="H23" s="751">
        <f>H24+H25</f>
        <v>0</v>
      </c>
      <c r="I23" s="3204">
        <v>27</v>
      </c>
      <c r="J23" s="3193" t="s">
        <v>3095</v>
      </c>
    </row>
    <row r="24" spans="1:10" ht="62.25">
      <c r="A24" s="2441" t="s">
        <v>3010</v>
      </c>
      <c r="B24" s="3190" t="s">
        <v>3032</v>
      </c>
      <c r="C24" s="3198">
        <v>4.8</v>
      </c>
      <c r="D24" s="749" t="s">
        <v>3089</v>
      </c>
      <c r="E24" s="3210">
        <v>0</v>
      </c>
      <c r="F24" s="3195" t="s">
        <v>3090</v>
      </c>
      <c r="G24" s="751">
        <f>C24*E24/10000</f>
        <v>0</v>
      </c>
      <c r="H24" s="751">
        <f>ROUND(G24*10000/'数据-汇总表'!D3,2)</f>
        <v>0</v>
      </c>
      <c r="I24" s="3204"/>
      <c r="J24" s="3193" t="s">
        <v>3096</v>
      </c>
    </row>
    <row r="25" spans="1:10" ht="50.25">
      <c r="A25" s="2441" t="s">
        <v>3022</v>
      </c>
      <c r="B25" s="3190" t="s">
        <v>3033</v>
      </c>
      <c r="C25" s="3198">
        <v>1.6</v>
      </c>
      <c r="D25" s="749" t="s">
        <v>3089</v>
      </c>
      <c r="E25" s="3210">
        <v>0</v>
      </c>
      <c r="F25" s="3195" t="s">
        <v>3090</v>
      </c>
      <c r="G25" s="751">
        <f>C25*E25/10000</f>
        <v>0</v>
      </c>
      <c r="H25" s="751">
        <f>ROUND(G25*10000/'数据-汇总表'!D3,2)</f>
        <v>0</v>
      </c>
      <c r="I25" s="3204"/>
      <c r="J25" s="3193" t="s">
        <v>3097</v>
      </c>
    </row>
    <row r="26" spans="1:10">
      <c r="A26" s="2434" t="s">
        <v>3035</v>
      </c>
      <c r="B26" s="3192" t="s">
        <v>3037</v>
      </c>
      <c r="C26" s="749" t="s">
        <v>3058</v>
      </c>
      <c r="D26" s="749" t="s">
        <v>3058</v>
      </c>
      <c r="E26" s="749" t="s">
        <v>3058</v>
      </c>
      <c r="F26" s="3191" t="s">
        <v>3058</v>
      </c>
      <c r="G26" s="751">
        <f>G27+G28+G29+G30</f>
        <v>116.71000000000001</v>
      </c>
      <c r="H26" s="751">
        <f>H27+H28+H29+H30</f>
        <v>75.02000000000001</v>
      </c>
      <c r="I26" s="3204">
        <v>39.200000000000003</v>
      </c>
      <c r="J26" s="3193" t="s">
        <v>3099</v>
      </c>
    </row>
    <row r="27" spans="1:10" ht="38.25">
      <c r="A27" s="2434" t="s">
        <v>2440</v>
      </c>
      <c r="B27" s="3190" t="s">
        <v>3038</v>
      </c>
      <c r="C27" s="3218">
        <v>40</v>
      </c>
      <c r="D27" s="749" t="s">
        <v>3080</v>
      </c>
      <c r="E27" s="3213">
        <f>'数据-汇总表'!D3</f>
        <v>15557.09</v>
      </c>
      <c r="F27" s="3199" t="s">
        <v>3061</v>
      </c>
      <c r="G27" s="751">
        <f>ROUND(C27*E27/10000,2)</f>
        <v>62.23</v>
      </c>
      <c r="H27" s="751">
        <f>ROUND(G27*10000/'数据-汇总表'!D3,2)</f>
        <v>40</v>
      </c>
      <c r="I27" s="3204"/>
      <c r="J27" s="3193" t="s">
        <v>3100</v>
      </c>
    </row>
    <row r="28" spans="1:10" ht="51">
      <c r="A28" s="2434" t="s">
        <v>2441</v>
      </c>
      <c r="B28" s="3190" t="s">
        <v>3039</v>
      </c>
      <c r="C28" s="2438">
        <v>20</v>
      </c>
      <c r="D28" s="749" t="s">
        <v>3080</v>
      </c>
      <c r="E28" s="3213">
        <f>'数据-汇总表'!D3</f>
        <v>15557.09</v>
      </c>
      <c r="F28" s="3199" t="s">
        <v>3061</v>
      </c>
      <c r="G28" s="751">
        <f t="shared" ref="G28:G30" si="0">ROUND(C28*E28/10000,2)</f>
        <v>31.11</v>
      </c>
      <c r="H28" s="751">
        <f>ROUND(G28*10000/'数据-汇总表'!D3,2)</f>
        <v>20</v>
      </c>
      <c r="I28" s="3204"/>
      <c r="J28" s="3193" t="s">
        <v>3101</v>
      </c>
    </row>
    <row r="29" spans="1:10" ht="63">
      <c r="A29" s="2441" t="s">
        <v>3019</v>
      </c>
      <c r="B29" s="3190" t="s">
        <v>3040</v>
      </c>
      <c r="C29" s="2438">
        <v>12</v>
      </c>
      <c r="D29" s="749" t="s">
        <v>3060</v>
      </c>
      <c r="E29" s="3213">
        <f>E11</f>
        <v>23.34</v>
      </c>
      <c r="F29" s="3199" t="s">
        <v>3061</v>
      </c>
      <c r="G29" s="751">
        <f t="shared" si="0"/>
        <v>0.03</v>
      </c>
      <c r="H29" s="751">
        <f>ROUND(G29*10000/'数据-汇总表'!D3,2)</f>
        <v>0.02</v>
      </c>
      <c r="I29" s="3204"/>
      <c r="J29" s="3193" t="s">
        <v>3103</v>
      </c>
    </row>
    <row r="30" spans="1:10" ht="50.25">
      <c r="A30" s="2441" t="s">
        <v>3030</v>
      </c>
      <c r="B30" s="3190" t="s">
        <v>3041</v>
      </c>
      <c r="C30" s="2438">
        <v>15</v>
      </c>
      <c r="D30" s="749" t="s">
        <v>3080</v>
      </c>
      <c r="E30" s="3213">
        <f>E27</f>
        <v>15557.09</v>
      </c>
      <c r="F30" s="3199" t="s">
        <v>3061</v>
      </c>
      <c r="G30" s="751">
        <f t="shared" si="0"/>
        <v>23.34</v>
      </c>
      <c r="H30" s="751">
        <f>ROUND(G30*10000/'数据-汇总表'!D3,2)</f>
        <v>15</v>
      </c>
      <c r="I30" s="3204"/>
      <c r="J30" s="3193" t="s">
        <v>3104</v>
      </c>
    </row>
    <row r="31" spans="1:10" ht="24.75">
      <c r="A31" s="2434" t="s">
        <v>3043</v>
      </c>
      <c r="B31" s="3192" t="s">
        <v>3042</v>
      </c>
      <c r="C31" s="749" t="s">
        <v>3058</v>
      </c>
      <c r="D31" s="749" t="s">
        <v>3058</v>
      </c>
      <c r="E31" s="749" t="s">
        <v>3058</v>
      </c>
      <c r="F31" s="3191" t="s">
        <v>3058</v>
      </c>
      <c r="G31" s="751">
        <f>ROUND(H31*'数据-汇总表'!D3/10000,2)</f>
        <v>155.57</v>
      </c>
      <c r="H31" s="751">
        <v>100</v>
      </c>
      <c r="I31" s="3204">
        <v>100</v>
      </c>
      <c r="J31" s="3193" t="s">
        <v>3105</v>
      </c>
    </row>
    <row r="32" spans="1:10" ht="37.5">
      <c r="A32" s="2434" t="s">
        <v>3044</v>
      </c>
      <c r="B32" s="3192" t="s">
        <v>3045</v>
      </c>
      <c r="C32" s="3200">
        <v>4.3499999999999997E-2</v>
      </c>
      <c r="D32" s="749" t="s">
        <v>3058</v>
      </c>
      <c r="E32" s="2438">
        <v>1</v>
      </c>
      <c r="F32" s="3195" t="s">
        <v>3106</v>
      </c>
      <c r="G32" s="751">
        <f>ROUND((G9+G26)*E32*C32+G31*(E32/2)*C32,2)</f>
        <v>23.69</v>
      </c>
      <c r="H32" s="751">
        <f>ROUND((H9+H26)*E32*C32+H31*(E32/2)*C32,2)</f>
        <v>15.23</v>
      </c>
      <c r="I32" s="3203">
        <f>ROUND((I9+I26)*E32*C32+I31*(E32/2)*C32,2)</f>
        <v>30.07</v>
      </c>
      <c r="J32" s="3193" t="s">
        <v>3107</v>
      </c>
    </row>
    <row r="33" spans="1:10" ht="25.5">
      <c r="A33" s="2434" t="s">
        <v>3046</v>
      </c>
      <c r="B33" s="3192" t="s">
        <v>3047</v>
      </c>
      <c r="C33" s="3200">
        <v>0.15</v>
      </c>
      <c r="D33" s="749" t="s">
        <v>3058</v>
      </c>
      <c r="E33" s="749" t="s">
        <v>3058</v>
      </c>
      <c r="F33" s="3191" t="s">
        <v>3058</v>
      </c>
      <c r="G33" s="751">
        <f>ROUND((G9+G26+G31)*8%,2)</f>
        <v>49.79</v>
      </c>
      <c r="H33" s="751">
        <f>ROUND((H9+H26+H31)*8%,2)</f>
        <v>32</v>
      </c>
      <c r="I33" s="3204">
        <f>ROUND((I9+I26+I31)*C33,2)</f>
        <v>111.18</v>
      </c>
      <c r="J33" s="3193" t="s">
        <v>3108</v>
      </c>
    </row>
    <row r="34" spans="1:10" ht="25.5">
      <c r="A34" s="2434" t="s">
        <v>3048</v>
      </c>
      <c r="B34" s="3192" t="s">
        <v>3049</v>
      </c>
      <c r="C34" s="749" t="s">
        <v>3058</v>
      </c>
      <c r="D34" s="749" t="s">
        <v>3058</v>
      </c>
      <c r="E34" s="749" t="s">
        <v>3058</v>
      </c>
      <c r="F34" s="3191" t="s">
        <v>3058</v>
      </c>
      <c r="G34" s="751">
        <f>ROUND(G9+G26+G31+G32+G33,2)</f>
        <v>695.86</v>
      </c>
      <c r="H34" s="751">
        <f>ROUND(H9+H26+H31+H32+H33,2)</f>
        <v>447.29</v>
      </c>
      <c r="I34" s="3204">
        <f>ROUND(I9+I26+I31+I32+I33,2)</f>
        <v>882.45</v>
      </c>
      <c r="J34" s="3193" t="s">
        <v>3110</v>
      </c>
    </row>
    <row r="35" spans="1:10" ht="37.5">
      <c r="A35" s="2434" t="s">
        <v>3050</v>
      </c>
      <c r="B35" s="3192" t="s">
        <v>3051</v>
      </c>
      <c r="C35" s="3212">
        <v>0.4</v>
      </c>
      <c r="D35" s="749" t="s">
        <v>3058</v>
      </c>
      <c r="E35" s="749" t="s">
        <v>3058</v>
      </c>
      <c r="F35" s="3191" t="s">
        <v>3058</v>
      </c>
      <c r="G35" s="751">
        <f>ROUND(G34*C35,2)</f>
        <v>278.33999999999997</v>
      </c>
      <c r="H35" s="751">
        <f>ROUND(H34*C35,2)</f>
        <v>178.92</v>
      </c>
      <c r="I35" s="3204">
        <f>ROUND(I34*C35,2)</f>
        <v>352.98</v>
      </c>
      <c r="J35" s="3193" t="s">
        <v>3125</v>
      </c>
    </row>
    <row r="36" spans="1:10">
      <c r="A36" s="2434" t="s">
        <v>3052</v>
      </c>
      <c r="B36" s="3192" t="s">
        <v>3053</v>
      </c>
      <c r="C36" s="3219">
        <f>ROUND(0.9457*C40,4)</f>
        <v>0.93059999999999998</v>
      </c>
      <c r="D36" s="749" t="s">
        <v>3058</v>
      </c>
      <c r="E36" s="749" t="s">
        <v>3058</v>
      </c>
      <c r="F36" s="3191" t="s">
        <v>3058</v>
      </c>
      <c r="G36" s="3191" t="s">
        <v>3058</v>
      </c>
      <c r="H36" s="3191" t="s">
        <v>3058</v>
      </c>
      <c r="I36" s="3206" t="s">
        <v>3058</v>
      </c>
      <c r="J36" s="3193" t="s">
        <v>3111</v>
      </c>
    </row>
    <row r="37" spans="1:10">
      <c r="A37" s="2434" t="s">
        <v>3054</v>
      </c>
      <c r="B37" s="3192" t="s">
        <v>3055</v>
      </c>
      <c r="C37" s="3213">
        <v>1.006</v>
      </c>
      <c r="D37" s="749" t="s">
        <v>3058</v>
      </c>
      <c r="E37" s="749" t="s">
        <v>3058</v>
      </c>
      <c r="F37" s="749" t="s">
        <v>3058</v>
      </c>
      <c r="G37" s="749" t="s">
        <v>3058</v>
      </c>
      <c r="H37" s="749" t="s">
        <v>3058</v>
      </c>
      <c r="I37" s="3207" t="s">
        <v>3058</v>
      </c>
      <c r="J37" s="3193" t="s">
        <v>3112</v>
      </c>
    </row>
    <row r="38" spans="1:10" ht="25.5">
      <c r="A38" s="2434" t="s">
        <v>3056</v>
      </c>
      <c r="B38" s="3192" t="s">
        <v>3057</v>
      </c>
      <c r="C38" s="749" t="s">
        <v>3058</v>
      </c>
      <c r="D38" s="749" t="s">
        <v>3058</v>
      </c>
      <c r="E38" s="749" t="s">
        <v>3058</v>
      </c>
      <c r="F38" s="749" t="s">
        <v>3058</v>
      </c>
      <c r="G38" s="751">
        <f>ROUND((G34+G35)*C36*C37,0)</f>
        <v>912</v>
      </c>
      <c r="H38" s="751">
        <f>ROUND((H34+H35)*C36*C37,0)</f>
        <v>586</v>
      </c>
      <c r="I38" s="3204">
        <f>ROUND((I34+I35)*C36*C37,0)</f>
        <v>1157</v>
      </c>
      <c r="J38" s="3193" t="s">
        <v>3126</v>
      </c>
    </row>
    <row r="40" spans="1:10">
      <c r="B40" s="3214" t="s">
        <v>3133</v>
      </c>
      <c r="C40">
        <v>0.98399999999999999</v>
      </c>
    </row>
    <row r="44" spans="1:10">
      <c r="B44" s="3216">
        <v>60491</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2168"/>
      <c r="G1" s="2094">
        <v>15557.09</v>
      </c>
      <c r="H1" s="2094"/>
    </row>
    <row r="2" spans="1:10" ht="15.75">
      <c r="A2" s="423" t="s">
        <v>467</v>
      </c>
      <c r="B2" s="425">
        <f>ROUND(B4*G3/10000,0)</f>
        <v>247</v>
      </c>
      <c r="C2" s="2094"/>
      <c r="D2" s="2094"/>
      <c r="E2" s="2094"/>
      <c r="F2" s="2094"/>
      <c r="G2" s="2094">
        <v>2900</v>
      </c>
      <c r="H2" s="2094"/>
      <c r="J2">
        <f>2536623.77*666.67</f>
        <v>1691090968.7458999</v>
      </c>
    </row>
    <row r="3" spans="1:10" ht="15.75">
      <c r="A3" s="1376" t="s">
        <v>1684</v>
      </c>
      <c r="B3" s="425"/>
      <c r="C3" s="2094"/>
      <c r="D3" s="2094"/>
      <c r="E3" s="2094"/>
      <c r="F3" s="2094"/>
      <c r="G3" s="3215">
        <v>2427</v>
      </c>
      <c r="H3" s="2094"/>
      <c r="J3">
        <f>(83289528.5+9211198.07+2988085.53)/J2</f>
        <v>5.6465804539665758E-2</v>
      </c>
    </row>
    <row r="4" spans="1:10" ht="27">
      <c r="A4" s="3197" t="s">
        <v>468</v>
      </c>
      <c r="B4" s="427">
        <f>I38</f>
        <v>1016</v>
      </c>
      <c r="C4" s="2047"/>
      <c r="D4" s="2094"/>
      <c r="E4" s="2094"/>
      <c r="F4" s="2094"/>
      <c r="G4" s="2094">
        <v>539.77</v>
      </c>
      <c r="H4" s="2094"/>
    </row>
    <row r="5" spans="1:10" ht="15.75">
      <c r="A5" s="429"/>
      <c r="B5" s="430">
        <f>ROUND(B2/(G3/666.67),0)</f>
        <v>68</v>
      </c>
      <c r="C5" s="431" t="s">
        <v>469</v>
      </c>
      <c r="D5" s="2094"/>
      <c r="E5" s="2094"/>
      <c r="F5" s="2094"/>
      <c r="G5" s="2094">
        <f>SUM(G1:G4)</f>
        <v>21423.86</v>
      </c>
      <c r="H5" s="2094"/>
    </row>
    <row r="6" spans="1:10" ht="16.5" thickBot="1">
      <c r="A6" s="429"/>
      <c r="B6" s="3185"/>
      <c r="C6" s="3186"/>
      <c r="D6" s="2094"/>
      <c r="E6" s="2094"/>
      <c r="F6" s="2094"/>
      <c r="G6" s="2094"/>
      <c r="H6" s="2094"/>
    </row>
    <row r="7" spans="1:10">
      <c r="A7" s="3532" t="s">
        <v>2999</v>
      </c>
      <c r="B7" s="3534" t="s">
        <v>604</v>
      </c>
      <c r="C7" s="3536" t="s">
        <v>3002</v>
      </c>
      <c r="D7" s="3537"/>
      <c r="E7" s="3538" t="s">
        <v>3003</v>
      </c>
      <c r="F7" s="3539"/>
      <c r="G7" s="3538" t="s">
        <v>3004</v>
      </c>
      <c r="H7" s="3539"/>
      <c r="I7" s="3205" t="s">
        <v>3127</v>
      </c>
      <c r="J7" s="3530" t="s">
        <v>3007</v>
      </c>
    </row>
    <row r="8" spans="1:10" ht="24">
      <c r="A8" s="3533"/>
      <c r="B8" s="3535"/>
      <c r="C8" s="3187" t="s">
        <v>3000</v>
      </c>
      <c r="D8" s="3187" t="s">
        <v>3001</v>
      </c>
      <c r="E8" s="3188" t="s">
        <v>3000</v>
      </c>
      <c r="F8" s="3188" t="s">
        <v>3001</v>
      </c>
      <c r="G8" s="3196" t="s">
        <v>3005</v>
      </c>
      <c r="H8" s="3196" t="s">
        <v>3006</v>
      </c>
      <c r="I8" s="3205" t="s">
        <v>3006</v>
      </c>
      <c r="J8" s="3531"/>
    </row>
    <row r="9" spans="1:10" ht="20.25" customHeight="1">
      <c r="A9" s="2434">
        <v>1</v>
      </c>
      <c r="B9" s="3192" t="s">
        <v>3036</v>
      </c>
      <c r="C9" s="749" t="s">
        <v>3058</v>
      </c>
      <c r="D9" s="749" t="s">
        <v>3058</v>
      </c>
      <c r="E9" s="750" t="s">
        <v>3058</v>
      </c>
      <c r="F9" s="750" t="s">
        <v>3058</v>
      </c>
      <c r="G9" s="3208">
        <f>G10+G12+G15+G23</f>
        <v>350.1</v>
      </c>
      <c r="H9" s="3202">
        <f>H10+H12+H15+H23</f>
        <v>225.04</v>
      </c>
      <c r="I9" s="3204">
        <f>I10+I12+I15+I23</f>
        <v>602</v>
      </c>
      <c r="J9" s="3189" t="s">
        <v>3008</v>
      </c>
    </row>
    <row r="10" spans="1:10" ht="21" customHeight="1">
      <c r="A10" s="2434" t="s">
        <v>2440</v>
      </c>
      <c r="B10" s="3190" t="s">
        <v>3009</v>
      </c>
      <c r="C10" s="749" t="s">
        <v>3058</v>
      </c>
      <c r="D10" s="749" t="s">
        <v>3058</v>
      </c>
      <c r="E10" s="750" t="s">
        <v>3058</v>
      </c>
      <c r="F10" s="750" t="s">
        <v>3058</v>
      </c>
      <c r="G10" s="751">
        <f>G11</f>
        <v>350.1</v>
      </c>
      <c r="H10" s="751">
        <f>H11</f>
        <v>225.04</v>
      </c>
      <c r="I10" s="3204">
        <f>I11</f>
        <v>225</v>
      </c>
      <c r="J10" s="3193" t="s">
        <v>3059</v>
      </c>
    </row>
    <row r="11" spans="1:10" ht="38.25">
      <c r="A11" s="2441" t="s">
        <v>3010</v>
      </c>
      <c r="B11" s="3190" t="s">
        <v>3118</v>
      </c>
      <c r="C11" s="2438">
        <v>15</v>
      </c>
      <c r="D11" s="749" t="s">
        <v>3060</v>
      </c>
      <c r="E11" s="3198">
        <f>ROUND('数据-汇总表'!D3/666.67,2)</f>
        <v>23.34</v>
      </c>
      <c r="F11" s="3194" t="s">
        <v>3061</v>
      </c>
      <c r="G11" s="751">
        <f>C11*E11</f>
        <v>350.1</v>
      </c>
      <c r="H11" s="751">
        <f>ROUND(G11/'数据-汇总表'!D3*10000,2)</f>
        <v>225.04</v>
      </c>
      <c r="I11" s="3204">
        <f>ROUND(C11*10000/666.67,0)</f>
        <v>225</v>
      </c>
      <c r="J11" s="3193" t="s">
        <v>3062</v>
      </c>
    </row>
    <row r="12" spans="1:10">
      <c r="A12" s="2434" t="s">
        <v>2441</v>
      </c>
      <c r="B12" s="3190" t="s">
        <v>3014</v>
      </c>
      <c r="C12" s="749" t="s">
        <v>3058</v>
      </c>
      <c r="D12" s="749" t="s">
        <v>3058</v>
      </c>
      <c r="E12" s="749" t="s">
        <v>3058</v>
      </c>
      <c r="F12" s="750" t="s">
        <v>3058</v>
      </c>
      <c r="G12" s="751">
        <f>G13+G14</f>
        <v>0</v>
      </c>
      <c r="H12" s="751">
        <f>H13+H14</f>
        <v>0</v>
      </c>
      <c r="I12" s="3204"/>
      <c r="J12" s="3193" t="s">
        <v>3067</v>
      </c>
    </row>
    <row r="13" spans="1:10" ht="38.25">
      <c r="A13" s="2441" t="s">
        <v>3010</v>
      </c>
      <c r="B13" s="3190" t="s">
        <v>3016</v>
      </c>
      <c r="C13" s="2438">
        <v>1500</v>
      </c>
      <c r="D13" s="749" t="s">
        <v>3068</v>
      </c>
      <c r="E13" s="3211">
        <v>0</v>
      </c>
      <c r="F13" s="3195" t="s">
        <v>3061</v>
      </c>
      <c r="G13" s="751">
        <f>C13*E13/10000</f>
        <v>0</v>
      </c>
      <c r="H13" s="751">
        <f>ROUND(G13*10000/'数据-汇总表'!D3,2)</f>
        <v>0</v>
      </c>
      <c r="I13" s="3204"/>
      <c r="J13" s="3193" t="s">
        <v>3069</v>
      </c>
    </row>
    <row r="14" spans="1:10" ht="36">
      <c r="A14" s="2441" t="s">
        <v>3022</v>
      </c>
      <c r="B14" s="3190" t="s">
        <v>3119</v>
      </c>
      <c r="C14" s="2438">
        <v>2000</v>
      </c>
      <c r="D14" s="749" t="s">
        <v>3068</v>
      </c>
      <c r="E14" s="3210">
        <v>0</v>
      </c>
      <c r="F14" s="3195" t="s">
        <v>3061</v>
      </c>
      <c r="G14" s="751">
        <f>C14*E14/10000</f>
        <v>0</v>
      </c>
      <c r="H14" s="751">
        <f>ROUND(G14*10000/'数据-汇总表'!D3,2)</f>
        <v>0</v>
      </c>
      <c r="I14" s="3204"/>
      <c r="J14" s="3209" t="s">
        <v>3120</v>
      </c>
    </row>
    <row r="15" spans="1:10">
      <c r="A15" s="2441" t="s">
        <v>3019</v>
      </c>
      <c r="B15" s="3190" t="s">
        <v>3020</v>
      </c>
      <c r="C15" s="749" t="s">
        <v>3058</v>
      </c>
      <c r="D15" s="749" t="s">
        <v>3058</v>
      </c>
      <c r="E15" s="749" t="s">
        <v>3058</v>
      </c>
      <c r="F15" s="3191" t="s">
        <v>3058</v>
      </c>
      <c r="G15" s="751">
        <f>G16+G17+G18+G19+G20+G21+G22</f>
        <v>0</v>
      </c>
      <c r="H15" s="751">
        <f>H16+H17+H18+H19+H20+H21+H22</f>
        <v>0</v>
      </c>
      <c r="I15" s="3204">
        <v>350</v>
      </c>
      <c r="J15" s="3193" t="s">
        <v>3079</v>
      </c>
    </row>
    <row r="16" spans="1:10" ht="37.5">
      <c r="A16" s="2441" t="s">
        <v>3010</v>
      </c>
      <c r="B16" s="3190" t="s">
        <v>3023</v>
      </c>
      <c r="C16" s="2438">
        <v>1300</v>
      </c>
      <c r="D16" s="749" t="s">
        <v>3080</v>
      </c>
      <c r="E16" s="3210">
        <v>0</v>
      </c>
      <c r="F16" s="3195" t="s">
        <v>3081</v>
      </c>
      <c r="G16" s="751">
        <f>C16*E16/10000</f>
        <v>0</v>
      </c>
      <c r="H16" s="751">
        <f>ROUND(G16*10000/'数据-汇总表'!D3,2)</f>
        <v>0</v>
      </c>
      <c r="I16" s="3204"/>
      <c r="J16" s="3193" t="s">
        <v>3121</v>
      </c>
    </row>
    <row r="17" spans="1:10" ht="25.5">
      <c r="A17" s="2441" t="s">
        <v>3022</v>
      </c>
      <c r="B17" s="3190" t="s">
        <v>3025</v>
      </c>
      <c r="C17" s="2438">
        <v>25</v>
      </c>
      <c r="D17" s="749" t="s">
        <v>3083</v>
      </c>
      <c r="E17" s="3210">
        <v>0</v>
      </c>
      <c r="F17" s="3195" t="s">
        <v>3084</v>
      </c>
      <c r="G17" s="751">
        <f>C17*E17</f>
        <v>0</v>
      </c>
      <c r="H17" s="751">
        <f>ROUND(G17*10000/'数据-汇总表'!D3,2)</f>
        <v>0</v>
      </c>
      <c r="I17" s="3204"/>
      <c r="J17" s="3193" t="s">
        <v>3122</v>
      </c>
    </row>
    <row r="18" spans="1:10" ht="49.5">
      <c r="A18" s="2441" t="s">
        <v>3015</v>
      </c>
      <c r="B18" s="3190" t="s">
        <v>3026</v>
      </c>
      <c r="C18" s="2438">
        <v>400</v>
      </c>
      <c r="D18" s="749" t="s">
        <v>3080</v>
      </c>
      <c r="E18" s="3210">
        <v>0</v>
      </c>
      <c r="F18" s="3195" t="s">
        <v>3081</v>
      </c>
      <c r="G18" s="751">
        <f>C18*E18/10000</f>
        <v>0</v>
      </c>
      <c r="H18" s="751">
        <f>ROUND(G18*10000/'数据-汇总表'!D3,2)</f>
        <v>0</v>
      </c>
      <c r="I18" s="3204"/>
      <c r="J18" s="3193" t="s">
        <v>3088</v>
      </c>
    </row>
    <row r="19" spans="1:10" ht="63">
      <c r="A19" s="2441" t="s">
        <v>3075</v>
      </c>
      <c r="B19" s="3190" t="s">
        <v>3027</v>
      </c>
      <c r="C19" s="2438">
        <v>35</v>
      </c>
      <c r="D19" s="749" t="s">
        <v>3089</v>
      </c>
      <c r="E19" s="3210">
        <v>0</v>
      </c>
      <c r="F19" s="3195" t="s">
        <v>3090</v>
      </c>
      <c r="G19" s="751">
        <f>C19*E19/10000</f>
        <v>0</v>
      </c>
      <c r="H19" s="751">
        <f>ROUND(G19*10000/'数据-汇总表'!D3,2)</f>
        <v>0</v>
      </c>
      <c r="I19" s="3204"/>
      <c r="J19" s="3193" t="s">
        <v>3091</v>
      </c>
    </row>
    <row r="20" spans="1:10" ht="37.5">
      <c r="A20" s="2441" t="s">
        <v>3076</v>
      </c>
      <c r="B20" s="3190" t="s">
        <v>3028</v>
      </c>
      <c r="C20" s="2438">
        <v>1300</v>
      </c>
      <c r="D20" s="749" t="s">
        <v>3080</v>
      </c>
      <c r="E20" s="3210">
        <v>0</v>
      </c>
      <c r="F20" s="3195" t="s">
        <v>3081</v>
      </c>
      <c r="G20" s="751">
        <f>C20*E20/10000</f>
        <v>0</v>
      </c>
      <c r="H20" s="751">
        <f>ROUND(G20*10000/'数据-汇总表'!D3,2)</f>
        <v>0</v>
      </c>
      <c r="I20" s="3204"/>
      <c r="J20" s="3193" t="s">
        <v>3123</v>
      </c>
    </row>
    <row r="21" spans="1:10" ht="38.25">
      <c r="A21" s="2441" t="s">
        <v>3077</v>
      </c>
      <c r="B21" s="3190" t="s">
        <v>3029</v>
      </c>
      <c r="C21" s="2438">
        <v>1495</v>
      </c>
      <c r="D21" s="749" t="s">
        <v>3080</v>
      </c>
      <c r="E21" s="2438"/>
      <c r="F21" s="3195" t="s">
        <v>3081</v>
      </c>
      <c r="G21" s="751">
        <f>ROUND(C21*E21/10000,2)</f>
        <v>0</v>
      </c>
      <c r="H21" s="751">
        <f>ROUND(G21*10000/'数据-汇总表'!D3,2)</f>
        <v>0</v>
      </c>
      <c r="I21" s="3204"/>
      <c r="J21" s="3193" t="s">
        <v>3124</v>
      </c>
    </row>
    <row r="22" spans="1:10" ht="63">
      <c r="A22" s="2441" t="s">
        <v>3078</v>
      </c>
      <c r="B22" s="3190" t="s">
        <v>3034</v>
      </c>
      <c r="C22" s="3198">
        <v>1.7</v>
      </c>
      <c r="D22" s="749" t="s">
        <v>3089</v>
      </c>
      <c r="E22" s="3210">
        <v>0</v>
      </c>
      <c r="F22" s="3195" t="s">
        <v>3090</v>
      </c>
      <c r="G22" s="751">
        <f>C22*E22/10000</f>
        <v>0</v>
      </c>
      <c r="H22" s="751">
        <f>ROUND(G22*10000/'数据-汇总表'!D3,2)</f>
        <v>0</v>
      </c>
      <c r="I22" s="3204"/>
      <c r="J22" s="3193" t="s">
        <v>3098</v>
      </c>
    </row>
    <row r="23" spans="1:10">
      <c r="A23" s="2441" t="s">
        <v>3030</v>
      </c>
      <c r="B23" s="3190" t="s">
        <v>3031</v>
      </c>
      <c r="C23" s="749" t="s">
        <v>3058</v>
      </c>
      <c r="D23" s="749" t="s">
        <v>3058</v>
      </c>
      <c r="E23" s="749" t="s">
        <v>3058</v>
      </c>
      <c r="F23" s="3191" t="s">
        <v>3058</v>
      </c>
      <c r="G23" s="751">
        <f>G24+G25</f>
        <v>0</v>
      </c>
      <c r="H23" s="751">
        <f>H24+H25</f>
        <v>0</v>
      </c>
      <c r="I23" s="3204">
        <v>27</v>
      </c>
      <c r="J23" s="3193" t="s">
        <v>3095</v>
      </c>
    </row>
    <row r="24" spans="1:10" ht="62.25">
      <c r="A24" s="2441" t="s">
        <v>3010</v>
      </c>
      <c r="B24" s="3190" t="s">
        <v>3032</v>
      </c>
      <c r="C24" s="3198">
        <v>4.8</v>
      </c>
      <c r="D24" s="749" t="s">
        <v>3089</v>
      </c>
      <c r="E24" s="3210">
        <v>0</v>
      </c>
      <c r="F24" s="3195" t="s">
        <v>3090</v>
      </c>
      <c r="G24" s="751">
        <f>C24*E24/10000</f>
        <v>0</v>
      </c>
      <c r="H24" s="751">
        <f>ROUND(G24*10000/'数据-汇总表'!D3,2)</f>
        <v>0</v>
      </c>
      <c r="I24" s="3204"/>
      <c r="J24" s="3193" t="s">
        <v>3096</v>
      </c>
    </row>
    <row r="25" spans="1:10" ht="50.25">
      <c r="A25" s="2441" t="s">
        <v>3022</v>
      </c>
      <c r="B25" s="3190" t="s">
        <v>3033</v>
      </c>
      <c r="C25" s="3198">
        <v>1.6</v>
      </c>
      <c r="D25" s="749" t="s">
        <v>3089</v>
      </c>
      <c r="E25" s="3210">
        <v>0</v>
      </c>
      <c r="F25" s="3195" t="s">
        <v>3090</v>
      </c>
      <c r="G25" s="751">
        <f>C25*E25/10000</f>
        <v>0</v>
      </c>
      <c r="H25" s="751">
        <f>ROUND(G25*10000/'数据-汇总表'!D3,2)</f>
        <v>0</v>
      </c>
      <c r="I25" s="3204"/>
      <c r="J25" s="3193" t="s">
        <v>3097</v>
      </c>
    </row>
    <row r="26" spans="1:10">
      <c r="A26" s="2434" t="s">
        <v>3035</v>
      </c>
      <c r="B26" s="3192" t="s">
        <v>3037</v>
      </c>
      <c r="C26" s="749" t="s">
        <v>3058</v>
      </c>
      <c r="D26" s="749" t="s">
        <v>3058</v>
      </c>
      <c r="E26" s="749" t="s">
        <v>3058</v>
      </c>
      <c r="F26" s="3191" t="s">
        <v>3058</v>
      </c>
      <c r="G26" s="751">
        <f>G27+G28+G29+G30</f>
        <v>116.71000000000001</v>
      </c>
      <c r="H26" s="751">
        <f>H27+H28+H29+H30</f>
        <v>75.02000000000001</v>
      </c>
      <c r="I26" s="3204">
        <v>39.200000000000003</v>
      </c>
      <c r="J26" s="3193" t="s">
        <v>3099</v>
      </c>
    </row>
    <row r="27" spans="1:10" ht="38.25">
      <c r="A27" s="2434" t="s">
        <v>2440</v>
      </c>
      <c r="B27" s="3190" t="s">
        <v>3038</v>
      </c>
      <c r="C27" s="3218">
        <v>40</v>
      </c>
      <c r="D27" s="749" t="s">
        <v>3080</v>
      </c>
      <c r="E27" s="3213">
        <f>'数据-汇总表'!D3</f>
        <v>15557.09</v>
      </c>
      <c r="F27" s="3199" t="s">
        <v>3061</v>
      </c>
      <c r="G27" s="751">
        <f>ROUND(C27*E27/10000,2)</f>
        <v>62.23</v>
      </c>
      <c r="H27" s="751">
        <f>ROUND(G27*10000/'数据-汇总表'!D3,2)</f>
        <v>40</v>
      </c>
      <c r="I27" s="3204"/>
      <c r="J27" s="3193" t="s">
        <v>3100</v>
      </c>
    </row>
    <row r="28" spans="1:10" ht="51">
      <c r="A28" s="2434" t="s">
        <v>2441</v>
      </c>
      <c r="B28" s="3190" t="s">
        <v>3039</v>
      </c>
      <c r="C28" s="2438">
        <v>20</v>
      </c>
      <c r="D28" s="749" t="s">
        <v>3080</v>
      </c>
      <c r="E28" s="3213">
        <f>'数据-汇总表'!D3</f>
        <v>15557.09</v>
      </c>
      <c r="F28" s="3199" t="s">
        <v>3061</v>
      </c>
      <c r="G28" s="751">
        <f t="shared" ref="G28:G30" si="0">ROUND(C28*E28/10000,2)</f>
        <v>31.11</v>
      </c>
      <c r="H28" s="751">
        <f>ROUND(G28*10000/'数据-汇总表'!D3,2)</f>
        <v>20</v>
      </c>
      <c r="I28" s="3204"/>
      <c r="J28" s="3193" t="s">
        <v>3101</v>
      </c>
    </row>
    <row r="29" spans="1:10" ht="63">
      <c r="A29" s="2441" t="s">
        <v>3019</v>
      </c>
      <c r="B29" s="3190" t="s">
        <v>3040</v>
      </c>
      <c r="C29" s="2438">
        <v>12</v>
      </c>
      <c r="D29" s="749" t="s">
        <v>3060</v>
      </c>
      <c r="E29" s="3213">
        <f>E11</f>
        <v>23.34</v>
      </c>
      <c r="F29" s="3199" t="s">
        <v>3061</v>
      </c>
      <c r="G29" s="751">
        <f t="shared" si="0"/>
        <v>0.03</v>
      </c>
      <c r="H29" s="751">
        <f>ROUND(G29*10000/'数据-汇总表'!D3,2)</f>
        <v>0.02</v>
      </c>
      <c r="I29" s="3204"/>
      <c r="J29" s="3193" t="s">
        <v>3103</v>
      </c>
    </row>
    <row r="30" spans="1:10" ht="50.25">
      <c r="A30" s="2441" t="s">
        <v>3030</v>
      </c>
      <c r="B30" s="3190" t="s">
        <v>3041</v>
      </c>
      <c r="C30" s="2438">
        <v>15</v>
      </c>
      <c r="D30" s="749" t="s">
        <v>3080</v>
      </c>
      <c r="E30" s="3213">
        <f>E27</f>
        <v>15557.09</v>
      </c>
      <c r="F30" s="3199" t="s">
        <v>3061</v>
      </c>
      <c r="G30" s="751">
        <f t="shared" si="0"/>
        <v>23.34</v>
      </c>
      <c r="H30" s="751">
        <f>ROUND(G30*10000/'数据-汇总表'!D3,2)</f>
        <v>15</v>
      </c>
      <c r="I30" s="3204"/>
      <c r="J30" s="3193" t="s">
        <v>3104</v>
      </c>
    </row>
    <row r="31" spans="1:10" ht="24.75">
      <c r="A31" s="2434" t="s">
        <v>3043</v>
      </c>
      <c r="B31" s="3192" t="s">
        <v>3042</v>
      </c>
      <c r="C31" s="749" t="s">
        <v>3058</v>
      </c>
      <c r="D31" s="749" t="s">
        <v>3058</v>
      </c>
      <c r="E31" s="749" t="s">
        <v>3058</v>
      </c>
      <c r="F31" s="3191" t="s">
        <v>3058</v>
      </c>
      <c r="G31" s="751">
        <f>ROUND(H31*'数据-汇总表'!D3/10000,2)</f>
        <v>155.57</v>
      </c>
      <c r="H31" s="751">
        <v>100</v>
      </c>
      <c r="I31" s="3204">
        <v>100</v>
      </c>
      <c r="J31" s="3193" t="s">
        <v>3105</v>
      </c>
    </row>
    <row r="32" spans="1:10" ht="37.5">
      <c r="A32" s="2434" t="s">
        <v>3044</v>
      </c>
      <c r="B32" s="3192" t="s">
        <v>3045</v>
      </c>
      <c r="C32" s="3200">
        <v>4.3499999999999997E-2</v>
      </c>
      <c r="D32" s="749" t="s">
        <v>3058</v>
      </c>
      <c r="E32" s="2438">
        <v>1</v>
      </c>
      <c r="F32" s="3195" t="s">
        <v>3106</v>
      </c>
      <c r="G32" s="751">
        <f>ROUND((G9+G26)*E32*C32+G31*(E32/2)*C32,2)</f>
        <v>23.69</v>
      </c>
      <c r="H32" s="751">
        <f>ROUND((H9+H26)*E32*C32+H31*(E32/2)*C32,2)</f>
        <v>15.23</v>
      </c>
      <c r="I32" s="3203">
        <f>ROUND((I9+I26)*E32*C32+I31*(E32/2)*C32,2)</f>
        <v>30.07</v>
      </c>
      <c r="J32" s="3193" t="s">
        <v>3107</v>
      </c>
    </row>
    <row r="33" spans="1:10" ht="25.5">
      <c r="A33" s="2434" t="s">
        <v>3046</v>
      </c>
      <c r="B33" s="3192" t="s">
        <v>3047</v>
      </c>
      <c r="C33" s="3200">
        <v>0.15</v>
      </c>
      <c r="D33" s="749" t="s">
        <v>3058</v>
      </c>
      <c r="E33" s="749" t="s">
        <v>3058</v>
      </c>
      <c r="F33" s="3191" t="s">
        <v>3058</v>
      </c>
      <c r="G33" s="751">
        <f>ROUND((G9+G26+G31)*8%,2)</f>
        <v>49.79</v>
      </c>
      <c r="H33" s="751">
        <f>ROUND((H9+H26+H31)*8%,2)</f>
        <v>32</v>
      </c>
      <c r="I33" s="3204">
        <f>ROUND((I9+I26+I31)*C33,2)</f>
        <v>111.18</v>
      </c>
      <c r="J33" s="3193" t="s">
        <v>3108</v>
      </c>
    </row>
    <row r="34" spans="1:10" ht="25.5">
      <c r="A34" s="2434" t="s">
        <v>3048</v>
      </c>
      <c r="B34" s="3192" t="s">
        <v>3049</v>
      </c>
      <c r="C34" s="749" t="s">
        <v>3058</v>
      </c>
      <c r="D34" s="749" t="s">
        <v>3058</v>
      </c>
      <c r="E34" s="749" t="s">
        <v>3058</v>
      </c>
      <c r="F34" s="3191" t="s">
        <v>3058</v>
      </c>
      <c r="G34" s="751">
        <f>ROUND(G9+G26+G31+G32+G33,2)</f>
        <v>695.86</v>
      </c>
      <c r="H34" s="751">
        <f>ROUND(H9+H26+H31+H32+H33,2)</f>
        <v>447.29</v>
      </c>
      <c r="I34" s="3204">
        <f>ROUND(I9+I26+I31+I32+I33,2)</f>
        <v>882.45</v>
      </c>
      <c r="J34" s="3193" t="s">
        <v>3110</v>
      </c>
    </row>
    <row r="35" spans="1:10" ht="37.5">
      <c r="A35" s="2434" t="s">
        <v>3050</v>
      </c>
      <c r="B35" s="3192" t="s">
        <v>3051</v>
      </c>
      <c r="C35" s="3212">
        <v>0.4</v>
      </c>
      <c r="D35" s="749" t="s">
        <v>3058</v>
      </c>
      <c r="E35" s="749" t="s">
        <v>3058</v>
      </c>
      <c r="F35" s="3191" t="s">
        <v>3058</v>
      </c>
      <c r="G35" s="751">
        <f>ROUND(G34*C35,2)</f>
        <v>278.33999999999997</v>
      </c>
      <c r="H35" s="751">
        <f>ROUND(H34*C35,2)</f>
        <v>178.92</v>
      </c>
      <c r="I35" s="3204">
        <f>ROUND(I34*C35,2)</f>
        <v>352.98</v>
      </c>
      <c r="J35" s="3193" t="s">
        <v>3125</v>
      </c>
    </row>
    <row r="36" spans="1:10">
      <c r="A36" s="2434" t="s">
        <v>3052</v>
      </c>
      <c r="B36" s="3192" t="s">
        <v>3053</v>
      </c>
      <c r="C36" s="3219">
        <f>ROUND(0.9457*C40,4)</f>
        <v>0.81710000000000005</v>
      </c>
      <c r="D36" s="749" t="s">
        <v>3058</v>
      </c>
      <c r="E36" s="749" t="s">
        <v>3058</v>
      </c>
      <c r="F36" s="3191" t="s">
        <v>3058</v>
      </c>
      <c r="G36" s="3191" t="s">
        <v>3058</v>
      </c>
      <c r="H36" s="3191" t="s">
        <v>3058</v>
      </c>
      <c r="I36" s="3206" t="s">
        <v>3058</v>
      </c>
      <c r="J36" s="3193" t="s">
        <v>3111</v>
      </c>
    </row>
    <row r="37" spans="1:10">
      <c r="A37" s="2434" t="s">
        <v>3054</v>
      </c>
      <c r="B37" s="3192" t="s">
        <v>3055</v>
      </c>
      <c r="C37" s="3213">
        <v>1.006</v>
      </c>
      <c r="D37" s="749" t="s">
        <v>3058</v>
      </c>
      <c r="E37" s="749" t="s">
        <v>3058</v>
      </c>
      <c r="F37" s="749" t="s">
        <v>3058</v>
      </c>
      <c r="G37" s="749" t="s">
        <v>3058</v>
      </c>
      <c r="H37" s="749" t="s">
        <v>3058</v>
      </c>
      <c r="I37" s="3207" t="s">
        <v>3058</v>
      </c>
      <c r="J37" s="3193" t="s">
        <v>3112</v>
      </c>
    </row>
    <row r="38" spans="1:10" ht="25.5">
      <c r="A38" s="2434" t="s">
        <v>3056</v>
      </c>
      <c r="B38" s="3192" t="s">
        <v>3057</v>
      </c>
      <c r="C38" s="749" t="s">
        <v>3058</v>
      </c>
      <c r="D38" s="749" t="s">
        <v>3058</v>
      </c>
      <c r="E38" s="749" t="s">
        <v>3058</v>
      </c>
      <c r="F38" s="749" t="s">
        <v>3058</v>
      </c>
      <c r="G38" s="751">
        <f>ROUND((G34+G35)*C36*C37,0)</f>
        <v>801</v>
      </c>
      <c r="H38" s="751">
        <f>ROUND((H34+H35)*C36*C37,0)</f>
        <v>515</v>
      </c>
      <c r="I38" s="3204">
        <f>ROUND((I34+I35)*C36*C37,0)</f>
        <v>1016</v>
      </c>
      <c r="J38" s="3193" t="s">
        <v>3126</v>
      </c>
    </row>
    <row r="40" spans="1:10">
      <c r="B40" s="3214" t="s">
        <v>3133</v>
      </c>
      <c r="C40">
        <v>0.86399999999999999</v>
      </c>
    </row>
    <row r="44" spans="1:10">
      <c r="B44" s="3216">
        <v>54376</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2168"/>
      <c r="G1" s="2094">
        <v>15557.09</v>
      </c>
      <c r="H1" s="2094"/>
    </row>
    <row r="2" spans="1:10" ht="15.75">
      <c r="A2" s="423" t="s">
        <v>467</v>
      </c>
      <c r="B2" s="425">
        <f>ROUND(B4*G2/10000,0)</f>
        <v>301</v>
      </c>
      <c r="C2" s="2094"/>
      <c r="D2" s="2094"/>
      <c r="E2" s="2094"/>
      <c r="F2" s="2094"/>
      <c r="G2" s="3215">
        <v>2900</v>
      </c>
      <c r="H2" s="2094"/>
      <c r="J2">
        <f>2536623.77*666.67</f>
        <v>1691090968.7458999</v>
      </c>
    </row>
    <row r="3" spans="1:10" ht="15.75">
      <c r="A3" s="1376" t="s">
        <v>1684</v>
      </c>
      <c r="B3" s="425"/>
      <c r="C3" s="2094"/>
      <c r="D3" s="2094"/>
      <c r="E3" s="2094"/>
      <c r="F3" s="2094"/>
      <c r="G3" s="2094">
        <v>2427</v>
      </c>
      <c r="H3" s="2094"/>
      <c r="J3">
        <f>(83289528.5+9211198.07+2988085.53)/J2</f>
        <v>5.6465804539665758E-2</v>
      </c>
    </row>
    <row r="4" spans="1:10" ht="27">
      <c r="A4" s="3197" t="s">
        <v>468</v>
      </c>
      <c r="B4" s="427">
        <f>I38</f>
        <v>1037</v>
      </c>
      <c r="C4" s="2047"/>
      <c r="D4" s="2094"/>
      <c r="E4" s="2094"/>
      <c r="F4" s="2094"/>
      <c r="G4" s="2094">
        <v>539.77</v>
      </c>
      <c r="H4" s="2094"/>
    </row>
    <row r="5" spans="1:10" ht="15.75">
      <c r="A5" s="429"/>
      <c r="B5" s="430">
        <f>ROUND(B2/(G2/666.67),0)</f>
        <v>69</v>
      </c>
      <c r="C5" s="431" t="s">
        <v>469</v>
      </c>
      <c r="D5" s="2094"/>
      <c r="E5" s="2094"/>
      <c r="F5" s="2094"/>
      <c r="G5" s="2094">
        <f>SUM(G1:G4)</f>
        <v>21423.86</v>
      </c>
      <c r="H5" s="2094"/>
    </row>
    <row r="6" spans="1:10" ht="16.5" thickBot="1">
      <c r="A6" s="429"/>
      <c r="B6" s="3185"/>
      <c r="C6" s="3186"/>
      <c r="D6" s="2094"/>
      <c r="E6" s="2094"/>
      <c r="F6" s="2094"/>
      <c r="G6" s="2094"/>
      <c r="H6" s="2094"/>
    </row>
    <row r="7" spans="1:10">
      <c r="A7" s="3532" t="s">
        <v>2999</v>
      </c>
      <c r="B7" s="3534" t="s">
        <v>604</v>
      </c>
      <c r="C7" s="3536" t="s">
        <v>3002</v>
      </c>
      <c r="D7" s="3537"/>
      <c r="E7" s="3538" t="s">
        <v>3003</v>
      </c>
      <c r="F7" s="3539"/>
      <c r="G7" s="3538" t="s">
        <v>3004</v>
      </c>
      <c r="H7" s="3539"/>
      <c r="I7" s="3205" t="s">
        <v>3127</v>
      </c>
      <c r="J7" s="3530" t="s">
        <v>3007</v>
      </c>
    </row>
    <row r="8" spans="1:10" ht="24">
      <c r="A8" s="3533"/>
      <c r="B8" s="3535"/>
      <c r="C8" s="3187" t="s">
        <v>3000</v>
      </c>
      <c r="D8" s="3187" t="s">
        <v>3001</v>
      </c>
      <c r="E8" s="3188" t="s">
        <v>3000</v>
      </c>
      <c r="F8" s="3188" t="s">
        <v>3001</v>
      </c>
      <c r="G8" s="3196" t="s">
        <v>3005</v>
      </c>
      <c r="H8" s="3196" t="s">
        <v>3006</v>
      </c>
      <c r="I8" s="3205" t="s">
        <v>3006</v>
      </c>
      <c r="J8" s="3531"/>
    </row>
    <row r="9" spans="1:10" ht="20.25" customHeight="1">
      <c r="A9" s="2434">
        <v>1</v>
      </c>
      <c r="B9" s="3192" t="s">
        <v>3036</v>
      </c>
      <c r="C9" s="749" t="s">
        <v>3058</v>
      </c>
      <c r="D9" s="749" t="s">
        <v>3058</v>
      </c>
      <c r="E9" s="750" t="s">
        <v>3058</v>
      </c>
      <c r="F9" s="750" t="s">
        <v>3058</v>
      </c>
      <c r="G9" s="3208">
        <f>G10+G12+G15+G23</f>
        <v>350.1</v>
      </c>
      <c r="H9" s="3202">
        <f>H10+H12+H15+H23</f>
        <v>225.04</v>
      </c>
      <c r="I9" s="3204">
        <f>I10+I12+I15+I23</f>
        <v>602</v>
      </c>
      <c r="J9" s="3189" t="s">
        <v>3008</v>
      </c>
    </row>
    <row r="10" spans="1:10" ht="21" customHeight="1">
      <c r="A10" s="2434" t="s">
        <v>2440</v>
      </c>
      <c r="B10" s="3190" t="s">
        <v>3009</v>
      </c>
      <c r="C10" s="749" t="s">
        <v>3058</v>
      </c>
      <c r="D10" s="749" t="s">
        <v>3058</v>
      </c>
      <c r="E10" s="750" t="s">
        <v>3058</v>
      </c>
      <c r="F10" s="750" t="s">
        <v>3058</v>
      </c>
      <c r="G10" s="751">
        <f>G11</f>
        <v>350.1</v>
      </c>
      <c r="H10" s="751">
        <f>H11</f>
        <v>225.04</v>
      </c>
      <c r="I10" s="3204">
        <f>I11</f>
        <v>225</v>
      </c>
      <c r="J10" s="3193" t="s">
        <v>3059</v>
      </c>
    </row>
    <row r="11" spans="1:10" ht="38.25">
      <c r="A11" s="2441" t="s">
        <v>3010</v>
      </c>
      <c r="B11" s="3190" t="s">
        <v>3118</v>
      </c>
      <c r="C11" s="2438">
        <v>15</v>
      </c>
      <c r="D11" s="749" t="s">
        <v>3060</v>
      </c>
      <c r="E11" s="3198">
        <f>ROUND('数据-汇总表'!D3/666.67,2)</f>
        <v>23.34</v>
      </c>
      <c r="F11" s="3194" t="s">
        <v>3061</v>
      </c>
      <c r="G11" s="751">
        <f>C11*E11</f>
        <v>350.1</v>
      </c>
      <c r="H11" s="751">
        <f>ROUND(G11/'数据-汇总表'!D3*10000,2)</f>
        <v>225.04</v>
      </c>
      <c r="I11" s="3204">
        <f>ROUND(C11*10000/666.67,0)</f>
        <v>225</v>
      </c>
      <c r="J11" s="3193" t="s">
        <v>3062</v>
      </c>
    </row>
    <row r="12" spans="1:10">
      <c r="A12" s="2434" t="s">
        <v>2441</v>
      </c>
      <c r="B12" s="3190" t="s">
        <v>3014</v>
      </c>
      <c r="C12" s="749" t="s">
        <v>3058</v>
      </c>
      <c r="D12" s="749" t="s">
        <v>3058</v>
      </c>
      <c r="E12" s="749" t="s">
        <v>3058</v>
      </c>
      <c r="F12" s="750" t="s">
        <v>3058</v>
      </c>
      <c r="G12" s="751">
        <f>G13+G14</f>
        <v>0</v>
      </c>
      <c r="H12" s="751">
        <f>H13+H14</f>
        <v>0</v>
      </c>
      <c r="I12" s="3204"/>
      <c r="J12" s="3193" t="s">
        <v>3067</v>
      </c>
    </row>
    <row r="13" spans="1:10" ht="38.25">
      <c r="A13" s="2441" t="s">
        <v>3010</v>
      </c>
      <c r="B13" s="3190" t="s">
        <v>3016</v>
      </c>
      <c r="C13" s="2438">
        <v>1500</v>
      </c>
      <c r="D13" s="749" t="s">
        <v>3068</v>
      </c>
      <c r="E13" s="3211">
        <v>0</v>
      </c>
      <c r="F13" s="3195" t="s">
        <v>3061</v>
      </c>
      <c r="G13" s="751">
        <f>C13*E13/10000</f>
        <v>0</v>
      </c>
      <c r="H13" s="751">
        <f>ROUND(G13*10000/'数据-汇总表'!D3,2)</f>
        <v>0</v>
      </c>
      <c r="I13" s="3204"/>
      <c r="J13" s="3193" t="s">
        <v>3069</v>
      </c>
    </row>
    <row r="14" spans="1:10" ht="36">
      <c r="A14" s="2441" t="s">
        <v>3022</v>
      </c>
      <c r="B14" s="3190" t="s">
        <v>3119</v>
      </c>
      <c r="C14" s="2438">
        <v>2000</v>
      </c>
      <c r="D14" s="749" t="s">
        <v>3068</v>
      </c>
      <c r="E14" s="3210">
        <v>0</v>
      </c>
      <c r="F14" s="3195" t="s">
        <v>3061</v>
      </c>
      <c r="G14" s="751">
        <f>C14*E14/10000</f>
        <v>0</v>
      </c>
      <c r="H14" s="751">
        <f>ROUND(G14*10000/'数据-汇总表'!D3,2)</f>
        <v>0</v>
      </c>
      <c r="I14" s="3204"/>
      <c r="J14" s="3209" t="s">
        <v>3120</v>
      </c>
    </row>
    <row r="15" spans="1:10">
      <c r="A15" s="2441" t="s">
        <v>3019</v>
      </c>
      <c r="B15" s="3190" t="s">
        <v>3020</v>
      </c>
      <c r="C15" s="749" t="s">
        <v>3058</v>
      </c>
      <c r="D15" s="749" t="s">
        <v>3058</v>
      </c>
      <c r="E15" s="749" t="s">
        <v>3058</v>
      </c>
      <c r="F15" s="3191" t="s">
        <v>3058</v>
      </c>
      <c r="G15" s="751">
        <f>G16+G17+G18+G19+G20+G21+G22</f>
        <v>0</v>
      </c>
      <c r="H15" s="751">
        <f>H16+H17+H18+H19+H20+H21+H22</f>
        <v>0</v>
      </c>
      <c r="I15" s="3204">
        <v>350</v>
      </c>
      <c r="J15" s="3193" t="s">
        <v>3079</v>
      </c>
    </row>
    <row r="16" spans="1:10" ht="37.5">
      <c r="A16" s="2441" t="s">
        <v>3010</v>
      </c>
      <c r="B16" s="3190" t="s">
        <v>3023</v>
      </c>
      <c r="C16" s="2438">
        <v>1300</v>
      </c>
      <c r="D16" s="749" t="s">
        <v>3080</v>
      </c>
      <c r="E16" s="3210">
        <v>0</v>
      </c>
      <c r="F16" s="3195" t="s">
        <v>3081</v>
      </c>
      <c r="G16" s="751">
        <f>C16*E16/10000</f>
        <v>0</v>
      </c>
      <c r="H16" s="751">
        <f>ROUND(G16*10000/'数据-汇总表'!D3,2)</f>
        <v>0</v>
      </c>
      <c r="I16" s="3204"/>
      <c r="J16" s="3193" t="s">
        <v>3121</v>
      </c>
    </row>
    <row r="17" spans="1:10" ht="25.5">
      <c r="A17" s="2441" t="s">
        <v>3022</v>
      </c>
      <c r="B17" s="3190" t="s">
        <v>3025</v>
      </c>
      <c r="C17" s="2438">
        <v>25</v>
      </c>
      <c r="D17" s="749" t="s">
        <v>3083</v>
      </c>
      <c r="E17" s="3210">
        <v>0</v>
      </c>
      <c r="F17" s="3195" t="s">
        <v>3084</v>
      </c>
      <c r="G17" s="751">
        <f>C17*E17</f>
        <v>0</v>
      </c>
      <c r="H17" s="751">
        <f>ROUND(G17*10000/'数据-汇总表'!D3,2)</f>
        <v>0</v>
      </c>
      <c r="I17" s="3204"/>
      <c r="J17" s="3193" t="s">
        <v>3122</v>
      </c>
    </row>
    <row r="18" spans="1:10" ht="49.5">
      <c r="A18" s="2441" t="s">
        <v>3015</v>
      </c>
      <c r="B18" s="3190" t="s">
        <v>3026</v>
      </c>
      <c r="C18" s="2438">
        <v>400</v>
      </c>
      <c r="D18" s="749" t="s">
        <v>3080</v>
      </c>
      <c r="E18" s="3210">
        <v>0</v>
      </c>
      <c r="F18" s="3195" t="s">
        <v>3081</v>
      </c>
      <c r="G18" s="751">
        <f>C18*E18/10000</f>
        <v>0</v>
      </c>
      <c r="H18" s="751">
        <f>ROUND(G18*10000/'数据-汇总表'!D3,2)</f>
        <v>0</v>
      </c>
      <c r="I18" s="3204"/>
      <c r="J18" s="3193" t="s">
        <v>3088</v>
      </c>
    </row>
    <row r="19" spans="1:10" ht="63">
      <c r="A19" s="2441" t="s">
        <v>3075</v>
      </c>
      <c r="B19" s="3190" t="s">
        <v>3027</v>
      </c>
      <c r="C19" s="2438">
        <v>35</v>
      </c>
      <c r="D19" s="749" t="s">
        <v>3089</v>
      </c>
      <c r="E19" s="3210">
        <v>0</v>
      </c>
      <c r="F19" s="3195" t="s">
        <v>3090</v>
      </c>
      <c r="G19" s="751">
        <f>C19*E19/10000</f>
        <v>0</v>
      </c>
      <c r="H19" s="751">
        <f>ROUND(G19*10000/'数据-汇总表'!D3,2)</f>
        <v>0</v>
      </c>
      <c r="I19" s="3204"/>
      <c r="J19" s="3193" t="s">
        <v>3091</v>
      </c>
    </row>
    <row r="20" spans="1:10" ht="37.5">
      <c r="A20" s="2441" t="s">
        <v>3076</v>
      </c>
      <c r="B20" s="3190" t="s">
        <v>3028</v>
      </c>
      <c r="C20" s="2438">
        <v>1300</v>
      </c>
      <c r="D20" s="749" t="s">
        <v>3080</v>
      </c>
      <c r="E20" s="3210">
        <v>0</v>
      </c>
      <c r="F20" s="3195" t="s">
        <v>3081</v>
      </c>
      <c r="G20" s="751">
        <f>C20*E20/10000</f>
        <v>0</v>
      </c>
      <c r="H20" s="751">
        <f>ROUND(G20*10000/'数据-汇总表'!D3,2)</f>
        <v>0</v>
      </c>
      <c r="I20" s="3204"/>
      <c r="J20" s="3193" t="s">
        <v>3123</v>
      </c>
    </row>
    <row r="21" spans="1:10" ht="38.25">
      <c r="A21" s="2441" t="s">
        <v>3077</v>
      </c>
      <c r="B21" s="3190" t="s">
        <v>3029</v>
      </c>
      <c r="C21" s="2438">
        <v>1495</v>
      </c>
      <c r="D21" s="749" t="s">
        <v>3080</v>
      </c>
      <c r="E21" s="2438"/>
      <c r="F21" s="3195" t="s">
        <v>3081</v>
      </c>
      <c r="G21" s="751">
        <f>ROUND(C21*E21/10000,2)</f>
        <v>0</v>
      </c>
      <c r="H21" s="751">
        <f>ROUND(G21*10000/'数据-汇总表'!D3,2)</f>
        <v>0</v>
      </c>
      <c r="I21" s="3204"/>
      <c r="J21" s="3193" t="s">
        <v>3124</v>
      </c>
    </row>
    <row r="22" spans="1:10" ht="63">
      <c r="A22" s="2441" t="s">
        <v>3078</v>
      </c>
      <c r="B22" s="3190" t="s">
        <v>3034</v>
      </c>
      <c r="C22" s="3198">
        <v>1.7</v>
      </c>
      <c r="D22" s="749" t="s">
        <v>3089</v>
      </c>
      <c r="E22" s="3210">
        <v>0</v>
      </c>
      <c r="F22" s="3195" t="s">
        <v>3090</v>
      </c>
      <c r="G22" s="751">
        <f>C22*E22/10000</f>
        <v>0</v>
      </c>
      <c r="H22" s="751">
        <f>ROUND(G22*10000/'数据-汇总表'!D3,2)</f>
        <v>0</v>
      </c>
      <c r="I22" s="3204"/>
      <c r="J22" s="3193" t="s">
        <v>3098</v>
      </c>
    </row>
    <row r="23" spans="1:10">
      <c r="A23" s="2441" t="s">
        <v>3030</v>
      </c>
      <c r="B23" s="3190" t="s">
        <v>3031</v>
      </c>
      <c r="C23" s="749" t="s">
        <v>3058</v>
      </c>
      <c r="D23" s="749" t="s">
        <v>3058</v>
      </c>
      <c r="E23" s="749" t="s">
        <v>3058</v>
      </c>
      <c r="F23" s="3191" t="s">
        <v>3058</v>
      </c>
      <c r="G23" s="751">
        <f>G24+G25</f>
        <v>0</v>
      </c>
      <c r="H23" s="751">
        <f>H24+H25</f>
        <v>0</v>
      </c>
      <c r="I23" s="3204">
        <v>27</v>
      </c>
      <c r="J23" s="3193" t="s">
        <v>3095</v>
      </c>
    </row>
    <row r="24" spans="1:10" ht="62.25">
      <c r="A24" s="2441" t="s">
        <v>3010</v>
      </c>
      <c r="B24" s="3190" t="s">
        <v>3032</v>
      </c>
      <c r="C24" s="3198">
        <v>4.8</v>
      </c>
      <c r="D24" s="749" t="s">
        <v>3089</v>
      </c>
      <c r="E24" s="3210">
        <v>0</v>
      </c>
      <c r="F24" s="3195" t="s">
        <v>3090</v>
      </c>
      <c r="G24" s="751">
        <f>C24*E24/10000</f>
        <v>0</v>
      </c>
      <c r="H24" s="751">
        <f>ROUND(G24*10000/'数据-汇总表'!D3,2)</f>
        <v>0</v>
      </c>
      <c r="I24" s="3204"/>
      <c r="J24" s="3193" t="s">
        <v>3096</v>
      </c>
    </row>
    <row r="25" spans="1:10" ht="50.25">
      <c r="A25" s="2441" t="s">
        <v>3022</v>
      </c>
      <c r="B25" s="3190" t="s">
        <v>3033</v>
      </c>
      <c r="C25" s="3198">
        <v>1.6</v>
      </c>
      <c r="D25" s="749" t="s">
        <v>3089</v>
      </c>
      <c r="E25" s="3210">
        <v>0</v>
      </c>
      <c r="F25" s="3195" t="s">
        <v>3090</v>
      </c>
      <c r="G25" s="751">
        <f>C25*E25/10000</f>
        <v>0</v>
      </c>
      <c r="H25" s="751">
        <f>ROUND(G25*10000/'数据-汇总表'!D3,2)</f>
        <v>0</v>
      </c>
      <c r="I25" s="3204"/>
      <c r="J25" s="3193" t="s">
        <v>3097</v>
      </c>
    </row>
    <row r="26" spans="1:10">
      <c r="A26" s="2434" t="s">
        <v>3035</v>
      </c>
      <c r="B26" s="3192" t="s">
        <v>3037</v>
      </c>
      <c r="C26" s="749" t="s">
        <v>3058</v>
      </c>
      <c r="D26" s="749" t="s">
        <v>3058</v>
      </c>
      <c r="E26" s="749" t="s">
        <v>3058</v>
      </c>
      <c r="F26" s="3191" t="s">
        <v>3058</v>
      </c>
      <c r="G26" s="751">
        <f>G27+G28+G29+G30</f>
        <v>116.71000000000001</v>
      </c>
      <c r="H26" s="751">
        <f>H27+H28+H29+H30</f>
        <v>75.02000000000001</v>
      </c>
      <c r="I26" s="3204">
        <v>39.200000000000003</v>
      </c>
      <c r="J26" s="3193" t="s">
        <v>3099</v>
      </c>
    </row>
    <row r="27" spans="1:10" ht="38.25">
      <c r="A27" s="2434" t="s">
        <v>2440</v>
      </c>
      <c r="B27" s="3190" t="s">
        <v>3038</v>
      </c>
      <c r="C27" s="3218">
        <v>40</v>
      </c>
      <c r="D27" s="749" t="s">
        <v>3080</v>
      </c>
      <c r="E27" s="3213">
        <f>'数据-汇总表'!D3</f>
        <v>15557.09</v>
      </c>
      <c r="F27" s="3199" t="s">
        <v>3061</v>
      </c>
      <c r="G27" s="751">
        <f>ROUND(C27*E27/10000,2)</f>
        <v>62.23</v>
      </c>
      <c r="H27" s="751">
        <f>ROUND(G27*10000/'数据-汇总表'!D3,2)</f>
        <v>40</v>
      </c>
      <c r="I27" s="3204"/>
      <c r="J27" s="3193" t="s">
        <v>3100</v>
      </c>
    </row>
    <row r="28" spans="1:10" ht="51">
      <c r="A28" s="2434" t="s">
        <v>2441</v>
      </c>
      <c r="B28" s="3190" t="s">
        <v>3039</v>
      </c>
      <c r="C28" s="2438">
        <v>20</v>
      </c>
      <c r="D28" s="749" t="s">
        <v>3080</v>
      </c>
      <c r="E28" s="3213">
        <f>'数据-汇总表'!D3</f>
        <v>15557.09</v>
      </c>
      <c r="F28" s="3199" t="s">
        <v>3061</v>
      </c>
      <c r="G28" s="751">
        <f t="shared" ref="G28:G30" si="0">ROUND(C28*E28/10000,2)</f>
        <v>31.11</v>
      </c>
      <c r="H28" s="751">
        <f>ROUND(G28*10000/'数据-汇总表'!D3,2)</f>
        <v>20</v>
      </c>
      <c r="I28" s="3204"/>
      <c r="J28" s="3193" t="s">
        <v>3101</v>
      </c>
    </row>
    <row r="29" spans="1:10" ht="63">
      <c r="A29" s="2441" t="s">
        <v>3019</v>
      </c>
      <c r="B29" s="3190" t="s">
        <v>3040</v>
      </c>
      <c r="C29" s="2438">
        <v>12</v>
      </c>
      <c r="D29" s="749" t="s">
        <v>3060</v>
      </c>
      <c r="E29" s="3213">
        <f>E11</f>
        <v>23.34</v>
      </c>
      <c r="F29" s="3199" t="s">
        <v>3061</v>
      </c>
      <c r="G29" s="751">
        <f t="shared" si="0"/>
        <v>0.03</v>
      </c>
      <c r="H29" s="751">
        <f>ROUND(G29*10000/'数据-汇总表'!D3,2)</f>
        <v>0.02</v>
      </c>
      <c r="I29" s="3204"/>
      <c r="J29" s="3193" t="s">
        <v>3103</v>
      </c>
    </row>
    <row r="30" spans="1:10" ht="50.25">
      <c r="A30" s="2441" t="s">
        <v>3030</v>
      </c>
      <c r="B30" s="3190" t="s">
        <v>3041</v>
      </c>
      <c r="C30" s="2438">
        <v>15</v>
      </c>
      <c r="D30" s="749" t="s">
        <v>3080</v>
      </c>
      <c r="E30" s="3213">
        <f>E27</f>
        <v>15557.09</v>
      </c>
      <c r="F30" s="3199" t="s">
        <v>3061</v>
      </c>
      <c r="G30" s="751">
        <f t="shared" si="0"/>
        <v>23.34</v>
      </c>
      <c r="H30" s="751">
        <f>ROUND(G30*10000/'数据-汇总表'!D3,2)</f>
        <v>15</v>
      </c>
      <c r="I30" s="3204"/>
      <c r="J30" s="3193" t="s">
        <v>3104</v>
      </c>
    </row>
    <row r="31" spans="1:10" ht="24.75">
      <c r="A31" s="2434" t="s">
        <v>3043</v>
      </c>
      <c r="B31" s="3192" t="s">
        <v>3042</v>
      </c>
      <c r="C31" s="749" t="s">
        <v>3058</v>
      </c>
      <c r="D31" s="749" t="s">
        <v>3058</v>
      </c>
      <c r="E31" s="749" t="s">
        <v>3058</v>
      </c>
      <c r="F31" s="3191" t="s">
        <v>3058</v>
      </c>
      <c r="G31" s="751">
        <f>ROUND(H31*'数据-汇总表'!D3/10000,2)</f>
        <v>155.57</v>
      </c>
      <c r="H31" s="751">
        <v>100</v>
      </c>
      <c r="I31" s="3204">
        <v>100</v>
      </c>
      <c r="J31" s="3193" t="s">
        <v>3105</v>
      </c>
    </row>
    <row r="32" spans="1:10" ht="37.5">
      <c r="A32" s="2434" t="s">
        <v>3044</v>
      </c>
      <c r="B32" s="3192" t="s">
        <v>3045</v>
      </c>
      <c r="C32" s="3200">
        <v>4.3499999999999997E-2</v>
      </c>
      <c r="D32" s="749" t="s">
        <v>3058</v>
      </c>
      <c r="E32" s="2438">
        <v>1</v>
      </c>
      <c r="F32" s="3195" t="s">
        <v>3106</v>
      </c>
      <c r="G32" s="751">
        <f>ROUND((G9+G26)*E32*C32+G31*(E32/2)*C32,2)</f>
        <v>23.69</v>
      </c>
      <c r="H32" s="751">
        <f>ROUND((H9+H26)*E32*C32+H31*(E32/2)*C32,2)</f>
        <v>15.23</v>
      </c>
      <c r="I32" s="3203">
        <f>ROUND((I9+I26)*E32*C32+I31*(E32/2)*C32,2)</f>
        <v>30.07</v>
      </c>
      <c r="J32" s="3193" t="s">
        <v>3107</v>
      </c>
    </row>
    <row r="33" spans="1:10" ht="25.5">
      <c r="A33" s="2434" t="s">
        <v>3046</v>
      </c>
      <c r="B33" s="3192" t="s">
        <v>3047</v>
      </c>
      <c r="C33" s="3200">
        <v>0.15</v>
      </c>
      <c r="D33" s="749" t="s">
        <v>3058</v>
      </c>
      <c r="E33" s="749" t="s">
        <v>3058</v>
      </c>
      <c r="F33" s="3191" t="s">
        <v>3058</v>
      </c>
      <c r="G33" s="751">
        <f>ROUND((G9+G26+G31)*8%,2)</f>
        <v>49.79</v>
      </c>
      <c r="H33" s="751">
        <f>ROUND((H9+H26+H31)*8%,2)</f>
        <v>32</v>
      </c>
      <c r="I33" s="3204">
        <f>ROUND((I9+I26+I31)*C33,2)</f>
        <v>111.18</v>
      </c>
      <c r="J33" s="3193" t="s">
        <v>3108</v>
      </c>
    </row>
    <row r="34" spans="1:10" ht="25.5">
      <c r="A34" s="2434" t="s">
        <v>3048</v>
      </c>
      <c r="B34" s="3192" t="s">
        <v>3049</v>
      </c>
      <c r="C34" s="749" t="s">
        <v>3058</v>
      </c>
      <c r="D34" s="749" t="s">
        <v>3058</v>
      </c>
      <c r="E34" s="749" t="s">
        <v>3058</v>
      </c>
      <c r="F34" s="3191" t="s">
        <v>3058</v>
      </c>
      <c r="G34" s="751">
        <f>ROUND(G9+G26+G31+G32+G33,2)</f>
        <v>695.86</v>
      </c>
      <c r="H34" s="751">
        <f>ROUND(H9+H26+H31+H32+H33,2)</f>
        <v>447.29</v>
      </c>
      <c r="I34" s="3204">
        <f>ROUND(I9+I26+I31+I32+I33,2)</f>
        <v>882.45</v>
      </c>
      <c r="J34" s="3193" t="s">
        <v>3110</v>
      </c>
    </row>
    <row r="35" spans="1:10" ht="37.5">
      <c r="A35" s="2434" t="s">
        <v>3050</v>
      </c>
      <c r="B35" s="3192" t="s">
        <v>3051</v>
      </c>
      <c r="C35" s="3212">
        <v>0.4</v>
      </c>
      <c r="D35" s="749" t="s">
        <v>3058</v>
      </c>
      <c r="E35" s="749" t="s">
        <v>3058</v>
      </c>
      <c r="F35" s="3191" t="s">
        <v>3058</v>
      </c>
      <c r="G35" s="751">
        <f>ROUND(G34*C35,2)</f>
        <v>278.33999999999997</v>
      </c>
      <c r="H35" s="751">
        <f>ROUND(H34*C35,2)</f>
        <v>178.92</v>
      </c>
      <c r="I35" s="3204">
        <f>ROUND(I34*C35,2)</f>
        <v>352.98</v>
      </c>
      <c r="J35" s="3193" t="s">
        <v>3125</v>
      </c>
    </row>
    <row r="36" spans="1:10">
      <c r="A36" s="2434" t="s">
        <v>3052</v>
      </c>
      <c r="B36" s="3192" t="s">
        <v>3053</v>
      </c>
      <c r="C36" s="3219">
        <f>ROUND(0.9457*C40,4)</f>
        <v>0.83409999999999995</v>
      </c>
      <c r="D36" s="749" t="s">
        <v>3058</v>
      </c>
      <c r="E36" s="749" t="s">
        <v>3058</v>
      </c>
      <c r="F36" s="3191" t="s">
        <v>3058</v>
      </c>
      <c r="G36" s="3191" t="s">
        <v>3058</v>
      </c>
      <c r="H36" s="3191" t="s">
        <v>3058</v>
      </c>
      <c r="I36" s="3206" t="s">
        <v>3058</v>
      </c>
      <c r="J36" s="3193" t="s">
        <v>3111</v>
      </c>
    </row>
    <row r="37" spans="1:10">
      <c r="A37" s="2434" t="s">
        <v>3054</v>
      </c>
      <c r="B37" s="3192" t="s">
        <v>3055</v>
      </c>
      <c r="C37" s="3213">
        <v>1.006</v>
      </c>
      <c r="D37" s="749" t="s">
        <v>3058</v>
      </c>
      <c r="E37" s="749" t="s">
        <v>3058</v>
      </c>
      <c r="F37" s="749" t="s">
        <v>3058</v>
      </c>
      <c r="G37" s="749" t="s">
        <v>3058</v>
      </c>
      <c r="H37" s="749" t="s">
        <v>3058</v>
      </c>
      <c r="I37" s="3207" t="s">
        <v>3058</v>
      </c>
      <c r="J37" s="3193" t="s">
        <v>3112</v>
      </c>
    </row>
    <row r="38" spans="1:10" ht="25.5">
      <c r="A38" s="2434" t="s">
        <v>3056</v>
      </c>
      <c r="B38" s="3192" t="s">
        <v>3057</v>
      </c>
      <c r="C38" s="749" t="s">
        <v>3058</v>
      </c>
      <c r="D38" s="749" t="s">
        <v>3058</v>
      </c>
      <c r="E38" s="749" t="s">
        <v>3058</v>
      </c>
      <c r="F38" s="749" t="s">
        <v>3058</v>
      </c>
      <c r="G38" s="751">
        <f>ROUND((G34+G35)*C36*C37,0)</f>
        <v>817</v>
      </c>
      <c r="H38" s="751">
        <f>ROUND((H34+H35)*C36*C37,0)</f>
        <v>525</v>
      </c>
      <c r="I38" s="3204">
        <f>ROUND((I34+I35)*C36*C37,0)</f>
        <v>1037</v>
      </c>
      <c r="J38" s="3193" t="s">
        <v>3126</v>
      </c>
    </row>
    <row r="40" spans="1:10">
      <c r="B40" s="3214" t="s">
        <v>3133</v>
      </c>
      <c r="C40">
        <v>0.88200000000000001</v>
      </c>
    </row>
    <row r="44" spans="1:10">
      <c r="B44" s="3216">
        <v>54989</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zoomScale="90" zoomScaleNormal="90" workbookViewId="0">
      <selection activeCell="J29" sqref="J29"/>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3223" t="s">
        <v>3152</v>
      </c>
      <c r="G1" s="3215">
        <v>3569.16</v>
      </c>
      <c r="H1" s="2094"/>
    </row>
    <row r="2" spans="1:10" ht="15.75">
      <c r="A2" s="423" t="s">
        <v>467</v>
      </c>
      <c r="B2" s="425">
        <f>ROUND(B4*G1/10000,4)</f>
        <v>341.5686</v>
      </c>
      <c r="C2" s="2094"/>
      <c r="D2" s="2094"/>
      <c r="E2" s="2094"/>
      <c r="F2" s="2094"/>
      <c r="G2" s="2094"/>
      <c r="H2" s="2094"/>
    </row>
    <row r="3" spans="1:10" ht="15.75">
      <c r="A3" s="1376" t="s">
        <v>1684</v>
      </c>
      <c r="B3" s="425"/>
      <c r="C3" s="2094"/>
      <c r="D3" s="2094"/>
      <c r="E3" s="2094"/>
      <c r="F3" s="2094"/>
      <c r="G3" s="2094"/>
      <c r="H3" s="2094"/>
    </row>
    <row r="4" spans="1:10" ht="27">
      <c r="A4" s="3197" t="s">
        <v>468</v>
      </c>
      <c r="B4" s="427">
        <f>I23</f>
        <v>957</v>
      </c>
      <c r="C4" s="2047"/>
      <c r="D4" s="2094"/>
      <c r="E4" s="2094"/>
      <c r="F4" s="2094"/>
      <c r="G4" s="2094"/>
      <c r="H4" s="2094"/>
    </row>
    <row r="5" spans="1:10" ht="15.75">
      <c r="A5" s="429"/>
      <c r="B5" s="430">
        <f>ROUND(B2/(G1/666.67),0)</f>
        <v>64</v>
      </c>
      <c r="C5" s="431" t="s">
        <v>469</v>
      </c>
      <c r="D5" s="2094"/>
      <c r="E5" s="2094"/>
      <c r="F5" s="2094"/>
      <c r="G5" s="2094"/>
      <c r="H5" s="2094"/>
    </row>
    <row r="6" spans="1:10" ht="16.5" thickBot="1">
      <c r="A6" s="429"/>
      <c r="B6" s="3185"/>
      <c r="C6" s="3186"/>
      <c r="D6" s="2094"/>
      <c r="E6" s="2094"/>
      <c r="F6" s="2094"/>
      <c r="G6" s="2094"/>
      <c r="H6" s="2094"/>
    </row>
    <row r="7" spans="1:10">
      <c r="A7" s="3532" t="s">
        <v>2999</v>
      </c>
      <c r="B7" s="3534" t="s">
        <v>604</v>
      </c>
      <c r="C7" s="3536" t="s">
        <v>3002</v>
      </c>
      <c r="D7" s="3537"/>
      <c r="E7" s="3538" t="s">
        <v>3003</v>
      </c>
      <c r="F7" s="3539"/>
      <c r="G7" s="3538" t="s">
        <v>3004</v>
      </c>
      <c r="H7" s="3539"/>
      <c r="I7" s="3205" t="s">
        <v>3145</v>
      </c>
      <c r="J7" s="3530" t="s">
        <v>3007</v>
      </c>
    </row>
    <row r="8" spans="1:10" ht="24">
      <c r="A8" s="3533"/>
      <c r="B8" s="3535"/>
      <c r="C8" s="3187" t="s">
        <v>3000</v>
      </c>
      <c r="D8" s="3187" t="s">
        <v>3001</v>
      </c>
      <c r="E8" s="3188" t="s">
        <v>3000</v>
      </c>
      <c r="F8" s="3188" t="s">
        <v>3001</v>
      </c>
      <c r="G8" s="3196" t="s">
        <v>3005</v>
      </c>
      <c r="H8" s="3196" t="s">
        <v>3116</v>
      </c>
      <c r="I8" s="3205" t="s">
        <v>3006</v>
      </c>
      <c r="J8" s="3531"/>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2438">
        <v>15</v>
      </c>
      <c r="D11" s="749" t="s">
        <v>3060</v>
      </c>
      <c r="E11" s="3198"/>
      <c r="F11" s="3194" t="s">
        <v>3061</v>
      </c>
      <c r="G11" s="751"/>
      <c r="H11" s="751"/>
      <c r="I11" s="3204">
        <f>ROUND(C11*10000/666.67,0)</f>
        <v>225</v>
      </c>
      <c r="J11" s="3193" t="s">
        <v>3138</v>
      </c>
    </row>
    <row r="12" spans="1:10" ht="24.75">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v>39.200000000000003</v>
      </c>
      <c r="J14" s="3193" t="s">
        <v>3141</v>
      </c>
    </row>
    <row r="15" spans="1:10" ht="60">
      <c r="A15" s="2434" t="s">
        <v>2440</v>
      </c>
      <c r="B15" s="3190" t="s">
        <v>3038</v>
      </c>
      <c r="C15" s="3221">
        <v>39.200000000000003</v>
      </c>
      <c r="D15" s="749" t="s">
        <v>3087</v>
      </c>
      <c r="E15" s="3213"/>
      <c r="F15" s="3199" t="s">
        <v>3132</v>
      </c>
      <c r="G15" s="751"/>
      <c r="H15" s="751"/>
      <c r="I15" s="3204">
        <v>39.200000000000003</v>
      </c>
      <c r="J15" s="3209" t="s">
        <v>3142</v>
      </c>
    </row>
    <row r="16" spans="1:10">
      <c r="A16" s="2434" t="s">
        <v>3043</v>
      </c>
      <c r="B16" s="3192" t="s">
        <v>3042</v>
      </c>
      <c r="C16" s="749" t="s">
        <v>3058</v>
      </c>
      <c r="D16" s="749" t="s">
        <v>3058</v>
      </c>
      <c r="E16" s="749" t="s">
        <v>3058</v>
      </c>
      <c r="F16" s="3191" t="s">
        <v>3058</v>
      </c>
      <c r="G16" s="751"/>
      <c r="H16" s="751"/>
      <c r="I16" s="3204">
        <v>100</v>
      </c>
      <c r="J16" s="3209" t="s">
        <v>3161</v>
      </c>
    </row>
    <row r="17" spans="1:10" ht="24.75">
      <c r="A17" s="2434" t="s">
        <v>3044</v>
      </c>
      <c r="B17" s="3192" t="s">
        <v>3045</v>
      </c>
      <c r="C17" s="3200">
        <v>4.3499999999999997E-2</v>
      </c>
      <c r="D17" s="749" t="s">
        <v>3058</v>
      </c>
      <c r="E17" s="2438">
        <v>1</v>
      </c>
      <c r="F17" s="3195" t="s">
        <v>3106</v>
      </c>
      <c r="G17" s="751"/>
      <c r="H17" s="751"/>
      <c r="I17" s="3203">
        <f>ROUND((I9+I14)*E17*C17+I16*(E17/2)*C17,2)</f>
        <v>30.07</v>
      </c>
      <c r="J17" s="3193" t="s">
        <v>3144</v>
      </c>
    </row>
    <row r="18" spans="1:10">
      <c r="A18" s="2434" t="s">
        <v>3046</v>
      </c>
      <c r="B18" s="3192" t="s">
        <v>3047</v>
      </c>
      <c r="C18" s="3200">
        <v>0.15</v>
      </c>
      <c r="D18" s="749" t="s">
        <v>3058</v>
      </c>
      <c r="E18" s="749" t="s">
        <v>3058</v>
      </c>
      <c r="F18" s="3191" t="s">
        <v>3058</v>
      </c>
      <c r="G18" s="751"/>
      <c r="H18" s="751"/>
      <c r="I18" s="3204">
        <f>ROUND((I9+I14+I16)*C18,2)</f>
        <v>111.18</v>
      </c>
      <c r="J18" s="3193" t="s">
        <v>3146</v>
      </c>
    </row>
    <row r="19" spans="1:10">
      <c r="A19" s="2434" t="s">
        <v>3048</v>
      </c>
      <c r="B19" s="3192" t="s">
        <v>3049</v>
      </c>
      <c r="C19" s="749" t="s">
        <v>3058</v>
      </c>
      <c r="D19" s="749" t="s">
        <v>3058</v>
      </c>
      <c r="E19" s="749" t="s">
        <v>3058</v>
      </c>
      <c r="F19" s="3191" t="s">
        <v>3058</v>
      </c>
      <c r="G19" s="751"/>
      <c r="H19" s="751"/>
      <c r="I19" s="3204">
        <f>ROUND(I9+I14+I16+I17+I18,2)</f>
        <v>882.45</v>
      </c>
      <c r="J19" s="3193" t="s">
        <v>3147</v>
      </c>
    </row>
    <row r="20" spans="1:10" ht="36.75">
      <c r="A20" s="2434" t="s">
        <v>3050</v>
      </c>
      <c r="B20" s="3192" t="s">
        <v>3051</v>
      </c>
      <c r="C20" s="3200">
        <v>0.4</v>
      </c>
      <c r="D20" s="749" t="s">
        <v>3058</v>
      </c>
      <c r="E20" s="749" t="s">
        <v>3058</v>
      </c>
      <c r="F20" s="3191" t="s">
        <v>3058</v>
      </c>
      <c r="G20" s="751"/>
      <c r="H20" s="751"/>
      <c r="I20" s="3204">
        <f>ROUND(I19*C20,2)</f>
        <v>352.98</v>
      </c>
      <c r="J20" s="3193" t="s">
        <v>3148</v>
      </c>
    </row>
    <row r="21" spans="1:10">
      <c r="A21" s="2434" t="s">
        <v>3052</v>
      </c>
      <c r="B21" s="3192" t="s">
        <v>3053</v>
      </c>
      <c r="C21" s="3219">
        <f>ROUND(0.9457*C25,4)</f>
        <v>0.77070000000000005</v>
      </c>
      <c r="D21" s="749" t="s">
        <v>3058</v>
      </c>
      <c r="E21" s="749" t="s">
        <v>3058</v>
      </c>
      <c r="F21" s="3191" t="s">
        <v>3058</v>
      </c>
      <c r="G21" s="3191"/>
      <c r="H21" s="3191"/>
      <c r="I21" s="3206" t="s">
        <v>3058</v>
      </c>
      <c r="J21" s="3193" t="s">
        <v>3111</v>
      </c>
    </row>
    <row r="22" spans="1:10">
      <c r="A22" s="2434" t="s">
        <v>3054</v>
      </c>
      <c r="B22" s="3192" t="s">
        <v>3055</v>
      </c>
      <c r="C22" s="3220">
        <v>1.0049999999999999</v>
      </c>
      <c r="D22" s="749" t="s">
        <v>3058</v>
      </c>
      <c r="E22" s="749" t="s">
        <v>3058</v>
      </c>
      <c r="F22" s="749" t="s">
        <v>3058</v>
      </c>
      <c r="G22" s="749"/>
      <c r="H22" s="749"/>
      <c r="I22" s="3207" t="s">
        <v>3058</v>
      </c>
      <c r="J22" s="3193" t="s">
        <v>3149</v>
      </c>
    </row>
    <row r="23" spans="1:10">
      <c r="A23" s="2434" t="s">
        <v>3056</v>
      </c>
      <c r="B23" s="3192" t="s">
        <v>3057</v>
      </c>
      <c r="C23" s="749" t="s">
        <v>3058</v>
      </c>
      <c r="D23" s="749" t="s">
        <v>3058</v>
      </c>
      <c r="E23" s="749" t="s">
        <v>3058</v>
      </c>
      <c r="F23" s="749" t="s">
        <v>3058</v>
      </c>
      <c r="G23" s="751"/>
      <c r="H23" s="751"/>
      <c r="I23" s="3204">
        <f>ROUND((I19+I20)*C21*C22,0)</f>
        <v>957</v>
      </c>
      <c r="J23" s="3193" t="s">
        <v>3150</v>
      </c>
    </row>
    <row r="25" spans="1:10">
      <c r="A25" s="3224"/>
      <c r="B25" s="3225" t="s">
        <v>3133</v>
      </c>
      <c r="C25" s="3224">
        <f>ROUND((1-1/(1+B26)^B29)/(1-1/(1+B26)^B30),3)</f>
        <v>0.81499999999999995</v>
      </c>
    </row>
    <row r="26" spans="1:10">
      <c r="A26" s="3226" t="s">
        <v>3157</v>
      </c>
      <c r="B26" s="3227">
        <v>0.06</v>
      </c>
      <c r="C26" s="3224"/>
    </row>
    <row r="27" spans="1:10">
      <c r="A27" s="3228" t="s">
        <v>3153</v>
      </c>
      <c r="B27" s="3229">
        <f>项目基本情况!D3</f>
        <v>44435</v>
      </c>
      <c r="C27" s="3224"/>
    </row>
    <row r="28" spans="1:10">
      <c r="A28" s="3228" t="s">
        <v>3154</v>
      </c>
      <c r="B28" s="3229">
        <v>53661</v>
      </c>
      <c r="C28" s="3224"/>
    </row>
    <row r="29" spans="1:10">
      <c r="A29" s="3228" t="s">
        <v>3156</v>
      </c>
      <c r="B29" s="3224">
        <f>ROUND((B28-B27)/365,2)</f>
        <v>25.28</v>
      </c>
      <c r="C29" s="3224"/>
    </row>
    <row r="30" spans="1:10">
      <c r="A30" s="3228" t="s">
        <v>3155</v>
      </c>
      <c r="B30" s="3224">
        <v>50</v>
      </c>
      <c r="C30" s="3224"/>
    </row>
  </sheetData>
  <mergeCells count="6">
    <mergeCell ref="A7:A8"/>
    <mergeCell ref="B7:B8"/>
    <mergeCell ref="C7:D7"/>
    <mergeCell ref="E7:F7"/>
    <mergeCell ref="J7:J8"/>
    <mergeCell ref="G7:H7"/>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zoomScale="90" zoomScaleNormal="90" workbookViewId="0">
      <selection activeCell="J29" sqref="J29"/>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3223" t="s">
        <v>2953</v>
      </c>
      <c r="G1" s="3215">
        <v>9549</v>
      </c>
      <c r="H1" s="2094"/>
    </row>
    <row r="2" spans="1:10" ht="15.75">
      <c r="A2" s="423" t="s">
        <v>467</v>
      </c>
      <c r="B2" s="425">
        <f>ROUND(B4*G1/10000,4)</f>
        <v>1066.6233</v>
      </c>
      <c r="C2" s="2094"/>
      <c r="D2" s="2094"/>
      <c r="E2" s="2094"/>
      <c r="F2" s="2094"/>
      <c r="G2" s="2094"/>
      <c r="H2" s="2094"/>
    </row>
    <row r="3" spans="1:10" ht="15.75">
      <c r="A3" s="1376" t="s">
        <v>1684</v>
      </c>
      <c r="B3" s="425"/>
      <c r="C3" s="2094"/>
      <c r="D3" s="2094"/>
      <c r="E3" s="2094"/>
      <c r="F3" s="2094"/>
      <c r="G3" s="2094"/>
      <c r="H3" s="2094"/>
    </row>
    <row r="4" spans="1:10" ht="27">
      <c r="A4" s="3197" t="s">
        <v>468</v>
      </c>
      <c r="B4" s="427">
        <f>I23</f>
        <v>1117</v>
      </c>
      <c r="C4" s="2047"/>
      <c r="D4" s="2094"/>
      <c r="E4" s="2094"/>
      <c r="F4" s="2094"/>
      <c r="G4" s="2094"/>
      <c r="H4" s="2094"/>
    </row>
    <row r="5" spans="1:10" ht="15.75">
      <c r="A5" s="429"/>
      <c r="B5" s="430">
        <f>ROUND(B2/(G1/666.67),0)</f>
        <v>74</v>
      </c>
      <c r="C5" s="431" t="s">
        <v>469</v>
      </c>
      <c r="D5" s="2094"/>
      <c r="E5" s="2094"/>
      <c r="F5" s="2094"/>
      <c r="G5" s="2094"/>
      <c r="H5" s="2094"/>
    </row>
    <row r="6" spans="1:10" ht="16.5" thickBot="1">
      <c r="A6" s="429"/>
      <c r="B6" s="3185"/>
      <c r="C6" s="3186"/>
      <c r="D6" s="2094"/>
      <c r="E6" s="2094"/>
      <c r="F6" s="2094"/>
      <c r="G6" s="2094"/>
      <c r="H6" s="2094"/>
    </row>
    <row r="7" spans="1:10">
      <c r="A7" s="3532" t="s">
        <v>2999</v>
      </c>
      <c r="B7" s="3534" t="s">
        <v>604</v>
      </c>
      <c r="C7" s="3536" t="s">
        <v>3002</v>
      </c>
      <c r="D7" s="3537"/>
      <c r="E7" s="3538" t="s">
        <v>3003</v>
      </c>
      <c r="F7" s="3539"/>
      <c r="G7" s="3538" t="s">
        <v>3004</v>
      </c>
      <c r="H7" s="3539"/>
      <c r="I7" s="3205" t="s">
        <v>3004</v>
      </c>
      <c r="J7" s="3530" t="s">
        <v>3007</v>
      </c>
    </row>
    <row r="8" spans="1:10" ht="24">
      <c r="A8" s="3533"/>
      <c r="B8" s="3535"/>
      <c r="C8" s="3187" t="s">
        <v>3000</v>
      </c>
      <c r="D8" s="3187" t="s">
        <v>3001</v>
      </c>
      <c r="E8" s="3188" t="s">
        <v>3000</v>
      </c>
      <c r="F8" s="3188" t="s">
        <v>3001</v>
      </c>
      <c r="G8" s="3196" t="s">
        <v>3005</v>
      </c>
      <c r="H8" s="3196" t="s">
        <v>3006</v>
      </c>
      <c r="I8" s="3205" t="s">
        <v>3006</v>
      </c>
      <c r="J8" s="3531"/>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2438">
        <v>15</v>
      </c>
      <c r="D11" s="749" t="s">
        <v>3060</v>
      </c>
      <c r="E11" s="3198"/>
      <c r="F11" s="3194" t="s">
        <v>3061</v>
      </c>
      <c r="G11" s="751"/>
      <c r="H11" s="751"/>
      <c r="I11" s="3204">
        <f>ROUND(C11*10000/666.67,0)</f>
        <v>225</v>
      </c>
      <c r="J11" s="3193" t="s">
        <v>3138</v>
      </c>
    </row>
    <row r="12" spans="1:10" ht="24.75">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v>39.200000000000003</v>
      </c>
      <c r="J14" s="3193" t="s">
        <v>3141</v>
      </c>
    </row>
    <row r="15" spans="1:10" ht="60">
      <c r="A15" s="2434" t="s">
        <v>2440</v>
      </c>
      <c r="B15" s="3190" t="s">
        <v>3038</v>
      </c>
      <c r="C15" s="3221">
        <v>39.200000000000003</v>
      </c>
      <c r="D15" s="749" t="s">
        <v>3080</v>
      </c>
      <c r="E15" s="3213"/>
      <c r="F15" s="3199" t="s">
        <v>3061</v>
      </c>
      <c r="G15" s="751"/>
      <c r="H15" s="751"/>
      <c r="I15" s="3204">
        <v>39.200000000000003</v>
      </c>
      <c r="J15" s="3209" t="s">
        <v>3142</v>
      </c>
    </row>
    <row r="16" spans="1:10">
      <c r="A16" s="2434" t="s">
        <v>3043</v>
      </c>
      <c r="B16" s="3192" t="s">
        <v>3042</v>
      </c>
      <c r="C16" s="749" t="s">
        <v>3058</v>
      </c>
      <c r="D16" s="749" t="s">
        <v>3058</v>
      </c>
      <c r="E16" s="749" t="s">
        <v>3058</v>
      </c>
      <c r="F16" s="3191" t="s">
        <v>3058</v>
      </c>
      <c r="G16" s="751"/>
      <c r="H16" s="751"/>
      <c r="I16" s="3204">
        <v>100</v>
      </c>
      <c r="J16" s="3209" t="s">
        <v>3143</v>
      </c>
    </row>
    <row r="17" spans="1:10" ht="24.75">
      <c r="A17" s="2434" t="s">
        <v>3044</v>
      </c>
      <c r="B17" s="3192" t="s">
        <v>3045</v>
      </c>
      <c r="C17" s="3200">
        <v>4.3499999999999997E-2</v>
      </c>
      <c r="D17" s="749" t="s">
        <v>3058</v>
      </c>
      <c r="E17" s="2438">
        <v>1</v>
      </c>
      <c r="F17" s="3195" t="s">
        <v>3106</v>
      </c>
      <c r="G17" s="751"/>
      <c r="H17" s="751"/>
      <c r="I17" s="3203">
        <f>ROUND((I9+I14)*E17*C17+I16*(E17/2)*C17,2)</f>
        <v>30.07</v>
      </c>
      <c r="J17" s="3193" t="s">
        <v>3144</v>
      </c>
    </row>
    <row r="18" spans="1:10">
      <c r="A18" s="2434" t="s">
        <v>3046</v>
      </c>
      <c r="B18" s="3192" t="s">
        <v>3047</v>
      </c>
      <c r="C18" s="3200">
        <v>0.15</v>
      </c>
      <c r="D18" s="749" t="s">
        <v>3058</v>
      </c>
      <c r="E18" s="749" t="s">
        <v>3058</v>
      </c>
      <c r="F18" s="3191" t="s">
        <v>3058</v>
      </c>
      <c r="G18" s="751"/>
      <c r="H18" s="751"/>
      <c r="I18" s="3204">
        <f>ROUND((I9+I14+I16)*C18,2)</f>
        <v>111.18</v>
      </c>
      <c r="J18" s="3193" t="s">
        <v>3146</v>
      </c>
    </row>
    <row r="19" spans="1:10">
      <c r="A19" s="2434" t="s">
        <v>3048</v>
      </c>
      <c r="B19" s="3192" t="s">
        <v>3049</v>
      </c>
      <c r="C19" s="749" t="s">
        <v>3058</v>
      </c>
      <c r="D19" s="749" t="s">
        <v>3058</v>
      </c>
      <c r="E19" s="749" t="s">
        <v>3058</v>
      </c>
      <c r="F19" s="3191" t="s">
        <v>3058</v>
      </c>
      <c r="G19" s="751"/>
      <c r="H19" s="751"/>
      <c r="I19" s="3204">
        <f>ROUND(I9+I14+I16+I17+I18,2)</f>
        <v>882.45</v>
      </c>
      <c r="J19" s="3193" t="s">
        <v>3147</v>
      </c>
    </row>
    <row r="20" spans="1:10" ht="36.75">
      <c r="A20" s="2434" t="s">
        <v>3050</v>
      </c>
      <c r="B20" s="3192" t="s">
        <v>3051</v>
      </c>
      <c r="C20" s="3200">
        <v>0.4</v>
      </c>
      <c r="D20" s="749" t="s">
        <v>3058</v>
      </c>
      <c r="E20" s="749" t="s">
        <v>3058</v>
      </c>
      <c r="F20" s="3191" t="s">
        <v>3058</v>
      </c>
      <c r="G20" s="751"/>
      <c r="H20" s="751"/>
      <c r="I20" s="3204">
        <f>ROUND(I19*C20,2)</f>
        <v>352.98</v>
      </c>
      <c r="J20" s="3193" t="s">
        <v>3148</v>
      </c>
    </row>
    <row r="21" spans="1:10">
      <c r="A21" s="2434" t="s">
        <v>3052</v>
      </c>
      <c r="B21" s="3192" t="s">
        <v>3053</v>
      </c>
      <c r="C21" s="3219">
        <f>ROUND(0.9457*C25,4)</f>
        <v>0.89939999999999998</v>
      </c>
      <c r="D21" s="749" t="s">
        <v>3058</v>
      </c>
      <c r="E21" s="749" t="s">
        <v>3058</v>
      </c>
      <c r="F21" s="3191" t="s">
        <v>3058</v>
      </c>
      <c r="G21" s="3191"/>
      <c r="H21" s="3191"/>
      <c r="I21" s="3206" t="s">
        <v>3058</v>
      </c>
      <c r="J21" s="3193" t="s">
        <v>3111</v>
      </c>
    </row>
    <row r="22" spans="1:10">
      <c r="A22" s="2434" t="s">
        <v>3054</v>
      </c>
      <c r="B22" s="3192" t="s">
        <v>3055</v>
      </c>
      <c r="C22" s="3220">
        <v>1.0049999999999999</v>
      </c>
      <c r="D22" s="749" t="s">
        <v>3058</v>
      </c>
      <c r="E22" s="749" t="s">
        <v>3058</v>
      </c>
      <c r="F22" s="749" t="s">
        <v>3058</v>
      </c>
      <c r="G22" s="749"/>
      <c r="H22" s="749"/>
      <c r="I22" s="3207" t="s">
        <v>3058</v>
      </c>
      <c r="J22" s="3193" t="s">
        <v>3149</v>
      </c>
    </row>
    <row r="23" spans="1:10">
      <c r="A23" s="2434" t="s">
        <v>3056</v>
      </c>
      <c r="B23" s="3192" t="s">
        <v>3057</v>
      </c>
      <c r="C23" s="749" t="s">
        <v>3058</v>
      </c>
      <c r="D23" s="749" t="s">
        <v>3058</v>
      </c>
      <c r="E23" s="749" t="s">
        <v>3058</v>
      </c>
      <c r="F23" s="749" t="s">
        <v>3058</v>
      </c>
      <c r="G23" s="751"/>
      <c r="H23" s="751"/>
      <c r="I23" s="3204">
        <f>ROUND((I19+I20)*C21*C22,0)</f>
        <v>1117</v>
      </c>
      <c r="J23" s="3193" t="s">
        <v>3150</v>
      </c>
    </row>
    <row r="25" spans="1:10">
      <c r="A25" s="3224"/>
      <c r="B25" s="3225" t="s">
        <v>3133</v>
      </c>
      <c r="C25" s="3224">
        <f>ROUND((1-1/(1+B26)^B29)/(1-1/(1+B26)^B30),3)</f>
        <v>0.95099999999999996</v>
      </c>
    </row>
    <row r="26" spans="1:10">
      <c r="A26" s="3226" t="s">
        <v>3157</v>
      </c>
      <c r="B26" s="3227">
        <v>0.06</v>
      </c>
      <c r="C26" s="3224"/>
    </row>
    <row r="27" spans="1:10">
      <c r="A27" s="3228" t="s">
        <v>3153</v>
      </c>
      <c r="B27" s="3229">
        <f>项目基本情况!D3</f>
        <v>44435</v>
      </c>
      <c r="C27" s="3224"/>
    </row>
    <row r="28" spans="1:10">
      <c r="A28" s="3228" t="s">
        <v>3154</v>
      </c>
      <c r="B28" s="3229">
        <v>58818</v>
      </c>
      <c r="C28" s="3224"/>
    </row>
    <row r="29" spans="1:10">
      <c r="A29" s="3228" t="s">
        <v>3156</v>
      </c>
      <c r="B29" s="3224">
        <f>ROUND((B28-B27)/365,2)</f>
        <v>39.409999999999997</v>
      </c>
      <c r="C29" s="3224"/>
    </row>
    <row r="30" spans="1:10">
      <c r="A30" s="3228" t="s">
        <v>3155</v>
      </c>
      <c r="B30" s="3224">
        <v>50</v>
      </c>
      <c r="C30" s="3224"/>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zoomScale="90" zoomScaleNormal="90" workbookViewId="0">
      <selection activeCell="J29" sqref="J29"/>
    </sheetView>
  </sheetViews>
  <sheetFormatPr defaultRowHeight="13.5"/>
  <cols>
    <col min="1" max="1" width="11.2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3223" t="s">
        <v>3152</v>
      </c>
      <c r="G1" s="3215">
        <v>120795</v>
      </c>
      <c r="H1" s="2094"/>
    </row>
    <row r="2" spans="1:10" ht="15.75">
      <c r="A2" s="423" t="s">
        <v>467</v>
      </c>
      <c r="B2" s="425">
        <f>ROUND(B4*G1/10000,4)</f>
        <v>12139.897499999999</v>
      </c>
      <c r="C2" s="2094"/>
      <c r="D2" s="2094"/>
      <c r="E2" s="2094"/>
      <c r="F2" s="2094"/>
      <c r="G2" s="2094"/>
      <c r="H2" s="2094"/>
    </row>
    <row r="3" spans="1:10" ht="15.75">
      <c r="A3" s="1376" t="s">
        <v>1684</v>
      </c>
      <c r="B3" s="425"/>
      <c r="C3" s="2094"/>
      <c r="D3" s="2094"/>
      <c r="E3" s="2094"/>
      <c r="F3" s="2094"/>
      <c r="G3" s="2094"/>
      <c r="H3" s="2094"/>
    </row>
    <row r="4" spans="1:10" ht="27">
      <c r="A4" s="3197" t="s">
        <v>468</v>
      </c>
      <c r="B4" s="427">
        <f>I23</f>
        <v>1005</v>
      </c>
      <c r="C4" s="2047"/>
      <c r="D4" s="2094"/>
      <c r="E4" s="2094"/>
      <c r="F4" s="2094"/>
      <c r="G4" s="2094"/>
      <c r="H4" s="2094"/>
    </row>
    <row r="5" spans="1:10" ht="15.75">
      <c r="A5" s="429"/>
      <c r="B5" s="430">
        <f>ROUND(B2/(G1/666.67),0)</f>
        <v>67</v>
      </c>
      <c r="C5" s="431" t="s">
        <v>469</v>
      </c>
      <c r="D5" s="2094"/>
      <c r="E5" s="2094"/>
      <c r="F5" s="2094"/>
      <c r="G5" s="2094"/>
      <c r="H5" s="2094"/>
    </row>
    <row r="6" spans="1:10" ht="16.5" thickBot="1">
      <c r="A6" s="429"/>
      <c r="B6" s="3185"/>
      <c r="C6" s="3186"/>
      <c r="D6" s="2094"/>
      <c r="E6" s="2094"/>
      <c r="F6" s="2094"/>
      <c r="G6" s="2094"/>
      <c r="H6" s="2094"/>
    </row>
    <row r="7" spans="1:10">
      <c r="A7" s="3532" t="s">
        <v>2999</v>
      </c>
      <c r="B7" s="3534" t="s">
        <v>604</v>
      </c>
      <c r="C7" s="3536" t="s">
        <v>3002</v>
      </c>
      <c r="D7" s="3537"/>
      <c r="E7" s="3538" t="s">
        <v>3003</v>
      </c>
      <c r="F7" s="3539"/>
      <c r="G7" s="3538" t="s">
        <v>3004</v>
      </c>
      <c r="H7" s="3539"/>
      <c r="I7" s="3205" t="s">
        <v>3004</v>
      </c>
      <c r="J7" s="3530" t="s">
        <v>3007</v>
      </c>
    </row>
    <row r="8" spans="1:10" ht="24">
      <c r="A8" s="3533"/>
      <c r="B8" s="3535"/>
      <c r="C8" s="3187" t="s">
        <v>3000</v>
      </c>
      <c r="D8" s="3187" t="s">
        <v>3001</v>
      </c>
      <c r="E8" s="3188" t="s">
        <v>3000</v>
      </c>
      <c r="F8" s="3188" t="s">
        <v>3001</v>
      </c>
      <c r="G8" s="3196" t="s">
        <v>3005</v>
      </c>
      <c r="H8" s="3196" t="s">
        <v>3006</v>
      </c>
      <c r="I8" s="3205" t="s">
        <v>3006</v>
      </c>
      <c r="J8" s="3531"/>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2438">
        <v>15</v>
      </c>
      <c r="D11" s="749" t="s">
        <v>3060</v>
      </c>
      <c r="E11" s="3198"/>
      <c r="F11" s="3194" t="s">
        <v>3061</v>
      </c>
      <c r="G11" s="751"/>
      <c r="H11" s="751"/>
      <c r="I11" s="3204">
        <f>ROUND(C11*10000/666.67,0)</f>
        <v>225</v>
      </c>
      <c r="J11" s="3193" t="s">
        <v>3138</v>
      </c>
    </row>
    <row r="12" spans="1:10" ht="24.75">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v>39.200000000000003</v>
      </c>
      <c r="J14" s="3193" t="s">
        <v>3141</v>
      </c>
    </row>
    <row r="15" spans="1:10" ht="60">
      <c r="A15" s="2434" t="s">
        <v>2440</v>
      </c>
      <c r="B15" s="3190" t="s">
        <v>3038</v>
      </c>
      <c r="C15" s="3221">
        <v>39.200000000000003</v>
      </c>
      <c r="D15" s="749" t="s">
        <v>3080</v>
      </c>
      <c r="E15" s="3213"/>
      <c r="F15" s="3199" t="s">
        <v>3061</v>
      </c>
      <c r="G15" s="751"/>
      <c r="H15" s="751"/>
      <c r="I15" s="3204">
        <v>39.200000000000003</v>
      </c>
      <c r="J15" s="3209" t="s">
        <v>3142</v>
      </c>
    </row>
    <row r="16" spans="1:10">
      <c r="A16" s="2434" t="s">
        <v>3043</v>
      </c>
      <c r="B16" s="3192" t="s">
        <v>3042</v>
      </c>
      <c r="C16" s="749" t="s">
        <v>3058</v>
      </c>
      <c r="D16" s="749" t="s">
        <v>3058</v>
      </c>
      <c r="E16" s="749" t="s">
        <v>3058</v>
      </c>
      <c r="F16" s="3191" t="s">
        <v>3058</v>
      </c>
      <c r="G16" s="751"/>
      <c r="H16" s="751"/>
      <c r="I16" s="3204">
        <v>100</v>
      </c>
      <c r="J16" s="3209" t="s">
        <v>3143</v>
      </c>
    </row>
    <row r="17" spans="1:10" ht="24.75">
      <c r="A17" s="2434" t="s">
        <v>3044</v>
      </c>
      <c r="B17" s="3192" t="s">
        <v>3045</v>
      </c>
      <c r="C17" s="3200">
        <v>4.3499999999999997E-2</v>
      </c>
      <c r="D17" s="749" t="s">
        <v>3058</v>
      </c>
      <c r="E17" s="2438">
        <v>1</v>
      </c>
      <c r="F17" s="3195" t="s">
        <v>3106</v>
      </c>
      <c r="G17" s="751"/>
      <c r="H17" s="751"/>
      <c r="I17" s="3203">
        <f>ROUND((I9+I14)*E17*C17+I16*(E17/2)*C17,2)</f>
        <v>30.07</v>
      </c>
      <c r="J17" s="3193" t="s">
        <v>3144</v>
      </c>
    </row>
    <row r="18" spans="1:10">
      <c r="A18" s="2434" t="s">
        <v>3046</v>
      </c>
      <c r="B18" s="3192" t="s">
        <v>3047</v>
      </c>
      <c r="C18" s="3200">
        <v>0.15</v>
      </c>
      <c r="D18" s="749" t="s">
        <v>3058</v>
      </c>
      <c r="E18" s="749" t="s">
        <v>3058</v>
      </c>
      <c r="F18" s="3191" t="s">
        <v>3058</v>
      </c>
      <c r="G18" s="751"/>
      <c r="H18" s="751"/>
      <c r="I18" s="3204">
        <f>ROUND((I9+I14+I16)*C18,2)</f>
        <v>111.18</v>
      </c>
      <c r="J18" s="3193" t="s">
        <v>3146</v>
      </c>
    </row>
    <row r="19" spans="1:10">
      <c r="A19" s="2434" t="s">
        <v>3048</v>
      </c>
      <c r="B19" s="3192" t="s">
        <v>3049</v>
      </c>
      <c r="C19" s="749" t="s">
        <v>3058</v>
      </c>
      <c r="D19" s="749" t="s">
        <v>3058</v>
      </c>
      <c r="E19" s="749" t="s">
        <v>3058</v>
      </c>
      <c r="F19" s="3191" t="s">
        <v>3058</v>
      </c>
      <c r="G19" s="751"/>
      <c r="H19" s="751"/>
      <c r="I19" s="3204">
        <f>ROUND(I9+I14+I16+I17+I18,2)</f>
        <v>882.45</v>
      </c>
      <c r="J19" s="3193" t="s">
        <v>3147</v>
      </c>
    </row>
    <row r="20" spans="1:10" ht="36.75">
      <c r="A20" s="2434" t="s">
        <v>3050</v>
      </c>
      <c r="B20" s="3192" t="s">
        <v>3051</v>
      </c>
      <c r="C20" s="3200">
        <v>0.4</v>
      </c>
      <c r="D20" s="749" t="s">
        <v>3058</v>
      </c>
      <c r="E20" s="749" t="s">
        <v>3058</v>
      </c>
      <c r="F20" s="3191" t="s">
        <v>3058</v>
      </c>
      <c r="G20" s="751"/>
      <c r="H20" s="751"/>
      <c r="I20" s="3204">
        <f>ROUND(I19*C20,2)</f>
        <v>352.98</v>
      </c>
      <c r="J20" s="3193" t="s">
        <v>3148</v>
      </c>
    </row>
    <row r="21" spans="1:10">
      <c r="A21" s="2434" t="s">
        <v>3052</v>
      </c>
      <c r="B21" s="3192" t="s">
        <v>3053</v>
      </c>
      <c r="C21" s="3219">
        <f>ROUND(0.9457*C25,4)</f>
        <v>0.89939999999999998</v>
      </c>
      <c r="D21" s="749" t="s">
        <v>3058</v>
      </c>
      <c r="E21" s="749" t="s">
        <v>3058</v>
      </c>
      <c r="F21" s="3191" t="s">
        <v>3058</v>
      </c>
      <c r="G21" s="3191"/>
      <c r="H21" s="3191"/>
      <c r="I21" s="3206" t="s">
        <v>3058</v>
      </c>
      <c r="J21" s="3193" t="s">
        <v>3111</v>
      </c>
    </row>
    <row r="22" spans="1:10">
      <c r="A22" s="2434" t="s">
        <v>3054</v>
      </c>
      <c r="B22" s="3192" t="s">
        <v>3055</v>
      </c>
      <c r="C22" s="3220">
        <v>1.0049999999999999</v>
      </c>
      <c r="D22" s="749" t="s">
        <v>3058</v>
      </c>
      <c r="E22" s="749" t="s">
        <v>3058</v>
      </c>
      <c r="F22" s="749" t="s">
        <v>3058</v>
      </c>
      <c r="G22" s="749"/>
      <c r="H22" s="749"/>
      <c r="I22" s="3207" t="s">
        <v>3058</v>
      </c>
      <c r="J22" s="3193" t="s">
        <v>3149</v>
      </c>
    </row>
    <row r="23" spans="1:10">
      <c r="A23" s="2434" t="s">
        <v>3056</v>
      </c>
      <c r="B23" s="3192" t="s">
        <v>3057</v>
      </c>
      <c r="C23" s="749" t="s">
        <v>3058</v>
      </c>
      <c r="D23" s="749" t="s">
        <v>3058</v>
      </c>
      <c r="E23" s="749" t="s">
        <v>3058</v>
      </c>
      <c r="F23" s="749" t="s">
        <v>3058</v>
      </c>
      <c r="G23" s="751"/>
      <c r="H23" s="751"/>
      <c r="I23" s="3204">
        <f>ROUND((I19+I20)*C21*C22*C24,0)</f>
        <v>1005</v>
      </c>
      <c r="J23" s="3193" t="s">
        <v>3150</v>
      </c>
    </row>
    <row r="24" spans="1:10">
      <c r="B24" s="3230" t="s">
        <v>3158</v>
      </c>
      <c r="C24" s="3231">
        <v>0.9</v>
      </c>
      <c r="H24">
        <v>1005</v>
      </c>
    </row>
    <row r="25" spans="1:10">
      <c r="A25" s="3224"/>
      <c r="B25" s="3225" t="s">
        <v>3133</v>
      </c>
      <c r="C25" s="3224">
        <f>ROUND((1-1/(1+B26)^B29)/(1-1/(1+B26)^B30),3)</f>
        <v>0.95099999999999996</v>
      </c>
      <c r="H25">
        <v>1117</v>
      </c>
    </row>
    <row r="26" spans="1:10">
      <c r="A26" s="3226" t="s">
        <v>3157</v>
      </c>
      <c r="B26" s="3227">
        <v>0.06</v>
      </c>
      <c r="C26" s="3224"/>
      <c r="H26">
        <f>H25-H24</f>
        <v>112</v>
      </c>
    </row>
    <row r="27" spans="1:10">
      <c r="A27" s="3228" t="s">
        <v>3153</v>
      </c>
      <c r="B27" s="3229">
        <f>项目基本情况!D3</f>
        <v>44435</v>
      </c>
      <c r="C27" s="3224"/>
    </row>
    <row r="28" spans="1:10">
      <c r="A28" s="3228" t="s">
        <v>3154</v>
      </c>
      <c r="B28" s="3229">
        <v>58818</v>
      </c>
      <c r="C28" s="3224"/>
    </row>
    <row r="29" spans="1:10">
      <c r="A29" s="3228" t="s">
        <v>3156</v>
      </c>
      <c r="B29" s="3224">
        <f>ROUND((B28-B27)/365,2)</f>
        <v>39.409999999999997</v>
      </c>
      <c r="C29" s="3224"/>
    </row>
    <row r="30" spans="1:10">
      <c r="A30" s="3228" t="s">
        <v>3155</v>
      </c>
      <c r="B30" s="3224">
        <v>50</v>
      </c>
      <c r="C30" s="3224"/>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tabSelected="1" zoomScale="90" zoomScaleNormal="90" workbookViewId="0">
      <selection activeCell="E4" sqref="E4"/>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3223" t="s">
        <v>3152</v>
      </c>
      <c r="G1" s="3215">
        <f>4533.33</f>
        <v>4533.33</v>
      </c>
      <c r="H1" s="2094"/>
    </row>
    <row r="2" spans="1:10" ht="15.75">
      <c r="A2" s="423" t="s">
        <v>467</v>
      </c>
      <c r="B2" s="425">
        <f>ROUND(B4*G1,0)</f>
        <v>4297597</v>
      </c>
      <c r="C2" s="2094"/>
      <c r="D2" s="2094"/>
      <c r="E2" s="2094"/>
      <c r="F2" s="2094"/>
      <c r="G2" s="2094"/>
      <c r="H2" s="2094"/>
    </row>
    <row r="3" spans="1:10" ht="15.75">
      <c r="A3" s="1376" t="s">
        <v>1684</v>
      </c>
      <c r="B3" s="425"/>
      <c r="C3" s="2094"/>
      <c r="D3" s="2094"/>
      <c r="E3" s="2094"/>
      <c r="F3" s="2094"/>
      <c r="G3" s="2094"/>
      <c r="H3" s="2094"/>
    </row>
    <row r="4" spans="1:10" ht="27">
      <c r="A4" s="3197" t="s">
        <v>468</v>
      </c>
      <c r="B4" s="427">
        <f>I23</f>
        <v>948</v>
      </c>
      <c r="C4" s="2047"/>
      <c r="D4" s="2094"/>
      <c r="E4" s="2094"/>
      <c r="F4" s="2094"/>
      <c r="G4" s="2094"/>
      <c r="H4" s="2094"/>
    </row>
    <row r="5" spans="1:10" ht="15.75">
      <c r="A5" s="429"/>
      <c r="B5" s="430">
        <f>ROUND(B2/(G1/666.67)/10000,2)</f>
        <v>63.2</v>
      </c>
      <c r="C5" s="431" t="s">
        <v>469</v>
      </c>
      <c r="D5" s="2094"/>
      <c r="E5" s="2094"/>
      <c r="F5" s="2094"/>
      <c r="G5" s="2094"/>
      <c r="H5" s="2094"/>
    </row>
    <row r="6" spans="1:10" ht="16.5" thickBot="1">
      <c r="A6" s="429"/>
      <c r="B6" s="3185"/>
      <c r="C6" s="3186"/>
      <c r="D6" s="2094"/>
      <c r="E6" s="2094"/>
      <c r="F6" s="2094"/>
      <c r="G6" s="2094"/>
      <c r="H6" s="2094"/>
    </row>
    <row r="7" spans="1:10">
      <c r="A7" s="3532" t="s">
        <v>2999</v>
      </c>
      <c r="B7" s="3534" t="s">
        <v>604</v>
      </c>
      <c r="C7" s="3536" t="s">
        <v>3002</v>
      </c>
      <c r="D7" s="3537"/>
      <c r="E7" s="3538" t="s">
        <v>3003</v>
      </c>
      <c r="F7" s="3539"/>
      <c r="G7" s="3538" t="s">
        <v>3004</v>
      </c>
      <c r="H7" s="3539"/>
      <c r="I7" s="3205" t="s">
        <v>3004</v>
      </c>
      <c r="J7" s="3530" t="s">
        <v>3007</v>
      </c>
    </row>
    <row r="8" spans="1:10" ht="24">
      <c r="A8" s="3533"/>
      <c r="B8" s="3535"/>
      <c r="C8" s="3187" t="s">
        <v>3000</v>
      </c>
      <c r="D8" s="3187" t="s">
        <v>3001</v>
      </c>
      <c r="E8" s="3188" t="s">
        <v>3000</v>
      </c>
      <c r="F8" s="3188" t="s">
        <v>3001</v>
      </c>
      <c r="G8" s="3196" t="s">
        <v>3005</v>
      </c>
      <c r="H8" s="3196" t="s">
        <v>3006</v>
      </c>
      <c r="I8" s="3205" t="s">
        <v>3006</v>
      </c>
      <c r="J8" s="3531"/>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2438">
        <v>15</v>
      </c>
      <c r="D11" s="749" t="s">
        <v>3060</v>
      </c>
      <c r="E11" s="3198"/>
      <c r="F11" s="3194" t="s">
        <v>3061</v>
      </c>
      <c r="G11" s="751"/>
      <c r="H11" s="751"/>
      <c r="I11" s="3204">
        <f>ROUND(C11*10000/666.67,0)</f>
        <v>225</v>
      </c>
      <c r="J11" s="3193" t="s">
        <v>3138</v>
      </c>
    </row>
    <row r="12" spans="1:10" ht="24.75">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v>39.200000000000003</v>
      </c>
      <c r="J14" s="3193" t="s">
        <v>3141</v>
      </c>
    </row>
    <row r="15" spans="1:10" ht="60">
      <c r="A15" s="2434" t="s">
        <v>2440</v>
      </c>
      <c r="B15" s="3190" t="s">
        <v>3038</v>
      </c>
      <c r="C15" s="3221">
        <v>39.200000000000003</v>
      </c>
      <c r="D15" s="749" t="s">
        <v>3080</v>
      </c>
      <c r="E15" s="3213"/>
      <c r="F15" s="3199" t="s">
        <v>3061</v>
      </c>
      <c r="G15" s="751"/>
      <c r="H15" s="751"/>
      <c r="I15" s="3204">
        <v>39.200000000000003</v>
      </c>
      <c r="J15" s="3209" t="s">
        <v>3142</v>
      </c>
    </row>
    <row r="16" spans="1:10">
      <c r="A16" s="2434" t="s">
        <v>3043</v>
      </c>
      <c r="B16" s="3192" t="s">
        <v>3042</v>
      </c>
      <c r="C16" s="749" t="s">
        <v>3058</v>
      </c>
      <c r="D16" s="749" t="s">
        <v>3058</v>
      </c>
      <c r="E16" s="749" t="s">
        <v>3058</v>
      </c>
      <c r="F16" s="3191" t="s">
        <v>3058</v>
      </c>
      <c r="G16" s="751"/>
      <c r="H16" s="751"/>
      <c r="I16" s="3204">
        <v>100</v>
      </c>
      <c r="J16" s="3209" t="s">
        <v>3143</v>
      </c>
    </row>
    <row r="17" spans="1:10" ht="24.75">
      <c r="A17" s="2434" t="s">
        <v>3044</v>
      </c>
      <c r="B17" s="3192" t="s">
        <v>3045</v>
      </c>
      <c r="C17" s="3200">
        <v>4.3499999999999997E-2</v>
      </c>
      <c r="D17" s="749" t="s">
        <v>3058</v>
      </c>
      <c r="E17" s="2438">
        <v>1</v>
      </c>
      <c r="F17" s="3195" t="s">
        <v>3106</v>
      </c>
      <c r="G17" s="751"/>
      <c r="H17" s="751"/>
      <c r="I17" s="3203">
        <f>ROUND((I9+I14)*E17*C17+I16*(E17/2)*C17,2)</f>
        <v>30.07</v>
      </c>
      <c r="J17" s="3193" t="s">
        <v>3144</v>
      </c>
    </row>
    <row r="18" spans="1:10">
      <c r="A18" s="2434" t="s">
        <v>3046</v>
      </c>
      <c r="B18" s="3192" t="s">
        <v>3047</v>
      </c>
      <c r="C18" s="3200">
        <v>0.15</v>
      </c>
      <c r="D18" s="749" t="s">
        <v>3058</v>
      </c>
      <c r="E18" s="749" t="s">
        <v>3058</v>
      </c>
      <c r="F18" s="3191" t="s">
        <v>3058</v>
      </c>
      <c r="G18" s="751"/>
      <c r="H18" s="751"/>
      <c r="I18" s="3204">
        <f>ROUND((I9+I14+I16)*C18,2)</f>
        <v>111.18</v>
      </c>
      <c r="J18" s="3193" t="s">
        <v>3146</v>
      </c>
    </row>
    <row r="19" spans="1:10">
      <c r="A19" s="2434" t="s">
        <v>3048</v>
      </c>
      <c r="B19" s="3192" t="s">
        <v>3049</v>
      </c>
      <c r="C19" s="749" t="s">
        <v>3058</v>
      </c>
      <c r="D19" s="749" t="s">
        <v>3058</v>
      </c>
      <c r="E19" s="749" t="s">
        <v>3058</v>
      </c>
      <c r="F19" s="3191" t="s">
        <v>3058</v>
      </c>
      <c r="G19" s="751"/>
      <c r="H19" s="751"/>
      <c r="I19" s="3204">
        <f>ROUND(I9+I14+I16+I17+I18,2)</f>
        <v>882.45</v>
      </c>
      <c r="J19" s="3193" t="s">
        <v>3147</v>
      </c>
    </row>
    <row r="20" spans="1:10" ht="36.75">
      <c r="A20" s="2434" t="s">
        <v>3050</v>
      </c>
      <c r="B20" s="3192" t="s">
        <v>3051</v>
      </c>
      <c r="C20" s="3200">
        <v>0.4</v>
      </c>
      <c r="D20" s="749" t="s">
        <v>3058</v>
      </c>
      <c r="E20" s="749" t="s">
        <v>3058</v>
      </c>
      <c r="F20" s="3191" t="s">
        <v>3058</v>
      </c>
      <c r="G20" s="751"/>
      <c r="H20" s="751"/>
      <c r="I20" s="3204">
        <f>ROUND(I19*C20,2)</f>
        <v>352.98</v>
      </c>
      <c r="J20" s="3193" t="s">
        <v>3148</v>
      </c>
    </row>
    <row r="21" spans="1:10">
      <c r="A21" s="2434" t="s">
        <v>3052</v>
      </c>
      <c r="B21" s="3192" t="s">
        <v>3053</v>
      </c>
      <c r="C21" s="3219">
        <f>ROUND(0.9457*C25,4)</f>
        <v>0.76319999999999999</v>
      </c>
      <c r="D21" s="749" t="s">
        <v>3058</v>
      </c>
      <c r="E21" s="749" t="s">
        <v>3058</v>
      </c>
      <c r="F21" s="3191" t="s">
        <v>3058</v>
      </c>
      <c r="G21" s="3191"/>
      <c r="H21" s="3191"/>
      <c r="I21" s="3206" t="s">
        <v>3058</v>
      </c>
      <c r="J21" s="3193" t="s">
        <v>3111</v>
      </c>
    </row>
    <row r="22" spans="1:10">
      <c r="A22" s="2434" t="s">
        <v>3054</v>
      </c>
      <c r="B22" s="3192" t="s">
        <v>3055</v>
      </c>
      <c r="C22" s="3220">
        <v>1.0049999999999999</v>
      </c>
      <c r="D22" s="749" t="s">
        <v>3058</v>
      </c>
      <c r="E22" s="749" t="s">
        <v>3058</v>
      </c>
      <c r="F22" s="749" t="s">
        <v>3058</v>
      </c>
      <c r="G22" s="749"/>
      <c r="H22" s="749"/>
      <c r="I22" s="3207" t="s">
        <v>3058</v>
      </c>
      <c r="J22" s="3193" t="s">
        <v>3149</v>
      </c>
    </row>
    <row r="23" spans="1:10">
      <c r="A23" s="2434" t="s">
        <v>3056</v>
      </c>
      <c r="B23" s="3192" t="s">
        <v>3057</v>
      </c>
      <c r="C23" s="749" t="s">
        <v>3058</v>
      </c>
      <c r="D23" s="749" t="s">
        <v>3058</v>
      </c>
      <c r="E23" s="749" t="s">
        <v>3058</v>
      </c>
      <c r="F23" s="749" t="s">
        <v>3058</v>
      </c>
      <c r="G23" s="751"/>
      <c r="H23" s="751"/>
      <c r="I23" s="3204">
        <f>ROUND((I19+I20)*C21*C22,0)</f>
        <v>948</v>
      </c>
      <c r="J23" s="3193" t="s">
        <v>3150</v>
      </c>
    </row>
    <row r="25" spans="1:10">
      <c r="A25" s="3224"/>
      <c r="B25" s="3225" t="s">
        <v>3133</v>
      </c>
      <c r="C25" s="3224">
        <f>ROUND((1-1/(1+B26)^B29)/(1-1/(1+B26)^B30),3)</f>
        <v>0.80700000000000005</v>
      </c>
    </row>
    <row r="26" spans="1:10">
      <c r="A26" s="3226" t="s">
        <v>3157</v>
      </c>
      <c r="B26" s="3227">
        <v>0.06</v>
      </c>
      <c r="C26" s="3224"/>
    </row>
    <row r="27" spans="1:10">
      <c r="A27" s="3228" t="s">
        <v>3153</v>
      </c>
      <c r="B27" s="3229">
        <f>项目基本情况!D3</f>
        <v>44435</v>
      </c>
      <c r="C27" s="3224"/>
    </row>
    <row r="28" spans="1:10">
      <c r="A28" s="3228" t="s">
        <v>3154</v>
      </c>
      <c r="B28" s="3229">
        <v>53454</v>
      </c>
      <c r="C28" s="3224"/>
    </row>
    <row r="29" spans="1:10">
      <c r="A29" s="3228" t="s">
        <v>3156</v>
      </c>
      <c r="B29" s="3224">
        <f>ROUND((B28-B27)/365,2)</f>
        <v>24.71</v>
      </c>
      <c r="C29" s="3224"/>
    </row>
    <row r="30" spans="1:10">
      <c r="A30" s="3228" t="s">
        <v>3155</v>
      </c>
      <c r="B30" s="3224">
        <v>50</v>
      </c>
      <c r="C30" s="3224"/>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zoomScale="90" zoomScaleNormal="90" workbookViewId="0">
      <selection activeCell="G20" sqref="G20"/>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3223" t="s">
        <v>3152</v>
      </c>
      <c r="G1" s="3215">
        <v>10485</v>
      </c>
      <c r="H1" s="2094"/>
    </row>
    <row r="2" spans="1:10" ht="15.75">
      <c r="A2" s="423" t="s">
        <v>467</v>
      </c>
      <c r="B2" s="425">
        <f>ROUND(B4*G1,0)</f>
        <v>9803475</v>
      </c>
      <c r="C2" s="2094"/>
      <c r="D2" s="2094"/>
      <c r="E2" s="2094"/>
      <c r="F2" s="2094"/>
      <c r="G2" s="2094"/>
      <c r="H2" s="2094"/>
    </row>
    <row r="3" spans="1:10" ht="15.75">
      <c r="A3" s="1376" t="s">
        <v>1684</v>
      </c>
      <c r="B3" s="425"/>
      <c r="C3" s="2094"/>
      <c r="D3" s="2094"/>
      <c r="E3" s="2094"/>
      <c r="F3" s="2094"/>
      <c r="G3" s="2094"/>
      <c r="H3" s="2094"/>
    </row>
    <row r="4" spans="1:10" ht="27">
      <c r="A4" s="3197" t="s">
        <v>468</v>
      </c>
      <c r="B4" s="427">
        <f>I23</f>
        <v>935</v>
      </c>
      <c r="C4" s="2047"/>
      <c r="D4" s="2094"/>
      <c r="E4" s="2094"/>
      <c r="F4" s="2094"/>
      <c r="G4" s="2094"/>
      <c r="H4" s="2094"/>
    </row>
    <row r="5" spans="1:10" ht="15.75">
      <c r="A5" s="429"/>
      <c r="B5" s="430">
        <f>ROUND(B2/(G1/666.67)/10000,2)</f>
        <v>62.33</v>
      </c>
      <c r="C5" s="431" t="s">
        <v>469</v>
      </c>
      <c r="D5" s="2094"/>
      <c r="E5" s="2094"/>
      <c r="F5" s="2094"/>
      <c r="G5" s="2094"/>
      <c r="H5" s="2094"/>
    </row>
    <row r="6" spans="1:10" ht="16.5" thickBot="1">
      <c r="A6" s="429"/>
      <c r="B6" s="3185"/>
      <c r="C6" s="3186"/>
      <c r="D6" s="2094"/>
      <c r="E6" s="2094"/>
      <c r="F6" s="2094"/>
      <c r="G6" s="2094"/>
      <c r="H6" s="2094"/>
    </row>
    <row r="7" spans="1:10">
      <c r="A7" s="3532" t="s">
        <v>2999</v>
      </c>
      <c r="B7" s="3534" t="s">
        <v>604</v>
      </c>
      <c r="C7" s="3536" t="s">
        <v>3002</v>
      </c>
      <c r="D7" s="3537"/>
      <c r="E7" s="3538" t="s">
        <v>3003</v>
      </c>
      <c r="F7" s="3539"/>
      <c r="G7" s="3538" t="s">
        <v>3004</v>
      </c>
      <c r="H7" s="3539"/>
      <c r="I7" s="3205" t="s">
        <v>3004</v>
      </c>
      <c r="J7" s="3530" t="s">
        <v>3007</v>
      </c>
    </row>
    <row r="8" spans="1:10" ht="24">
      <c r="A8" s="3533"/>
      <c r="B8" s="3535"/>
      <c r="C8" s="3187" t="s">
        <v>3000</v>
      </c>
      <c r="D8" s="3187" t="s">
        <v>3001</v>
      </c>
      <c r="E8" s="3188" t="s">
        <v>3000</v>
      </c>
      <c r="F8" s="3188" t="s">
        <v>3001</v>
      </c>
      <c r="G8" s="3196" t="s">
        <v>3005</v>
      </c>
      <c r="H8" s="3196" t="s">
        <v>3006</v>
      </c>
      <c r="I8" s="3205" t="s">
        <v>3006</v>
      </c>
      <c r="J8" s="3531"/>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2438">
        <v>15</v>
      </c>
      <c r="D11" s="749" t="s">
        <v>3060</v>
      </c>
      <c r="E11" s="3198"/>
      <c r="F11" s="3194" t="s">
        <v>3061</v>
      </c>
      <c r="G11" s="751"/>
      <c r="H11" s="751"/>
      <c r="I11" s="3204">
        <f>ROUND(C11*10000/666.67,0)</f>
        <v>225</v>
      </c>
      <c r="J11" s="3193" t="s">
        <v>3138</v>
      </c>
    </row>
    <row r="12" spans="1:10" ht="24.75">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v>39.200000000000003</v>
      </c>
      <c r="J14" s="3193" t="s">
        <v>3141</v>
      </c>
    </row>
    <row r="15" spans="1:10" ht="60">
      <c r="A15" s="2434" t="s">
        <v>2440</v>
      </c>
      <c r="B15" s="3190" t="s">
        <v>3038</v>
      </c>
      <c r="C15" s="3221">
        <v>39.200000000000003</v>
      </c>
      <c r="D15" s="749" t="s">
        <v>3080</v>
      </c>
      <c r="E15" s="3213"/>
      <c r="F15" s="3199" t="s">
        <v>3061</v>
      </c>
      <c r="G15" s="751"/>
      <c r="H15" s="751"/>
      <c r="I15" s="3204">
        <v>39.200000000000003</v>
      </c>
      <c r="J15" s="3209" t="s">
        <v>3142</v>
      </c>
    </row>
    <row r="16" spans="1:10">
      <c r="A16" s="2434" t="s">
        <v>3043</v>
      </c>
      <c r="B16" s="3192" t="s">
        <v>3042</v>
      </c>
      <c r="C16" s="749" t="s">
        <v>3058</v>
      </c>
      <c r="D16" s="749" t="s">
        <v>3058</v>
      </c>
      <c r="E16" s="749" t="s">
        <v>3058</v>
      </c>
      <c r="F16" s="3191" t="s">
        <v>3058</v>
      </c>
      <c r="G16" s="751"/>
      <c r="H16" s="751"/>
      <c r="I16" s="3204">
        <v>100</v>
      </c>
      <c r="J16" s="3209" t="s">
        <v>3143</v>
      </c>
    </row>
    <row r="17" spans="1:10" ht="24.75">
      <c r="A17" s="2434" t="s">
        <v>3044</v>
      </c>
      <c r="B17" s="3192" t="s">
        <v>3045</v>
      </c>
      <c r="C17" s="3200">
        <v>4.3499999999999997E-2</v>
      </c>
      <c r="D17" s="749" t="s">
        <v>3058</v>
      </c>
      <c r="E17" s="2438">
        <v>1</v>
      </c>
      <c r="F17" s="3195" t="s">
        <v>3106</v>
      </c>
      <c r="G17" s="751"/>
      <c r="H17" s="751"/>
      <c r="I17" s="3203">
        <f>ROUND((I9+I14)*E17*C17+I16*(E17/2)*C17,2)</f>
        <v>30.07</v>
      </c>
      <c r="J17" s="3193" t="s">
        <v>3144</v>
      </c>
    </row>
    <row r="18" spans="1:10">
      <c r="A18" s="2434" t="s">
        <v>3046</v>
      </c>
      <c r="B18" s="3192" t="s">
        <v>3047</v>
      </c>
      <c r="C18" s="3200">
        <v>0.15</v>
      </c>
      <c r="D18" s="749" t="s">
        <v>3058</v>
      </c>
      <c r="E18" s="749" t="s">
        <v>3058</v>
      </c>
      <c r="F18" s="3191" t="s">
        <v>3058</v>
      </c>
      <c r="G18" s="751"/>
      <c r="H18" s="751"/>
      <c r="I18" s="3204">
        <f>ROUND((I9+I14+I16)*C18,2)</f>
        <v>111.18</v>
      </c>
      <c r="J18" s="3193" t="s">
        <v>3146</v>
      </c>
    </row>
    <row r="19" spans="1:10">
      <c r="A19" s="2434" t="s">
        <v>3048</v>
      </c>
      <c r="B19" s="3192" t="s">
        <v>3049</v>
      </c>
      <c r="C19" s="749" t="s">
        <v>3058</v>
      </c>
      <c r="D19" s="749" t="s">
        <v>3058</v>
      </c>
      <c r="E19" s="749" t="s">
        <v>3058</v>
      </c>
      <c r="F19" s="3191" t="s">
        <v>3058</v>
      </c>
      <c r="G19" s="751"/>
      <c r="H19" s="751"/>
      <c r="I19" s="3204">
        <f>ROUND(I9+I14+I16+I17+I18,2)</f>
        <v>882.45</v>
      </c>
      <c r="J19" s="3193" t="s">
        <v>3147</v>
      </c>
    </row>
    <row r="20" spans="1:10" ht="36.75">
      <c r="A20" s="2434" t="s">
        <v>3050</v>
      </c>
      <c r="B20" s="3192" t="s">
        <v>3051</v>
      </c>
      <c r="C20" s="3200">
        <v>0.4</v>
      </c>
      <c r="D20" s="749" t="s">
        <v>3058</v>
      </c>
      <c r="E20" s="749" t="s">
        <v>3058</v>
      </c>
      <c r="F20" s="3191" t="s">
        <v>3058</v>
      </c>
      <c r="G20" s="751"/>
      <c r="H20" s="751"/>
      <c r="I20" s="3204">
        <f>ROUND(I19*C20,2)</f>
        <v>352.98</v>
      </c>
      <c r="J20" s="3193" t="s">
        <v>3148</v>
      </c>
    </row>
    <row r="21" spans="1:10">
      <c r="A21" s="2434" t="s">
        <v>3052</v>
      </c>
      <c r="B21" s="3192" t="s">
        <v>3053</v>
      </c>
      <c r="C21" s="3219">
        <f>ROUND(0.9457*C25,4)</f>
        <v>0.75280000000000002</v>
      </c>
      <c r="D21" s="749" t="s">
        <v>3058</v>
      </c>
      <c r="E21" s="749" t="s">
        <v>3058</v>
      </c>
      <c r="F21" s="3191" t="s">
        <v>3058</v>
      </c>
      <c r="G21" s="3191"/>
      <c r="H21" s="3191"/>
      <c r="I21" s="3206" t="s">
        <v>3058</v>
      </c>
      <c r="J21" s="3193" t="s">
        <v>3111</v>
      </c>
    </row>
    <row r="22" spans="1:10">
      <c r="A22" s="2434" t="s">
        <v>3054</v>
      </c>
      <c r="B22" s="3192" t="s">
        <v>3055</v>
      </c>
      <c r="C22" s="3220">
        <v>1.0049999999999999</v>
      </c>
      <c r="D22" s="749" t="s">
        <v>3058</v>
      </c>
      <c r="E22" s="749" t="s">
        <v>3058</v>
      </c>
      <c r="F22" s="749" t="s">
        <v>3058</v>
      </c>
      <c r="G22" s="749"/>
      <c r="H22" s="749"/>
      <c r="I22" s="3207" t="s">
        <v>3058</v>
      </c>
      <c r="J22" s="3193" t="s">
        <v>3149</v>
      </c>
    </row>
    <row r="23" spans="1:10">
      <c r="A23" s="2434" t="s">
        <v>3056</v>
      </c>
      <c r="B23" s="3192" t="s">
        <v>3057</v>
      </c>
      <c r="C23" s="749" t="s">
        <v>3058</v>
      </c>
      <c r="D23" s="749" t="s">
        <v>3058</v>
      </c>
      <c r="E23" s="749" t="s">
        <v>3058</v>
      </c>
      <c r="F23" s="749" t="s">
        <v>3058</v>
      </c>
      <c r="G23" s="751"/>
      <c r="H23" s="751"/>
      <c r="I23" s="3204">
        <f>ROUND((I19+I20)*C21*C22,0)</f>
        <v>935</v>
      </c>
      <c r="J23" s="3193" t="s">
        <v>3150</v>
      </c>
    </row>
    <row r="25" spans="1:10">
      <c r="A25" s="3224"/>
      <c r="B25" s="3225" t="s">
        <v>3133</v>
      </c>
      <c r="C25" s="3224">
        <f>ROUND((1-1/(1+B26)^B29)/(1-1/(1+B26)^B30),3)</f>
        <v>0.79600000000000004</v>
      </c>
    </row>
    <row r="26" spans="1:10">
      <c r="A26" s="3226" t="s">
        <v>3157</v>
      </c>
      <c r="B26" s="3227">
        <v>0.06</v>
      </c>
      <c r="C26" s="3224"/>
    </row>
    <row r="27" spans="1:10">
      <c r="A27" s="3228" t="s">
        <v>3153</v>
      </c>
      <c r="B27" s="3229">
        <f>项目基本情况!D3</f>
        <v>44435</v>
      </c>
      <c r="C27" s="3224"/>
    </row>
    <row r="28" spans="1:10">
      <c r="A28" s="3228" t="s">
        <v>3154</v>
      </c>
      <c r="B28" s="3229">
        <v>53194</v>
      </c>
      <c r="C28" s="3224"/>
    </row>
    <row r="29" spans="1:10">
      <c r="A29" s="3228" t="s">
        <v>3156</v>
      </c>
      <c r="B29" s="3232">
        <f>ROUND((B28-B27)/365,2)</f>
        <v>24</v>
      </c>
      <c r="C29" s="3224"/>
    </row>
    <row r="30" spans="1:10">
      <c r="A30" s="3228" t="s">
        <v>3155</v>
      </c>
      <c r="B30" s="3224">
        <v>50</v>
      </c>
      <c r="C30" s="3224"/>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workbookViewId="0">
      <selection activeCell="J15" sqref="J15"/>
    </sheetView>
  </sheetViews>
  <sheetFormatPr defaultRowHeight="13.5"/>
  <cols>
    <col min="1" max="1" width="8.5" customWidth="1"/>
    <col min="2" max="2" width="28" customWidth="1"/>
    <col min="4" max="4" width="10.75" customWidth="1"/>
    <col min="7" max="8" width="10.5" customWidth="1"/>
    <col min="9" max="9" width="10.125" customWidth="1"/>
    <col min="10" max="10" width="72.625" customWidth="1"/>
  </cols>
  <sheetData>
    <row r="1" spans="1:10" ht="20.25">
      <c r="A1" s="3184" t="s">
        <v>2998</v>
      </c>
      <c r="B1" s="742"/>
      <c r="C1" s="2168"/>
      <c r="D1" s="2168"/>
      <c r="E1" s="2168"/>
      <c r="F1" s="2168"/>
      <c r="G1" s="2094">
        <v>15557.09</v>
      </c>
      <c r="H1" s="2094"/>
    </row>
    <row r="2" spans="1:10" ht="15.75">
      <c r="A2" s="423" t="s">
        <v>467</v>
      </c>
      <c r="B2" s="425">
        <f>G41</f>
        <v>8656</v>
      </c>
      <c r="C2" s="2094"/>
      <c r="D2" s="2094"/>
      <c r="E2" s="2094"/>
      <c r="F2" s="2094"/>
      <c r="G2" s="2094">
        <v>2900</v>
      </c>
      <c r="H2" s="2094"/>
    </row>
    <row r="3" spans="1:10" ht="15.75">
      <c r="A3" s="1376" t="s">
        <v>1684</v>
      </c>
      <c r="B3" s="425">
        <f>I41</f>
        <v>1164</v>
      </c>
      <c r="C3" s="2094"/>
      <c r="D3" s="2094"/>
      <c r="E3" s="2094"/>
      <c r="F3" s="2094"/>
      <c r="G3" s="2094">
        <v>2427</v>
      </c>
      <c r="H3" s="2094"/>
    </row>
    <row r="4" spans="1:10" ht="27">
      <c r="A4" s="3197" t="s">
        <v>468</v>
      </c>
      <c r="B4" s="427">
        <f>ROUND(B2*10000/'数据-汇总表'!D3,0)</f>
        <v>5564</v>
      </c>
      <c r="C4" s="2047"/>
      <c r="D4" s="2094"/>
      <c r="E4" s="2094"/>
      <c r="F4" s="2094"/>
      <c r="G4" s="2094">
        <v>539.77</v>
      </c>
      <c r="H4" s="2094"/>
    </row>
    <row r="5" spans="1:10" ht="15.75">
      <c r="A5" s="429"/>
      <c r="B5" s="430">
        <f>ROUND(B2/('数据-汇总表'!D3/666.67),0)</f>
        <v>371</v>
      </c>
      <c r="C5" s="431" t="s">
        <v>469</v>
      </c>
      <c r="D5" s="2094"/>
      <c r="E5" s="2094"/>
      <c r="F5" s="2094"/>
      <c r="G5" s="2094">
        <f>SUM(G1:G4)</f>
        <v>21423.86</v>
      </c>
      <c r="H5" s="2094"/>
    </row>
    <row r="6" spans="1:10" ht="16.5" thickBot="1">
      <c r="A6" s="429"/>
      <c r="B6" s="3185"/>
      <c r="C6" s="3186"/>
      <c r="D6" s="2094"/>
      <c r="E6" s="2094"/>
      <c r="F6" s="2094"/>
      <c r="G6" s="2094"/>
      <c r="H6" s="2094"/>
    </row>
    <row r="7" spans="1:10">
      <c r="A7" s="3532" t="s">
        <v>2999</v>
      </c>
      <c r="B7" s="3534" t="s">
        <v>604</v>
      </c>
      <c r="C7" s="3536" t="s">
        <v>3002</v>
      </c>
      <c r="D7" s="3537"/>
      <c r="E7" s="3538" t="s">
        <v>3003</v>
      </c>
      <c r="F7" s="3539"/>
      <c r="G7" s="3538" t="s">
        <v>3004</v>
      </c>
      <c r="H7" s="3540"/>
      <c r="I7" s="3539"/>
      <c r="J7" s="3530" t="s">
        <v>3007</v>
      </c>
    </row>
    <row r="8" spans="1:10" ht="24">
      <c r="A8" s="3533"/>
      <c r="B8" s="3535"/>
      <c r="C8" s="3187" t="s">
        <v>3000</v>
      </c>
      <c r="D8" s="3187" t="s">
        <v>3001</v>
      </c>
      <c r="E8" s="3188" t="s">
        <v>3000</v>
      </c>
      <c r="F8" s="3188" t="s">
        <v>3001</v>
      </c>
      <c r="G8" s="3196" t="s">
        <v>3005</v>
      </c>
      <c r="H8" s="3196" t="s">
        <v>3116</v>
      </c>
      <c r="I8" s="3205" t="s">
        <v>3006</v>
      </c>
      <c r="J8" s="3531"/>
    </row>
    <row r="9" spans="1:10" ht="20.25" customHeight="1">
      <c r="A9" s="2434">
        <v>1</v>
      </c>
      <c r="B9" s="3192" t="s">
        <v>3036</v>
      </c>
      <c r="C9" s="749" t="s">
        <v>3058</v>
      </c>
      <c r="D9" s="749" t="s">
        <v>3058</v>
      </c>
      <c r="E9" s="750" t="s">
        <v>3058</v>
      </c>
      <c r="F9" s="750" t="s">
        <v>3058</v>
      </c>
      <c r="G9" s="3208">
        <f>G10+G13+G17+G25</f>
        <v>6931.5400000000009</v>
      </c>
      <c r="H9" s="3202">
        <f>H10+H13+H17+H25</f>
        <v>4455.54</v>
      </c>
      <c r="I9" s="3204">
        <f>I10+I13+I17+I25</f>
        <v>700.83</v>
      </c>
      <c r="J9" s="3189" t="s">
        <v>3008</v>
      </c>
    </row>
    <row r="10" spans="1:10" ht="19.5" customHeight="1">
      <c r="A10" s="2434" t="s">
        <v>2440</v>
      </c>
      <c r="B10" s="3190" t="s">
        <v>3009</v>
      </c>
      <c r="C10" s="749" t="s">
        <v>3058</v>
      </c>
      <c r="D10" s="749" t="s">
        <v>3058</v>
      </c>
      <c r="E10" s="750" t="s">
        <v>3058</v>
      </c>
      <c r="F10" s="750" t="s">
        <v>3058</v>
      </c>
      <c r="G10" s="751">
        <f>G11+G12</f>
        <v>350.09999999999997</v>
      </c>
      <c r="H10" s="751">
        <f>H11+H12</f>
        <v>225.04</v>
      </c>
      <c r="I10" s="3204">
        <f>I11+I12</f>
        <v>225</v>
      </c>
      <c r="J10" s="3193" t="s">
        <v>3059</v>
      </c>
    </row>
    <row r="11" spans="1:10" ht="42" customHeight="1">
      <c r="A11" s="2441" t="s">
        <v>3010</v>
      </c>
      <c r="B11" s="3190" t="s">
        <v>3012</v>
      </c>
      <c r="C11" s="2438">
        <v>12</v>
      </c>
      <c r="D11" s="749" t="s">
        <v>3060</v>
      </c>
      <c r="E11" s="3198">
        <f>ROUND('数据-汇总表'!D3/666.67,2)</f>
        <v>23.34</v>
      </c>
      <c r="F11" s="3194" t="s">
        <v>3061</v>
      </c>
      <c r="G11" s="751">
        <f>C11*E11</f>
        <v>280.08</v>
      </c>
      <c r="H11" s="751">
        <f>ROUND(G11/'数据-汇总表'!D3*10000,2)</f>
        <v>180.03</v>
      </c>
      <c r="I11" s="3204">
        <f>ROUND(C11*10000/666.67,0)</f>
        <v>180</v>
      </c>
      <c r="J11" s="3193" t="s">
        <v>3062</v>
      </c>
    </row>
    <row r="12" spans="1:10" ht="39.75" customHeight="1">
      <c r="A12" s="2441" t="s">
        <v>3011</v>
      </c>
      <c r="B12" s="3190" t="s">
        <v>3013</v>
      </c>
      <c r="C12" s="2438">
        <v>3</v>
      </c>
      <c r="D12" s="749" t="s">
        <v>3060</v>
      </c>
      <c r="E12" s="3198">
        <f>ROUND('数据-汇总表'!D3/666.67,2)</f>
        <v>23.34</v>
      </c>
      <c r="F12" s="3194" t="s">
        <v>3061</v>
      </c>
      <c r="G12" s="751">
        <f>C12*E12</f>
        <v>70.02</v>
      </c>
      <c r="H12" s="751">
        <f>ROUND(G12/'数据-汇总表'!D3*10000,2)</f>
        <v>45.01</v>
      </c>
      <c r="I12" s="3204">
        <f>ROUND(C12*10000/666.67,0)</f>
        <v>45</v>
      </c>
      <c r="J12" s="3193" t="s">
        <v>3063</v>
      </c>
    </row>
    <row r="13" spans="1:10" ht="19.5" customHeight="1">
      <c r="A13" s="2434" t="s">
        <v>2441</v>
      </c>
      <c r="B13" s="3190" t="s">
        <v>3014</v>
      </c>
      <c r="C13" s="749" t="s">
        <v>3058</v>
      </c>
      <c r="D13" s="749" t="s">
        <v>3058</v>
      </c>
      <c r="E13" s="749" t="s">
        <v>3058</v>
      </c>
      <c r="F13" s="750" t="s">
        <v>3058</v>
      </c>
      <c r="G13" s="751">
        <f>G14+G15+G16</f>
        <v>0</v>
      </c>
      <c r="H13" s="751">
        <f>H14+H15+H16</f>
        <v>0</v>
      </c>
      <c r="I13" s="3204">
        <f>I14+I15+I16</f>
        <v>3.63</v>
      </c>
      <c r="J13" s="3193" t="s">
        <v>3067</v>
      </c>
    </row>
    <row r="14" spans="1:10" ht="41.25" customHeight="1">
      <c r="A14" s="2441" t="s">
        <v>3064</v>
      </c>
      <c r="B14" s="3190" t="s">
        <v>3016</v>
      </c>
      <c r="C14" s="2438">
        <v>1500</v>
      </c>
      <c r="D14" s="749" t="s">
        <v>3068</v>
      </c>
      <c r="E14" s="3198">
        <v>0</v>
      </c>
      <c r="F14" s="3195" t="s">
        <v>3061</v>
      </c>
      <c r="G14" s="751">
        <f>C14*E14/10000</f>
        <v>0</v>
      </c>
      <c r="H14" s="751">
        <f>ROUND(G14*10000/'数据-汇总表'!D3,2)</f>
        <v>0</v>
      </c>
      <c r="I14" s="3204">
        <f>ROUND(C14/666.67*69.5%,2)</f>
        <v>1.56</v>
      </c>
      <c r="J14" s="3193" t="s">
        <v>3069</v>
      </c>
    </row>
    <row r="15" spans="1:10" ht="42.75" customHeight="1">
      <c r="A15" s="2441" t="s">
        <v>3065</v>
      </c>
      <c r="B15" s="3190" t="s">
        <v>3017</v>
      </c>
      <c r="C15" s="2438">
        <v>3000</v>
      </c>
      <c r="D15" s="749" t="s">
        <v>3070</v>
      </c>
      <c r="E15" s="2438">
        <v>0</v>
      </c>
      <c r="F15" s="3195" t="s">
        <v>3071</v>
      </c>
      <c r="G15" s="751">
        <f>C15*E15/10000</f>
        <v>0</v>
      </c>
      <c r="H15" s="751">
        <f>ROUND(G15*10000/'数据-汇总表'!D3,2)</f>
        <v>0</v>
      </c>
      <c r="I15" s="3204">
        <f>ROUND(3000/(2536623.77/515916*666.67),2)</f>
        <v>0.92</v>
      </c>
      <c r="J15" s="3193" t="s">
        <v>3072</v>
      </c>
    </row>
    <row r="16" spans="1:10" ht="41.25" customHeight="1">
      <c r="A16" s="2441" t="s">
        <v>3066</v>
      </c>
      <c r="B16" s="3190" t="s">
        <v>3018</v>
      </c>
      <c r="C16" s="2438">
        <v>1100</v>
      </c>
      <c r="D16" s="749" t="s">
        <v>3068</v>
      </c>
      <c r="E16" s="3198">
        <v>0</v>
      </c>
      <c r="F16" s="3195" t="s">
        <v>3074</v>
      </c>
      <c r="G16" s="751">
        <f>C16*E16/10000</f>
        <v>0</v>
      </c>
      <c r="H16" s="751">
        <f>ROUND(G16*10000/'数据-汇总表'!D3,2)</f>
        <v>0</v>
      </c>
      <c r="I16" s="3204">
        <f>ROUND(C16*69.5%/666.67,2)</f>
        <v>1.1499999999999999</v>
      </c>
      <c r="J16" s="3193" t="s">
        <v>3073</v>
      </c>
    </row>
    <row r="17" spans="1:10" ht="18.75" customHeight="1">
      <c r="A17" s="2441" t="s">
        <v>3019</v>
      </c>
      <c r="B17" s="3190" t="s">
        <v>3020</v>
      </c>
      <c r="C17" s="749" t="s">
        <v>3058</v>
      </c>
      <c r="D17" s="749" t="s">
        <v>3058</v>
      </c>
      <c r="E17" s="749" t="s">
        <v>3058</v>
      </c>
      <c r="F17" s="3191" t="s">
        <v>3058</v>
      </c>
      <c r="G17" s="751">
        <f>G18+G19+G20+G21+G22+G23+G24</f>
        <v>6581.4400000000005</v>
      </c>
      <c r="H17" s="751">
        <f>H18+H19+H20+H21+H22+H23+H24</f>
        <v>4230.5</v>
      </c>
      <c r="I17" s="3204">
        <f>I18+I19+I20+I21+I22+I23+I24</f>
        <v>417.11999999999995</v>
      </c>
      <c r="J17" s="3193" t="s">
        <v>3079</v>
      </c>
    </row>
    <row r="18" spans="1:10" ht="37.5">
      <c r="A18" s="2441" t="s">
        <v>3021</v>
      </c>
      <c r="B18" s="3190" t="s">
        <v>3023</v>
      </c>
      <c r="C18" s="2438">
        <v>2000</v>
      </c>
      <c r="D18" s="749" t="s">
        <v>3080</v>
      </c>
      <c r="E18" s="2438">
        <f>'数据-汇总表'!E3</f>
        <v>10288.000000000002</v>
      </c>
      <c r="F18" s="3195" t="s">
        <v>3081</v>
      </c>
      <c r="G18" s="751">
        <f>C18*E18/10000</f>
        <v>2057.6000000000004</v>
      </c>
      <c r="H18" s="751">
        <f>ROUND(G18*10000/'数据-汇总表'!D3,2)</f>
        <v>1322.61</v>
      </c>
      <c r="I18" s="3204">
        <f>ROUND(C18*83289528.5/(2536623.77*666.67),2)</f>
        <v>98.5</v>
      </c>
      <c r="J18" s="3193" t="s">
        <v>3082</v>
      </c>
    </row>
    <row r="19" spans="1:10" ht="30" customHeight="1">
      <c r="A19" s="2441" t="s">
        <v>3022</v>
      </c>
      <c r="B19" s="3190" t="s">
        <v>3024</v>
      </c>
      <c r="C19" s="2438">
        <v>5</v>
      </c>
      <c r="D19" s="749" t="s">
        <v>3083</v>
      </c>
      <c r="E19" s="2438">
        <v>4</v>
      </c>
      <c r="F19" s="3195" t="s">
        <v>3084</v>
      </c>
      <c r="G19" s="751">
        <f>C19*E19</f>
        <v>20</v>
      </c>
      <c r="H19" s="751">
        <f>ROUND(G19*10000/'数据-汇总表'!D3,2)</f>
        <v>12.86</v>
      </c>
      <c r="I19" s="3204">
        <f>ROUND(C19*10000*403843/(2536623.77*666.67),2)</f>
        <v>11.94</v>
      </c>
      <c r="J19" s="3193" t="s">
        <v>3085</v>
      </c>
    </row>
    <row r="20" spans="1:10" ht="30" customHeight="1">
      <c r="A20" s="2441" t="s">
        <v>3015</v>
      </c>
      <c r="B20" s="3190" t="s">
        <v>3025</v>
      </c>
      <c r="C20" s="2438">
        <v>20</v>
      </c>
      <c r="D20" s="749" t="s">
        <v>3083</v>
      </c>
      <c r="E20" s="2438">
        <v>4</v>
      </c>
      <c r="F20" s="3195" t="s">
        <v>3084</v>
      </c>
      <c r="G20" s="751">
        <f>C20*E20</f>
        <v>80</v>
      </c>
      <c r="H20" s="751">
        <f>ROUND(G20*10000/'数据-汇总表'!D3,2)</f>
        <v>51.42</v>
      </c>
      <c r="I20" s="3204">
        <f>ROUND(C20*10000*403843/(2536623.77*666.67),2)</f>
        <v>47.76</v>
      </c>
      <c r="J20" s="3193" t="s">
        <v>3086</v>
      </c>
    </row>
    <row r="21" spans="1:10" ht="49.5">
      <c r="A21" s="2441" t="s">
        <v>3075</v>
      </c>
      <c r="B21" s="3190" t="s">
        <v>3026</v>
      </c>
      <c r="C21" s="2438">
        <v>400</v>
      </c>
      <c r="D21" s="749" t="s">
        <v>3087</v>
      </c>
      <c r="E21" s="2438">
        <v>0</v>
      </c>
      <c r="F21" s="3195" t="s">
        <v>3081</v>
      </c>
      <c r="G21" s="751">
        <f>C21*E21/10000</f>
        <v>0</v>
      </c>
      <c r="H21" s="751">
        <f>ROUND(G21*10000/'数据-汇总表'!D3,2)</f>
        <v>0</v>
      </c>
      <c r="I21" s="3204">
        <f>ROUND(C21*9211198.07/(2536623.77*666.67),2)</f>
        <v>2.1800000000000002</v>
      </c>
      <c r="J21" s="3193" t="s">
        <v>3088</v>
      </c>
    </row>
    <row r="22" spans="1:10" ht="67.5" customHeight="1">
      <c r="A22" s="2441" t="s">
        <v>3076</v>
      </c>
      <c r="B22" s="3190" t="s">
        <v>3027</v>
      </c>
      <c r="C22" s="2438">
        <v>35</v>
      </c>
      <c r="D22" s="749" t="s">
        <v>3089</v>
      </c>
      <c r="E22" s="2438"/>
      <c r="F22" s="3195" t="s">
        <v>3090</v>
      </c>
      <c r="G22" s="751">
        <f>C22*E22/10000</f>
        <v>0</v>
      </c>
      <c r="H22" s="751">
        <f>ROUND(G22*10000/'数据-汇总表'!D3,2)</f>
        <v>0</v>
      </c>
      <c r="I22" s="3204">
        <f>ROUND(C22*10000*1150000/(2536623.77*666.67),2)</f>
        <v>238.01</v>
      </c>
      <c r="J22" s="3193" t="s">
        <v>3091</v>
      </c>
    </row>
    <row r="23" spans="1:10" ht="37.5">
      <c r="A23" s="2441" t="s">
        <v>3077</v>
      </c>
      <c r="B23" s="3190" t="s">
        <v>3028</v>
      </c>
      <c r="C23" s="2438">
        <v>2000</v>
      </c>
      <c r="D23" s="749" t="s">
        <v>3087</v>
      </c>
      <c r="E23" s="2438">
        <f>'数据-汇总表'!E3</f>
        <v>10288.000000000002</v>
      </c>
      <c r="F23" s="3195" t="s">
        <v>3092</v>
      </c>
      <c r="G23" s="751">
        <f>C23*E23/10000</f>
        <v>2057.6000000000004</v>
      </c>
      <c r="H23" s="751">
        <f>ROUND(G23*10000/'数据-汇总表'!D3,2)</f>
        <v>1322.61</v>
      </c>
      <c r="I23" s="3204">
        <f>ROUND(C23*2988085.53/(2536623.77*666.67),2)</f>
        <v>3.53</v>
      </c>
      <c r="J23" s="3193" t="s">
        <v>3093</v>
      </c>
    </row>
    <row r="24" spans="1:10" ht="42" customHeight="1">
      <c r="A24" s="2441" t="s">
        <v>3078</v>
      </c>
      <c r="B24" s="3190" t="s">
        <v>3029</v>
      </c>
      <c r="C24" s="2438">
        <v>2300</v>
      </c>
      <c r="D24" s="749" t="s">
        <v>3087</v>
      </c>
      <c r="E24" s="2438">
        <f>'数据-汇总表'!E3</f>
        <v>10288.000000000002</v>
      </c>
      <c r="F24" s="3195" t="s">
        <v>3092</v>
      </c>
      <c r="G24" s="751">
        <f>C24*E24/10000</f>
        <v>2366.2400000000002</v>
      </c>
      <c r="H24" s="751">
        <f>ROUND(G24*10000/'数据-汇总表'!D3,2)</f>
        <v>1521</v>
      </c>
      <c r="I24" s="3204">
        <f>ROUND(C24*11173027.83/(2536623.77*666.67),2)</f>
        <v>15.2</v>
      </c>
      <c r="J24" s="3193" t="s">
        <v>3094</v>
      </c>
    </row>
    <row r="25" spans="1:10">
      <c r="A25" s="2441" t="s">
        <v>3030</v>
      </c>
      <c r="B25" s="3190" t="s">
        <v>3031</v>
      </c>
      <c r="C25" s="749" t="s">
        <v>3058</v>
      </c>
      <c r="D25" s="749" t="s">
        <v>3058</v>
      </c>
      <c r="E25" s="749" t="s">
        <v>3058</v>
      </c>
      <c r="F25" s="3191" t="s">
        <v>3058</v>
      </c>
      <c r="G25" s="751">
        <f>G26+G27+G28</f>
        <v>0</v>
      </c>
      <c r="H25" s="751">
        <f>H26+H27+H28</f>
        <v>0</v>
      </c>
      <c r="I25" s="3204">
        <f>I26+I27+I28</f>
        <v>55.080000000000005</v>
      </c>
      <c r="J25" s="3193" t="s">
        <v>3095</v>
      </c>
    </row>
    <row r="26" spans="1:10" ht="62.25">
      <c r="A26" s="2441" t="s">
        <v>3021</v>
      </c>
      <c r="B26" s="3190" t="s">
        <v>3032</v>
      </c>
      <c r="C26" s="3198">
        <v>4.8</v>
      </c>
      <c r="D26" s="749" t="s">
        <v>3089</v>
      </c>
      <c r="E26" s="2438"/>
      <c r="F26" s="3195" t="s">
        <v>3090</v>
      </c>
      <c r="G26" s="751">
        <f>C26*E26/10000</f>
        <v>0</v>
      </c>
      <c r="H26" s="751">
        <f>ROUND(G26*10000/'数据-汇总表'!D3,2)</f>
        <v>0</v>
      </c>
      <c r="I26" s="3204">
        <f>ROUND(C26*10000*1150000/(2536623.77*666.67),2)</f>
        <v>32.64</v>
      </c>
      <c r="J26" s="3193" t="s">
        <v>3096</v>
      </c>
    </row>
    <row r="27" spans="1:10" ht="50.25">
      <c r="A27" s="2441" t="s">
        <v>3022</v>
      </c>
      <c r="B27" s="3190" t="s">
        <v>3033</v>
      </c>
      <c r="C27" s="3198">
        <v>1.6</v>
      </c>
      <c r="D27" s="749" t="s">
        <v>3089</v>
      </c>
      <c r="E27" s="2438"/>
      <c r="F27" s="3195" t="s">
        <v>3090</v>
      </c>
      <c r="G27" s="751">
        <f>C27*E27/10000</f>
        <v>0</v>
      </c>
      <c r="H27" s="751">
        <f>ROUND(G27*10000/'数据-汇总表'!D3,2)</f>
        <v>0</v>
      </c>
      <c r="I27" s="3204">
        <f>ROUND(C27*10000*1150000/(2536623.77*666.67),2)</f>
        <v>10.88</v>
      </c>
      <c r="J27" s="3193" t="s">
        <v>3097</v>
      </c>
    </row>
    <row r="28" spans="1:10" ht="66.75" customHeight="1">
      <c r="A28" s="2441" t="s">
        <v>3015</v>
      </c>
      <c r="B28" s="3190" t="s">
        <v>3034</v>
      </c>
      <c r="C28" s="3198">
        <v>1.7</v>
      </c>
      <c r="D28" s="749" t="s">
        <v>3089</v>
      </c>
      <c r="E28" s="2438"/>
      <c r="F28" s="3195" t="s">
        <v>3090</v>
      </c>
      <c r="G28" s="751">
        <f>C28*E28/10000</f>
        <v>0</v>
      </c>
      <c r="H28" s="751">
        <f>ROUND(G28*10000/'数据-汇总表'!D3,2)</f>
        <v>0</v>
      </c>
      <c r="I28" s="3204">
        <f>ROUND(C28*10000*1150000/(2536623.77*666.67),2)</f>
        <v>11.56</v>
      </c>
      <c r="J28" s="3193" t="s">
        <v>3098</v>
      </c>
    </row>
    <row r="29" spans="1:10" ht="20.25" customHeight="1">
      <c r="A29" s="2434" t="s">
        <v>3035</v>
      </c>
      <c r="B29" s="3192" t="s">
        <v>3037</v>
      </c>
      <c r="C29" s="749" t="s">
        <v>3058</v>
      </c>
      <c r="D29" s="749" t="s">
        <v>3058</v>
      </c>
      <c r="E29" s="749" t="s">
        <v>3058</v>
      </c>
      <c r="F29" s="3191" t="s">
        <v>3058</v>
      </c>
      <c r="G29" s="751"/>
      <c r="H29" s="751"/>
      <c r="I29" s="3204">
        <f>I30+I31+I32+I33</f>
        <v>153.75</v>
      </c>
      <c r="J29" s="3193" t="s">
        <v>3099</v>
      </c>
    </row>
    <row r="30" spans="1:10" ht="38.25">
      <c r="A30" s="2434" t="s">
        <v>2440</v>
      </c>
      <c r="B30" s="3190" t="s">
        <v>3038</v>
      </c>
      <c r="C30" s="2438">
        <v>25</v>
      </c>
      <c r="D30" s="749" t="s">
        <v>3087</v>
      </c>
      <c r="E30" s="2438">
        <v>0</v>
      </c>
      <c r="F30" s="3199" t="s">
        <v>3061</v>
      </c>
      <c r="G30" s="751">
        <f>C30*E30/10000</f>
        <v>0</v>
      </c>
      <c r="H30" s="751">
        <f>ROUND(G30*10000/'数据-汇总表'!D3,2)</f>
        <v>0</v>
      </c>
      <c r="I30" s="3204">
        <f>ROUNDUP(C30*1762953.52/2536623.77,2)</f>
        <v>17.380000000000003</v>
      </c>
      <c r="J30" s="3193" t="s">
        <v>3100</v>
      </c>
    </row>
    <row r="31" spans="1:10" ht="51">
      <c r="A31" s="2434" t="s">
        <v>2441</v>
      </c>
      <c r="B31" s="3190" t="s">
        <v>3039</v>
      </c>
      <c r="C31" s="2438">
        <v>20</v>
      </c>
      <c r="D31" s="749" t="s">
        <v>3087</v>
      </c>
      <c r="E31" s="2438">
        <v>0</v>
      </c>
      <c r="F31" s="3199" t="s">
        <v>3061</v>
      </c>
      <c r="G31" s="751">
        <f>C31*E31/10000</f>
        <v>0</v>
      </c>
      <c r="H31" s="751">
        <f>ROUND(G31*10000/'数据-汇总表'!D3,2)</f>
        <v>0</v>
      </c>
      <c r="I31" s="3204">
        <f>ROUND(C31*61132.63/2536623.77,2)</f>
        <v>0.48</v>
      </c>
      <c r="J31" s="3193" t="s">
        <v>3101</v>
      </c>
    </row>
    <row r="32" spans="1:10" ht="62.25">
      <c r="A32" s="2441" t="s">
        <v>3019</v>
      </c>
      <c r="B32" s="3190" t="s">
        <v>3040</v>
      </c>
      <c r="C32" s="2438">
        <v>12</v>
      </c>
      <c r="D32" s="749" t="s">
        <v>3102</v>
      </c>
      <c r="E32" s="2438">
        <v>0</v>
      </c>
      <c r="F32" s="3199" t="s">
        <v>3061</v>
      </c>
      <c r="G32" s="751">
        <f>C32*E32/10000</f>
        <v>0</v>
      </c>
      <c r="H32" s="751">
        <f>ROUND(G32*10000/'数据-汇总表'!D3,2)</f>
        <v>0</v>
      </c>
      <c r="I32" s="3204">
        <f>ROUND(C32*10000*1762953.52/(2536623.77*666.67),2)</f>
        <v>125.1</v>
      </c>
      <c r="J32" s="3193" t="s">
        <v>3103</v>
      </c>
    </row>
    <row r="33" spans="1:10" ht="51">
      <c r="A33" s="2441" t="s">
        <v>3030</v>
      </c>
      <c r="B33" s="3190" t="s">
        <v>3041</v>
      </c>
      <c r="C33" s="2438">
        <v>15</v>
      </c>
      <c r="D33" s="749" t="s">
        <v>3087</v>
      </c>
      <c r="E33" s="2438"/>
      <c r="F33" s="3199" t="s">
        <v>3061</v>
      </c>
      <c r="G33" s="751">
        <f>C33*E33/10000</f>
        <v>0</v>
      </c>
      <c r="H33" s="751">
        <f>ROUND(G33*10000/'数据-汇总表'!D3,2)</f>
        <v>0</v>
      </c>
      <c r="I33" s="3204">
        <f>ROUND(C33*1824086.15/2536623.77,2)</f>
        <v>10.79</v>
      </c>
      <c r="J33" s="3193" t="s">
        <v>3104</v>
      </c>
    </row>
    <row r="34" spans="1:10" ht="27.75" customHeight="1">
      <c r="A34" s="2434" t="s">
        <v>3043</v>
      </c>
      <c r="B34" s="3192" t="s">
        <v>3042</v>
      </c>
      <c r="C34" s="749" t="s">
        <v>3058</v>
      </c>
      <c r="D34" s="749" t="s">
        <v>3058</v>
      </c>
      <c r="E34" s="749" t="s">
        <v>3058</v>
      </c>
      <c r="F34" s="3191" t="s">
        <v>3058</v>
      </c>
      <c r="G34" s="751">
        <f>ROUND(H34*'数据-汇总表'!D3/10000,2)</f>
        <v>155.57</v>
      </c>
      <c r="H34" s="751">
        <v>100</v>
      </c>
      <c r="I34" s="3204">
        <v>100</v>
      </c>
      <c r="J34" s="3193" t="s">
        <v>3105</v>
      </c>
    </row>
    <row r="35" spans="1:10" ht="42" customHeight="1">
      <c r="A35" s="2434" t="s">
        <v>3044</v>
      </c>
      <c r="B35" s="3192" t="s">
        <v>3045</v>
      </c>
      <c r="C35" s="3200">
        <v>4.3499999999999997E-2</v>
      </c>
      <c r="D35" s="749" t="s">
        <v>3058</v>
      </c>
      <c r="E35" s="2438">
        <v>1</v>
      </c>
      <c r="F35" s="3195" t="s">
        <v>3106</v>
      </c>
      <c r="G35" s="751">
        <f>ROUND((G9+G29)*E35*C35+G34*(E35/2)*C35,2)</f>
        <v>304.91000000000003</v>
      </c>
      <c r="H35" s="751">
        <f>ROUND((H9+H29)*E35*C35+H34*(E35/2)*C35,2)</f>
        <v>195.99</v>
      </c>
      <c r="I35" s="3203">
        <f>ROUND((I9+I29)*E35*C35+I34*(E35/2)*C35,2)</f>
        <v>39.35</v>
      </c>
      <c r="J35" s="3193" t="s">
        <v>3107</v>
      </c>
    </row>
    <row r="36" spans="1:10" ht="30.75" customHeight="1">
      <c r="A36" s="2434" t="s">
        <v>3046</v>
      </c>
      <c r="B36" s="3192" t="s">
        <v>3047</v>
      </c>
      <c r="C36" s="3200">
        <v>0.08</v>
      </c>
      <c r="D36" s="749" t="s">
        <v>3058</v>
      </c>
      <c r="E36" s="749" t="s">
        <v>3058</v>
      </c>
      <c r="F36" s="3191" t="s">
        <v>3058</v>
      </c>
      <c r="G36" s="751">
        <f>ROUND((G9+G29+G34)*8%,2)</f>
        <v>566.97</v>
      </c>
      <c r="H36" s="751">
        <f>ROUND((H9+H29+H34)*8%,2)</f>
        <v>364.44</v>
      </c>
      <c r="I36" s="3204">
        <f>ROUND((I9+I29+I34)*8%,2)</f>
        <v>76.37</v>
      </c>
      <c r="J36" s="3193" t="s">
        <v>3108</v>
      </c>
    </row>
    <row r="37" spans="1:10" ht="31.5" customHeight="1">
      <c r="A37" s="2434" t="s">
        <v>3048</v>
      </c>
      <c r="B37" s="3192" t="s">
        <v>3049</v>
      </c>
      <c r="C37" s="749" t="s">
        <v>3058</v>
      </c>
      <c r="D37" s="749" t="s">
        <v>3058</v>
      </c>
      <c r="E37" s="749" t="s">
        <v>3058</v>
      </c>
      <c r="F37" s="3191" t="s">
        <v>3058</v>
      </c>
      <c r="G37" s="751">
        <f>ROUND(G9+G29+G34+G35+G36,2)</f>
        <v>7958.99</v>
      </c>
      <c r="H37" s="751">
        <f>ROUND(H9+H29+H34+H35+H36,2)</f>
        <v>5115.97</v>
      </c>
      <c r="I37" s="3204">
        <f>ROUND(I9+I29+I34+I35+I36,2)</f>
        <v>1070.3</v>
      </c>
      <c r="J37" s="3193" t="s">
        <v>3110</v>
      </c>
    </row>
    <row r="38" spans="1:10" ht="42" customHeight="1">
      <c r="A38" s="2434" t="s">
        <v>3050</v>
      </c>
      <c r="B38" s="3192" t="s">
        <v>3051</v>
      </c>
      <c r="C38" s="3200">
        <v>0.15</v>
      </c>
      <c r="D38" s="749" t="s">
        <v>3058</v>
      </c>
      <c r="E38" s="749" t="s">
        <v>3058</v>
      </c>
      <c r="F38" s="3191" t="s">
        <v>3058</v>
      </c>
      <c r="G38" s="751">
        <f>ROUND(G37*C38,2)</f>
        <v>1193.8499999999999</v>
      </c>
      <c r="H38" s="751">
        <f>ROUND(H37*C38,2)</f>
        <v>767.4</v>
      </c>
      <c r="I38" s="3204">
        <f>ROUND(I37*C38,2)</f>
        <v>160.55000000000001</v>
      </c>
      <c r="J38" s="3193" t="s">
        <v>3109</v>
      </c>
    </row>
    <row r="39" spans="1:10" ht="20.25" customHeight="1">
      <c r="A39" s="2434" t="s">
        <v>3052</v>
      </c>
      <c r="B39" s="3192" t="s">
        <v>3053</v>
      </c>
      <c r="C39" s="3201">
        <v>0.94569999999999999</v>
      </c>
      <c r="D39" s="749" t="s">
        <v>3058</v>
      </c>
      <c r="E39" s="749" t="s">
        <v>3058</v>
      </c>
      <c r="F39" s="3191" t="s">
        <v>3058</v>
      </c>
      <c r="G39" s="3191" t="s">
        <v>3058</v>
      </c>
      <c r="H39" s="3191" t="s">
        <v>3117</v>
      </c>
      <c r="I39" s="3206" t="s">
        <v>3058</v>
      </c>
      <c r="J39" s="3193" t="s">
        <v>3111</v>
      </c>
    </row>
    <row r="40" spans="1:10" ht="20.25" customHeight="1">
      <c r="A40" s="2434" t="s">
        <v>3054</v>
      </c>
      <c r="B40" s="3192" t="s">
        <v>3055</v>
      </c>
      <c r="C40" s="2438">
        <v>1</v>
      </c>
      <c r="D40" s="749" t="s">
        <v>3058</v>
      </c>
      <c r="E40" s="749" t="s">
        <v>3058</v>
      </c>
      <c r="F40" s="749" t="s">
        <v>3058</v>
      </c>
      <c r="G40" s="749" t="s">
        <v>3058</v>
      </c>
      <c r="H40" s="749" t="s">
        <v>3117</v>
      </c>
      <c r="I40" s="3207" t="s">
        <v>3058</v>
      </c>
      <c r="J40" s="3193" t="s">
        <v>3112</v>
      </c>
    </row>
    <row r="41" spans="1:10" ht="32.25" customHeight="1">
      <c r="A41" s="2434" t="s">
        <v>3056</v>
      </c>
      <c r="B41" s="3192" t="s">
        <v>3057</v>
      </c>
      <c r="C41" s="749" t="s">
        <v>3058</v>
      </c>
      <c r="D41" s="749" t="s">
        <v>3058</v>
      </c>
      <c r="E41" s="749" t="s">
        <v>3058</v>
      </c>
      <c r="F41" s="749" t="s">
        <v>3058</v>
      </c>
      <c r="G41" s="751">
        <f>ROUND((G37+G38)*C39*C40,0)</f>
        <v>8656</v>
      </c>
      <c r="H41" s="751">
        <f>ROUND((H37+H38)*C39*C40,0)</f>
        <v>5564</v>
      </c>
      <c r="I41" s="3204">
        <f>ROUND((I37+I38)*C39*C40,0)</f>
        <v>1164</v>
      </c>
      <c r="J41" s="3193" t="s">
        <v>3113</v>
      </c>
    </row>
  </sheetData>
  <mergeCells count="6">
    <mergeCell ref="J7:J8"/>
    <mergeCell ref="A7:A8"/>
    <mergeCell ref="B7:B8"/>
    <mergeCell ref="C7:D7"/>
    <mergeCell ref="E7:F7"/>
    <mergeCell ref="G7:I7"/>
  </mergeCells>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8" t="s">
        <v>2038</v>
      </c>
      <c r="B1" s="3238"/>
      <c r="C1" s="3238"/>
      <c r="D1" s="3238"/>
      <c r="E1" s="3238"/>
      <c r="F1" s="3238"/>
      <c r="G1" s="3238"/>
      <c r="H1" s="3238"/>
      <c r="I1" s="3238"/>
      <c r="J1" s="3238"/>
      <c r="K1" s="3238"/>
      <c r="L1" s="3238"/>
      <c r="M1" s="3238"/>
      <c r="N1" s="3238"/>
      <c r="O1" s="3238"/>
      <c r="P1" s="3238"/>
      <c r="Q1" s="3238"/>
      <c r="R1" s="3238"/>
    </row>
    <row r="2" spans="1:18">
      <c r="A2" s="1793" t="s">
        <v>2040</v>
      </c>
      <c r="B2" s="1793"/>
      <c r="C2" s="1793"/>
      <c r="D2" s="1793"/>
      <c r="E2" s="1793"/>
      <c r="F2" s="1793"/>
      <c r="G2" s="1793"/>
      <c r="H2" s="1793"/>
      <c r="I2" s="1794"/>
      <c r="J2" s="1794"/>
      <c r="K2" s="1795" t="str">
        <f>"估价期日："&amp;TEXT(项目基本情况!D3,"yyyy年m月d日;;")</f>
        <v>估价期日：2021年8月27日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39" t="s">
        <v>2029</v>
      </c>
      <c r="B3" s="3239" t="s">
        <v>2731</v>
      </c>
      <c r="C3" s="3240" t="s">
        <v>2030</v>
      </c>
      <c r="D3" s="3239" t="s">
        <v>2735</v>
      </c>
      <c r="E3" s="3234" t="s">
        <v>2031</v>
      </c>
      <c r="F3" s="3234"/>
      <c r="G3" s="3234"/>
      <c r="H3" s="3234" t="s">
        <v>2032</v>
      </c>
      <c r="I3" s="3234"/>
      <c r="J3" s="3234"/>
      <c r="K3" s="3240" t="s">
        <v>2033</v>
      </c>
      <c r="L3" s="3240" t="s">
        <v>2034</v>
      </c>
      <c r="M3" s="3239" t="s">
        <v>2732</v>
      </c>
      <c r="N3" s="3241" t="str">
        <f>"（分摊）"&amp;项目基本情况!B16&amp;"国有建设用地使用权面积/㎡"</f>
        <v>（分摊）出让国有建设用地使用权面积/㎡</v>
      </c>
      <c r="O3" s="3239" t="s">
        <v>2063</v>
      </c>
      <c r="P3" s="3240" t="s">
        <v>2043</v>
      </c>
      <c r="Q3" s="3240" t="s">
        <v>2064</v>
      </c>
      <c r="R3" s="3240" t="s">
        <v>2035</v>
      </c>
    </row>
    <row r="4" spans="1:18" ht="36.75" customHeight="1">
      <c r="A4" s="3239"/>
      <c r="B4" s="3239"/>
      <c r="C4" s="3240"/>
      <c r="D4" s="3239"/>
      <c r="E4" s="2614" t="s">
        <v>2042</v>
      </c>
      <c r="F4" s="2614" t="s">
        <v>2744</v>
      </c>
      <c r="G4" s="2614" t="s">
        <v>2036</v>
      </c>
      <c r="H4" s="2614" t="s">
        <v>2037</v>
      </c>
      <c r="I4" s="2614" t="s">
        <v>2745</v>
      </c>
      <c r="J4" s="2614" t="s">
        <v>2036</v>
      </c>
      <c r="K4" s="3240"/>
      <c r="L4" s="3240"/>
      <c r="M4" s="3239"/>
      <c r="N4" s="3241"/>
      <c r="O4" s="3239"/>
      <c r="P4" s="3240"/>
      <c r="Q4" s="3240"/>
      <c r="R4" s="3240"/>
    </row>
    <row r="5" spans="1:18" ht="135" customHeight="1">
      <c r="A5" s="1929" t="s">
        <v>2655</v>
      </c>
      <c r="B5" s="2823" t="s">
        <v>2653</v>
      </c>
      <c r="C5" s="2613">
        <v>22</v>
      </c>
      <c r="D5" s="2612" t="s">
        <v>2654</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15557.09</v>
      </c>
      <c r="O5" s="1796">
        <f>项目基本情况!C21</f>
        <v>10288.000000000002</v>
      </c>
      <c r="P5" s="1796" t="e">
        <f ca="1">结果表!E42</f>
        <v>#REF!</v>
      </c>
      <c r="Q5" s="1796" t="e">
        <f ca="1">结果表!D42</f>
        <v>#REF!</v>
      </c>
      <c r="R5" s="1797" t="e">
        <f ca="1">结果表!C42</f>
        <v>#REF!</v>
      </c>
    </row>
    <row r="6" spans="1:18">
      <c r="A6" s="3235" t="str">
        <f>IF(项目基本情况!B9="市场价格","——","抵押价格")</f>
        <v>抵押价格</v>
      </c>
      <c r="B6" s="3236"/>
      <c r="C6" s="3236"/>
      <c r="D6" s="3236"/>
      <c r="E6" s="3236"/>
      <c r="F6" s="3236"/>
      <c r="G6" s="3236"/>
      <c r="H6" s="3236"/>
      <c r="I6" s="3236"/>
      <c r="J6" s="3236"/>
      <c r="K6" s="3236"/>
      <c r="L6" s="3236"/>
      <c r="M6" s="3236"/>
      <c r="N6" s="3236"/>
      <c r="O6" s="3236"/>
      <c r="P6" s="3236"/>
      <c r="Q6" s="3237"/>
      <c r="R6" s="1798" t="str">
        <f>结果表!O39</f>
        <v>——</v>
      </c>
    </row>
    <row r="7" spans="1:18">
      <c r="A7" s="3235" t="str">
        <f>IF(项目基本情况!B9="市场价格","——",IF(项目基本情况!E8="已注销及未注销","抵押担保权已注销时的抵押价格","——"))</f>
        <v>——</v>
      </c>
      <c r="B7" s="3236"/>
      <c r="C7" s="3236"/>
      <c r="D7" s="3236"/>
      <c r="E7" s="3236"/>
      <c r="F7" s="3236"/>
      <c r="G7" s="3236"/>
      <c r="H7" s="3236"/>
      <c r="I7" s="3236"/>
      <c r="J7" s="3236"/>
      <c r="K7" s="3236"/>
      <c r="L7" s="3236"/>
      <c r="M7" s="3236"/>
      <c r="N7" s="3236"/>
      <c r="O7" s="3236"/>
      <c r="P7" s="3236"/>
      <c r="Q7" s="3237"/>
      <c r="R7" s="1798" t="str">
        <f>结果表!O40</f>
        <v>——</v>
      </c>
    </row>
    <row r="8" spans="1:18">
      <c r="A8" s="3235">
        <f>IF(项目基本情况!B9="市场价格","——",项目基本情况!E9)</f>
        <v>0</v>
      </c>
      <c r="B8" s="3236"/>
      <c r="C8" s="3236"/>
      <c r="D8" s="3236"/>
      <c r="E8" s="3236"/>
      <c r="F8" s="3236"/>
      <c r="G8" s="3236"/>
      <c r="H8" s="3236"/>
      <c r="I8" s="3236"/>
      <c r="J8" s="3236"/>
      <c r="K8" s="3236"/>
      <c r="L8" s="3236"/>
      <c r="M8" s="3236"/>
      <c r="N8" s="3236"/>
      <c r="O8" s="3236"/>
      <c r="P8" s="3236"/>
      <c r="Q8" s="3237"/>
      <c r="R8" s="1798" t="str">
        <f>结果表!O41</f>
        <v>——</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42" t="s">
        <v>2065</v>
      </c>
      <c r="B1" s="3242"/>
      <c r="C1" s="3242"/>
      <c r="D1" s="3242"/>
    </row>
    <row r="2" spans="1:4" ht="47.25" customHeight="1">
      <c r="A2" s="3246" t="str">
        <f>"1.权利限制："&amp;项目基本情况!L24&amp;"未设定租赁等其他他项权利。"</f>
        <v>1.权利限制：根据估价对象《不动产权证书》原件、《国有土地使用权》复印件，截至估价期日，估价对象抵押权未见登记。未设定租赁等其他他项权利。</v>
      </c>
      <c r="B2" s="3246"/>
      <c r="C2" s="3246"/>
      <c r="D2" s="3246"/>
    </row>
    <row r="3" spans="1:4" ht="48" customHeight="1">
      <c r="A3" s="324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2"/>
      <c r="C3" s="3242"/>
      <c r="D3" s="3242"/>
    </row>
    <row r="4" spans="1:4" ht="36.75" customHeight="1">
      <c r="A4" s="3242" t="str">
        <f>"3.估价规划限制条件：详见"&amp;项目基本情况!E21&amp;"。"</f>
        <v>3.估价规划限制条件：详见《建设工程规划许可证》[]、《出让合同》[]。</v>
      </c>
      <c r="B4" s="3242"/>
      <c r="C4" s="3242"/>
      <c r="D4" s="3242"/>
    </row>
    <row r="5" spans="1:4">
      <c r="A5" s="3245" t="s">
        <v>2066</v>
      </c>
      <c r="B5" s="3245"/>
      <c r="C5" s="3245"/>
      <c r="D5" s="3245"/>
    </row>
    <row r="6" spans="1:4">
      <c r="A6" s="3242" t="s">
        <v>2044</v>
      </c>
      <c r="B6" s="3242"/>
      <c r="C6" s="3242"/>
      <c r="D6" s="3242"/>
    </row>
    <row r="7" spans="1:4" ht="33" customHeight="1">
      <c r="A7" s="3242" t="s">
        <v>2575</v>
      </c>
      <c r="B7" s="3242"/>
      <c r="C7" s="3242"/>
      <c r="D7" s="3242"/>
    </row>
    <row r="8" spans="1:4" ht="32.25" customHeight="1">
      <c r="A8" s="324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2"/>
      <c r="C8" s="3242"/>
      <c r="D8" s="3242"/>
    </row>
    <row r="9" spans="1:4" ht="33.75" customHeight="1">
      <c r="A9" s="324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2"/>
      <c r="C9" s="3242"/>
      <c r="D9" s="3242"/>
    </row>
    <row r="10" spans="1:4">
      <c r="A10" s="3242" t="str">
        <f>IF(项目基本情况!B8="抵押","4.估价师所知悉的法定优先受偿款情况为：","——")</f>
        <v>4.估价师所知悉的法定优先受偿款情况为：</v>
      </c>
      <c r="B10" s="3242"/>
      <c r="C10" s="3242"/>
      <c r="D10" s="3242"/>
    </row>
    <row r="11" spans="1:4" ht="37.5" customHeight="1">
      <c r="A11" s="324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4"/>
      <c r="C11" s="3244"/>
      <c r="D11" s="3244"/>
    </row>
    <row r="12" spans="1:4" ht="168" customHeight="1">
      <c r="A12" s="3245" t="s">
        <v>2068</v>
      </c>
      <c r="B12" s="3245"/>
      <c r="C12" s="3245"/>
      <c r="D12" s="3245"/>
    </row>
    <row r="13" spans="1:4">
      <c r="A13" s="3243" t="s">
        <v>2746</v>
      </c>
      <c r="B13" s="3243"/>
      <c r="C13" s="3243"/>
      <c r="D13" s="3243"/>
    </row>
    <row r="14" spans="1:4">
      <c r="A14" s="3244" t="str">
        <f>IF(项目基本情况!B8="抵押","综上，"&amp;结果表!K47,"——")</f>
        <v>综上，本次评估不存在估价师知悉的法定优先受偿款</v>
      </c>
      <c r="B14" s="3244"/>
      <c r="C14" s="3244"/>
      <c r="D14" s="3244"/>
    </row>
    <row r="15" spans="1:4" ht="58.5" customHeight="1">
      <c r="A15" s="324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2"/>
      <c r="C15" s="3242"/>
      <c r="D15" s="3242"/>
    </row>
    <row r="16" spans="1:4" ht="70.5" customHeight="1">
      <c r="A16" s="324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2"/>
      <c r="C16" s="3242"/>
      <c r="D16" s="3242"/>
    </row>
    <row r="17" spans="1:4">
      <c r="A17" s="3242" t="s">
        <v>2702</v>
      </c>
      <c r="B17" s="3242"/>
      <c r="C17" s="3242"/>
      <c r="D17" s="3242"/>
    </row>
    <row r="18" spans="1:4">
      <c r="A18" s="3242" t="s">
        <v>2694</v>
      </c>
      <c r="B18" s="3242"/>
      <c r="C18" s="3242"/>
      <c r="D18" s="3242"/>
    </row>
    <row r="19" spans="1:4">
      <c r="A19" s="2824" t="s">
        <v>2695</v>
      </c>
      <c r="B19" s="2824" t="s">
        <v>2696</v>
      </c>
      <c r="C19" s="2824" t="s">
        <v>2697</v>
      </c>
      <c r="D19" s="2824" t="s">
        <v>2698</v>
      </c>
    </row>
    <row r="20" spans="1:4">
      <c r="A20" s="2824" t="str">
        <f>项目基本情况!B4</f>
        <v>土地估价师</v>
      </c>
      <c r="B20" s="2824">
        <f>项目基本情况!C4</f>
        <v>0</v>
      </c>
      <c r="C20" s="2826"/>
      <c r="D20" s="1786" t="s">
        <v>2703</v>
      </c>
    </row>
    <row r="21" spans="1:4">
      <c r="A21" s="2824" t="str">
        <f>项目基本情况!D4</f>
        <v>土地估价师</v>
      </c>
      <c r="B21" s="2824">
        <f>项目基本情况!E4</f>
        <v>0</v>
      </c>
      <c r="C21" s="2826"/>
      <c r="D21" s="1786" t="s">
        <v>2704</v>
      </c>
    </row>
    <row r="23" spans="1:4">
      <c r="A23" s="3242" t="s">
        <v>2699</v>
      </c>
      <c r="B23" s="3242"/>
      <c r="C23" s="3242"/>
      <c r="D23" s="3242"/>
    </row>
    <row r="24" spans="1:4">
      <c r="A24" s="2824" t="s">
        <v>2695</v>
      </c>
      <c r="B24" s="2824" t="s">
        <v>2700</v>
      </c>
      <c r="C24" s="2824" t="s">
        <v>2697</v>
      </c>
      <c r="D24" s="2824" t="s">
        <v>2698</v>
      </c>
    </row>
    <row r="25" spans="1:4">
      <c r="A25" s="2827" t="s">
        <v>2701</v>
      </c>
      <c r="B25" s="2824" t="s">
        <v>952</v>
      </c>
      <c r="C25" s="2826"/>
      <c r="D25" s="1786" t="s">
        <v>2704</v>
      </c>
    </row>
    <row r="29" spans="1:4">
      <c r="D29" s="2825" t="s">
        <v>2039</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54" t="s">
        <v>53</v>
      </c>
      <c r="B15" s="3255" t="s">
        <v>846</v>
      </c>
      <c r="C15" s="3251"/>
    </row>
    <row r="16" spans="1:7" ht="14.25">
      <c r="A16" s="3254"/>
      <c r="B16" s="3252" t="s">
        <v>54</v>
      </c>
      <c r="C16" s="1168" t="s">
        <v>53</v>
      </c>
    </row>
    <row r="17" spans="1:3" ht="14.25">
      <c r="A17" s="3254"/>
      <c r="B17" s="3252"/>
      <c r="C17" s="1168" t="s">
        <v>55</v>
      </c>
    </row>
    <row r="18" spans="1:3" ht="14.25">
      <c r="A18" s="3254"/>
      <c r="B18" s="3252"/>
      <c r="C18" s="1168" t="s">
        <v>56</v>
      </c>
    </row>
    <row r="19" spans="1:3" ht="14.25">
      <c r="A19" s="3254"/>
      <c r="B19" s="3250" t="s">
        <v>57</v>
      </c>
      <c r="C19" s="3251"/>
    </row>
    <row r="20" spans="1:3" ht="14.25">
      <c r="A20" s="1169" t="s">
        <v>58</v>
      </c>
      <c r="B20" s="1170"/>
      <c r="C20" s="1171"/>
    </row>
    <row r="21" spans="1:3" ht="14.25">
      <c r="A21" s="3253" t="s">
        <v>59</v>
      </c>
      <c r="B21" s="3250" t="s">
        <v>60</v>
      </c>
      <c r="C21" s="3251"/>
    </row>
    <row r="22" spans="1:3" ht="14.25">
      <c r="A22" s="3253"/>
      <c r="B22" s="3250" t="s">
        <v>61</v>
      </c>
      <c r="C22" s="3251"/>
    </row>
    <row r="23" spans="1:3" ht="14.25">
      <c r="A23" s="3253"/>
      <c r="B23" s="3250" t="s">
        <v>62</v>
      </c>
      <c r="C23" s="3251"/>
    </row>
    <row r="24" spans="1:3" ht="14.25">
      <c r="A24" s="3253"/>
      <c r="B24" s="3256" t="s">
        <v>63</v>
      </c>
      <c r="C24" s="1172" t="s">
        <v>837</v>
      </c>
    </row>
    <row r="25" spans="1:3" ht="14.25">
      <c r="A25" s="3253"/>
      <c r="B25" s="3257"/>
      <c r="C25" s="1172" t="s">
        <v>838</v>
      </c>
    </row>
    <row r="26" spans="1:3" ht="14.25">
      <c r="A26" s="3253"/>
      <c r="B26" s="3257"/>
      <c r="C26" s="1172" t="s">
        <v>839</v>
      </c>
    </row>
    <row r="27" spans="1:3" ht="14.25">
      <c r="A27" s="3253"/>
      <c r="B27" s="3257"/>
      <c r="C27" s="1172" t="s">
        <v>840</v>
      </c>
    </row>
    <row r="28" spans="1:3" ht="14.25">
      <c r="A28" s="3253"/>
      <c r="B28" s="3257"/>
      <c r="C28" s="1172" t="s">
        <v>841</v>
      </c>
    </row>
    <row r="29" spans="1:3" ht="14.25">
      <c r="A29" s="3253"/>
      <c r="B29" s="3257"/>
      <c r="C29" s="1172" t="s">
        <v>842</v>
      </c>
    </row>
    <row r="30" spans="1:3" ht="14.25">
      <c r="A30" s="3253"/>
      <c r="B30" s="3257"/>
      <c r="C30" s="1172" t="s">
        <v>843</v>
      </c>
    </row>
    <row r="31" spans="1:3" ht="14.25">
      <c r="A31" s="3253"/>
      <c r="B31" s="3257"/>
      <c r="C31" s="1172" t="s">
        <v>844</v>
      </c>
    </row>
    <row r="32" spans="1:3" ht="14.25">
      <c r="A32" s="3253"/>
      <c r="B32" s="3257"/>
      <c r="C32" s="1172" t="s">
        <v>1646</v>
      </c>
    </row>
    <row r="33" spans="1:3" ht="14.25">
      <c r="A33" s="3253"/>
      <c r="B33" s="3247" t="s">
        <v>1652</v>
      </c>
      <c r="C33" s="1172" t="s">
        <v>1647</v>
      </c>
    </row>
    <row r="34" spans="1:3" ht="14.25">
      <c r="A34" s="3253"/>
      <c r="B34" s="3248"/>
      <c r="C34" s="1177" t="s">
        <v>1648</v>
      </c>
    </row>
    <row r="35" spans="1:3" ht="14.25">
      <c r="A35" s="3253"/>
      <c r="B35" s="3248"/>
      <c r="C35" s="1178" t="s">
        <v>1649</v>
      </c>
    </row>
    <row r="36" spans="1:3" ht="14.25">
      <c r="A36" s="3253"/>
      <c r="B36" s="3248"/>
      <c r="C36" s="1178" t="s">
        <v>1650</v>
      </c>
    </row>
    <row r="37" spans="1:3" ht="14.25">
      <c r="A37" s="3253"/>
      <c r="B37" s="3249"/>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9" customWidth="1"/>
    <col min="2" max="5" width="22.625" style="3129"/>
    <col min="6" max="6" width="25.625" style="3129" customWidth="1"/>
    <col min="7" max="16384" width="22.625" style="3129"/>
  </cols>
  <sheetData>
    <row r="2" spans="1:6" ht="20.25" customHeight="1">
      <c r="A2" s="3126" t="s">
        <v>1907</v>
      </c>
      <c r="B2" s="3127">
        <f ca="1">TODAY()</f>
        <v>44567</v>
      </c>
      <c r="C2" s="3128" t="s">
        <v>1908</v>
      </c>
      <c r="D2" s="3128"/>
    </row>
    <row r="3" spans="1:6" ht="20.25" customHeight="1">
      <c r="A3" s="3130" t="s">
        <v>1909</v>
      </c>
      <c r="B3" s="3131" t="s">
        <v>1910</v>
      </c>
      <c r="C3" s="3131" t="s">
        <v>1911</v>
      </c>
      <c r="D3" s="3132" t="s">
        <v>1912</v>
      </c>
      <c r="E3" s="3131" t="s">
        <v>1913</v>
      </c>
      <c r="F3" s="3131" t="s">
        <v>1911</v>
      </c>
    </row>
    <row r="4" spans="1:6" ht="20.25" customHeight="1">
      <c r="A4" s="3131" t="s">
        <v>1914</v>
      </c>
      <c r="B4" s="3131" t="str">
        <f ca="1">IF(C4&lt;B2,"已过期",1119970066)</f>
        <v>已过期</v>
      </c>
      <c r="C4" s="3133">
        <v>43849</v>
      </c>
      <c r="D4" s="3131" t="s">
        <v>1914</v>
      </c>
      <c r="E4" s="3131">
        <f ca="1">IF(F4&lt;B2,"已过期",96010014)</f>
        <v>96010014</v>
      </c>
      <c r="F4" s="3134">
        <v>47118</v>
      </c>
    </row>
    <row r="5" spans="1:6" ht="20.25" customHeight="1">
      <c r="A5" s="3131" t="s">
        <v>1915</v>
      </c>
      <c r="B5" s="3131" t="str">
        <f ca="1">IF(C5&lt;B2,"已过期",1119970074)</f>
        <v>已过期</v>
      </c>
      <c r="C5" s="3133">
        <v>43849</v>
      </c>
      <c r="D5" s="3131" t="s">
        <v>1915</v>
      </c>
      <c r="E5" s="3131">
        <f ca="1">IF(F5&lt;B2,"已过期",2002110027)</f>
        <v>2002110027</v>
      </c>
      <c r="F5" s="3134">
        <v>46752</v>
      </c>
    </row>
    <row r="6" spans="1:6" ht="20.25" customHeight="1">
      <c r="A6" s="3131" t="s">
        <v>1916</v>
      </c>
      <c r="B6" s="3131" t="str">
        <f ca="1">IF(C6&lt;B2,"已过期",1119970111)</f>
        <v>已过期</v>
      </c>
      <c r="C6" s="3133">
        <v>43849</v>
      </c>
      <c r="D6" s="3131" t="s">
        <v>1916</v>
      </c>
      <c r="E6" s="3131">
        <f ca="1">IF(F6&lt;B2,"已过期",94010078)</f>
        <v>94010078</v>
      </c>
      <c r="F6" s="3134">
        <v>46387</v>
      </c>
    </row>
    <row r="7" spans="1:6" ht="20.25" customHeight="1">
      <c r="A7" s="3131" t="s">
        <v>1917</v>
      </c>
      <c r="B7" s="3131" t="str">
        <f ca="1">IF(C7&lt;B2,"已过期",1120050019)</f>
        <v>已过期</v>
      </c>
      <c r="C7" s="3133">
        <v>44395</v>
      </c>
      <c r="D7" s="3131" t="s">
        <v>1917</v>
      </c>
      <c r="E7" s="3131">
        <f ca="1">IF(F7&lt;B2,"已过期",2002110030)</f>
        <v>2002110030</v>
      </c>
      <c r="F7" s="3134">
        <v>46387</v>
      </c>
    </row>
    <row r="8" spans="1:6" ht="20.25" customHeight="1">
      <c r="A8" s="3131" t="s">
        <v>1918</v>
      </c>
      <c r="B8" s="3131" t="str">
        <f ca="1">IF(C8&lt;B2,"已过期",1120000080)</f>
        <v>已过期</v>
      </c>
      <c r="C8" s="3133">
        <v>43849</v>
      </c>
      <c r="D8" s="3131" t="s">
        <v>1918</v>
      </c>
      <c r="E8" s="3131">
        <f ca="1">IF(F8&lt;B2,"已过期",2000110082)</f>
        <v>2000110082</v>
      </c>
      <c r="F8" s="3134">
        <v>46387</v>
      </c>
    </row>
    <row r="9" spans="1:6" ht="20.25" customHeight="1">
      <c r="A9" s="3131" t="s">
        <v>1919</v>
      </c>
      <c r="B9" s="3131" t="str">
        <f ca="1">IF(C9&lt;B2,"已过期",1419970001)</f>
        <v>已过期</v>
      </c>
      <c r="C9" s="3133">
        <v>43867</v>
      </c>
      <c r="D9" s="3131" t="s">
        <v>1919</v>
      </c>
      <c r="E9" s="3131">
        <f ca="1">IF(F9&lt;B2,"已过期",2002110125)</f>
        <v>2002110125</v>
      </c>
      <c r="F9" s="3134">
        <v>47118</v>
      </c>
    </row>
    <row r="10" spans="1:6" ht="20.25" customHeight="1">
      <c r="A10" s="3131" t="s">
        <v>1920</v>
      </c>
      <c r="B10" s="3131" t="str">
        <f ca="1">IF(C10&lt;B2,"已过期",1120060040)</f>
        <v>已过期</v>
      </c>
      <c r="C10" s="3133">
        <v>44554</v>
      </c>
      <c r="D10" s="3131" t="s">
        <v>1920</v>
      </c>
      <c r="E10" s="3131">
        <f ca="1">IF(F10&lt;B2,"已过期",2004110096)</f>
        <v>2004110096</v>
      </c>
      <c r="F10" s="3134">
        <v>47118</v>
      </c>
    </row>
    <row r="11" spans="1:6" ht="20.25" customHeight="1">
      <c r="A11" s="3131" t="s">
        <v>1921</v>
      </c>
      <c r="B11" s="3131">
        <f ca="1">IF(C11&lt;B2,"已过期",1120100036)</f>
        <v>1120100036</v>
      </c>
      <c r="C11" s="3133">
        <v>44675</v>
      </c>
      <c r="D11" s="3131" t="s">
        <v>1921</v>
      </c>
      <c r="E11" s="3131">
        <f ca="1">IF(F11&lt;B2,"已过期",2010110070)</f>
        <v>2010110070</v>
      </c>
      <c r="F11" s="3134">
        <v>47907</v>
      </c>
    </row>
    <row r="12" spans="1:6" ht="20.25" customHeight="1">
      <c r="A12" s="3131"/>
      <c r="B12" s="3131"/>
      <c r="C12" s="3133"/>
      <c r="D12" s="3131"/>
      <c r="E12" s="3131"/>
      <c r="F12" s="3134"/>
    </row>
    <row r="13" spans="1:6" ht="20.25" customHeight="1">
      <c r="A13" s="3131" t="s">
        <v>1922</v>
      </c>
      <c r="B13" s="3131" t="str">
        <f ca="1">IF(C13&lt;B2,"已过期",1120070131)</f>
        <v>已过期</v>
      </c>
      <c r="C13" s="3133">
        <v>43814</v>
      </c>
      <c r="D13" s="3131" t="s">
        <v>1922</v>
      </c>
      <c r="E13" s="3131">
        <f ca="1">IF(F13&lt;B2,"已过期",2014110011)</f>
        <v>2014110011</v>
      </c>
      <c r="F13" s="3134">
        <v>49302</v>
      </c>
    </row>
    <row r="14" spans="1:6" ht="20.25" customHeight="1">
      <c r="A14" s="3131" t="s">
        <v>2982</v>
      </c>
      <c r="B14" s="3131" t="str">
        <f ca="1">IF(C14&lt;B2,"已过期",1120040230)</f>
        <v>已过期</v>
      </c>
      <c r="C14" s="3135">
        <v>43835</v>
      </c>
      <c r="D14" s="3136" t="s">
        <v>2983</v>
      </c>
      <c r="E14" s="3131">
        <f ca="1">IF(F14&lt;B2,"已过期",98030020)</f>
        <v>98030020</v>
      </c>
      <c r="F14" s="3134">
        <v>47118</v>
      </c>
    </row>
    <row r="15" spans="1:6" ht="20.25" customHeight="1">
      <c r="A15" s="3131" t="s">
        <v>2574</v>
      </c>
      <c r="B15" s="3131" t="str">
        <f ca="1">IF(C15&lt;B2,"已过期",1120070085)</f>
        <v>已过期</v>
      </c>
      <c r="C15" s="3135">
        <v>43814</v>
      </c>
      <c r="D15" s="3131" t="s">
        <v>2984</v>
      </c>
      <c r="E15" s="3131">
        <f ca="1">IF(F15&lt;B2,"已过期",2004110128)</f>
        <v>2004110128</v>
      </c>
      <c r="F15" s="3137">
        <v>47118</v>
      </c>
    </row>
    <row r="16" spans="1:6" ht="20.25" customHeight="1">
      <c r="A16" s="3131" t="s">
        <v>1923</v>
      </c>
      <c r="B16" s="3131" t="str">
        <f ca="1">IF(C16&lt;B2,"已过期",1120140022)</f>
        <v>已过期</v>
      </c>
      <c r="C16" s="3133">
        <v>44029</v>
      </c>
      <c r="D16" s="3131" t="s">
        <v>2985</v>
      </c>
      <c r="E16" s="3131">
        <f ca="1">IF(F16&lt;B2,"已过期",2008110059)</f>
        <v>2008110059</v>
      </c>
      <c r="F16" s="3134">
        <v>47177</v>
      </c>
    </row>
    <row r="17" spans="1:7" ht="20.25" customHeight="1">
      <c r="A17" s="3131"/>
      <c r="B17" s="3131"/>
      <c r="C17" s="3133"/>
      <c r="D17" s="3136" t="s">
        <v>2986</v>
      </c>
      <c r="E17" s="3131">
        <f ca="1">IF(F17&lt;B2,"已过期",2014110076)</f>
        <v>2014110076</v>
      </c>
      <c r="F17" s="3134">
        <v>49302</v>
      </c>
    </row>
    <row r="18" spans="1:7" ht="20.25" customHeight="1">
      <c r="A18" s="3131"/>
      <c r="B18" s="3131"/>
      <c r="C18" s="3133"/>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1924</v>
      </c>
      <c r="E21" s="3131">
        <f ca="1">IF(F21&lt;B2,"已过期",2011110090)</f>
        <v>2011110090</v>
      </c>
      <c r="F21" s="3134">
        <v>48302</v>
      </c>
    </row>
    <row r="22" spans="1:7" ht="20.25" customHeight="1">
      <c r="A22" s="3131" t="s">
        <v>1925</v>
      </c>
      <c r="B22" s="3131" t="str">
        <f ca="1">IF(C22&lt;B2,"已过期",1120020033)</f>
        <v>已过期</v>
      </c>
      <c r="C22" s="3133">
        <v>44339</v>
      </c>
      <c r="D22" s="3131" t="s">
        <v>1925</v>
      </c>
      <c r="E22" s="3131">
        <f ca="1">IF(F22&lt;B2,"已过期",2000110137)</f>
        <v>2000110137</v>
      </c>
      <c r="F22" s="3134">
        <v>46387</v>
      </c>
    </row>
    <row r="23" spans="1:7" ht="20.25" customHeight="1">
      <c r="A23" s="3131"/>
      <c r="B23" s="3131"/>
      <c r="C23" s="3133"/>
      <c r="D23" s="3131"/>
      <c r="E23" s="3131"/>
      <c r="F23" s="3131"/>
    </row>
    <row r="24" spans="1:7" s="3139" customFormat="1" ht="20.25" customHeight="1">
      <c r="A24" s="3130" t="s">
        <v>2053</v>
      </c>
      <c r="B24" s="3130" t="s">
        <v>2053</v>
      </c>
      <c r="C24" s="3133"/>
      <c r="D24" s="3138" t="s">
        <v>2053</v>
      </c>
      <c r="E24" s="3130" t="s">
        <v>2053</v>
      </c>
      <c r="F24" s="3137"/>
    </row>
    <row r="25" spans="1:7" ht="20.25" customHeight="1">
      <c r="A25" s="3258" t="s">
        <v>1926</v>
      </c>
      <c r="B25" s="3258"/>
      <c r="C25" s="3258"/>
      <c r="D25" s="3258"/>
      <c r="E25" s="3258"/>
      <c r="F25" s="3258"/>
      <c r="G25" s="3258"/>
    </row>
    <row r="26" spans="1:7" ht="20.25" customHeight="1">
      <c r="A26" s="3259" t="s">
        <v>1927</v>
      </c>
      <c r="B26" s="3259"/>
      <c r="C26" s="3259"/>
      <c r="D26" s="3259" t="s">
        <v>1928</v>
      </c>
      <c r="E26" s="3259"/>
      <c r="F26" s="3259"/>
    </row>
    <row r="27" spans="1:7" s="3126" customFormat="1" ht="20.25" customHeight="1">
      <c r="A27" s="3140" t="s">
        <v>1929</v>
      </c>
      <c r="B27" s="3141" t="s">
        <v>1930</v>
      </c>
      <c r="C27" s="3141" t="s">
        <v>1931</v>
      </c>
      <c r="D27" s="3131" t="s">
        <v>1929</v>
      </c>
      <c r="E27" s="3141" t="s">
        <v>1930</v>
      </c>
      <c r="F27" s="3141" t="s">
        <v>1931</v>
      </c>
    </row>
    <row r="28" spans="1:7" s="3126" customFormat="1" ht="20.25" customHeight="1">
      <c r="A28" s="3142" t="s">
        <v>1932</v>
      </c>
      <c r="B28" s="3142" t="s">
        <v>1933</v>
      </c>
      <c r="C28" s="3134">
        <v>43725</v>
      </c>
      <c r="D28" s="3142" t="s">
        <v>1934</v>
      </c>
      <c r="E28" s="3142" t="s">
        <v>1935</v>
      </c>
      <c r="F28" s="3143">
        <v>44377</v>
      </c>
    </row>
    <row r="29" spans="1:7" s="3126" customFormat="1" ht="20.25" customHeight="1">
      <c r="A29" s="3142"/>
      <c r="B29" s="3142"/>
      <c r="C29" s="3144"/>
      <c r="D29" s="3142" t="s">
        <v>1936</v>
      </c>
      <c r="E29" s="3142" t="s">
        <v>2994</v>
      </c>
      <c r="F29" s="3143">
        <v>43646</v>
      </c>
    </row>
    <row r="30" spans="1:7" ht="20.25" customHeight="1">
      <c r="C30" s="3145"/>
      <c r="D30" s="3145"/>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0" sqref="X20"/>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2545</v>
      </c>
      <c r="R1" s="2547" t="s">
        <v>2539</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4" t="s">
        <v>2956</v>
      </c>
      <c r="C18" s="1541"/>
    </row>
    <row r="19" spans="1:3">
      <c r="A19" s="8" t="s">
        <v>120</v>
      </c>
      <c r="B19" s="3064" t="s">
        <v>2964</v>
      </c>
      <c r="C19" s="1541"/>
    </row>
    <row r="20" spans="1:3">
      <c r="A20" s="8" t="s">
        <v>121</v>
      </c>
      <c r="B20" s="8" t="s">
        <v>3128</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60"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8月27日，在规划利用条件下、设定土地开发程度为红线外“七通”、宗地内场地，设定用途为，剩余土地使用年限为的出让国有建设用地使用权价格。</v>
      </c>
      <c r="D53" s="1753"/>
      <c r="E53" s="1753"/>
    </row>
    <row r="54" spans="1:5">
      <c r="A54" s="3260"/>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60"/>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60"/>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60"/>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131</vt:i4>
      </vt:variant>
    </vt:vector>
  </HeadingPairs>
  <TitlesOfParts>
    <vt:vector size="18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成本逼近法4</vt:lpstr>
      <vt:lpstr>成本逼近法3</vt:lpstr>
      <vt:lpstr>成本逼近法2</vt:lpstr>
      <vt:lpstr>成本逼近法（0048）</vt:lpstr>
      <vt:lpstr>成本逼近法（014）</vt:lpstr>
      <vt:lpstr>成本逼近法（015）</vt:lpstr>
      <vt:lpstr>成本逼近法（051）</vt:lpstr>
      <vt:lpstr>成本逼近法（0011）</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2022-01-06T04:14:55Z</dcterms:modified>
</cp:coreProperties>
</file>