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95"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E9" i="6"/>
  <c r="J33" i="77" l="1"/>
  <c r="J34"/>
  <c r="J35"/>
  <c r="J36"/>
  <c r="J37"/>
  <c r="J38"/>
  <c r="J39"/>
  <c r="J40"/>
  <c r="J41"/>
  <c r="J42"/>
  <c r="J43"/>
  <c r="J44"/>
  <c r="J45"/>
  <c r="J46"/>
  <c r="J47"/>
  <c r="J48"/>
  <c r="J49"/>
  <c r="J50"/>
  <c r="J32"/>
  <c r="H33"/>
  <c r="H34"/>
  <c r="H35"/>
  <c r="H36"/>
  <c r="H37"/>
  <c r="H38"/>
  <c r="H39"/>
  <c r="H40"/>
  <c r="H41"/>
  <c r="H42"/>
  <c r="H43"/>
  <c r="H44"/>
  <c r="H45"/>
  <c r="H46"/>
  <c r="H47"/>
  <c r="H48"/>
  <c r="H49"/>
  <c r="H50"/>
  <c r="H32"/>
  <c r="F33"/>
  <c r="F34"/>
  <c r="F35"/>
  <c r="F36"/>
  <c r="F37"/>
  <c r="F38"/>
  <c r="F39"/>
  <c r="F40"/>
  <c r="F41"/>
  <c r="F42"/>
  <c r="F43"/>
  <c r="F44"/>
  <c r="F45"/>
  <c r="F46"/>
  <c r="F47"/>
  <c r="F48"/>
  <c r="F49"/>
  <c r="F50"/>
  <c r="F32"/>
  <c r="D43"/>
  <c r="D44"/>
  <c r="D45"/>
  <c r="D46"/>
  <c r="D47"/>
  <c r="D48"/>
  <c r="D49"/>
  <c r="D50"/>
  <c r="D42"/>
  <c r="D38"/>
  <c r="D39"/>
  <c r="D40"/>
  <c r="D41"/>
  <c r="D37"/>
  <c r="C33"/>
  <c r="C34"/>
  <c r="C35"/>
  <c r="C36"/>
  <c r="C32"/>
  <c r="K11" i="21" l="1"/>
  <c r="K29" i="39" l="1"/>
  <c r="K27"/>
  <c r="K25"/>
  <c r="K23" i="21" s="1"/>
  <c r="K21" i="39"/>
  <c r="K17"/>
  <c r="K15"/>
  <c r="I47" i="21"/>
  <c r="G47"/>
  <c r="E47"/>
  <c r="C38" i="39"/>
  <c r="AN13" i="3"/>
  <c r="I13"/>
  <c r="F19" i="6" s="1"/>
  <c r="D3" i="4"/>
  <c r="L3" i="71" l="1"/>
  <c r="K3"/>
  <c r="I3"/>
  <c r="J3" l="1"/>
  <c r="AD5" l="1"/>
  <c r="AG5"/>
  <c r="AH5"/>
  <c r="AE5"/>
  <c r="AF5" s="1"/>
  <c r="N5"/>
  <c r="Q5"/>
  <c r="P5"/>
  <c r="O5"/>
  <c r="Q6" l="1"/>
  <c r="P6"/>
  <c r="O6"/>
  <c r="N6"/>
  <c r="A2" i="53" l="1"/>
  <c r="K59" i="67" l="1"/>
  <c r="P61" s="1"/>
  <c r="K59" i="15"/>
  <c r="P74"/>
  <c r="P61"/>
  <c r="P74" i="67" l="1"/>
  <c r="D116" i="39"/>
  <c r="E116"/>
  <c r="F116"/>
  <c r="G116"/>
  <c r="H116"/>
  <c r="I116"/>
  <c r="J116"/>
  <c r="K116"/>
  <c r="L116"/>
  <c r="M116"/>
  <c r="C116"/>
  <c r="A21" i="62" l="1"/>
  <c r="A20"/>
  <c r="A22" i="51"/>
  <c r="A21"/>
  <c r="A20"/>
  <c r="A14" i="62" l="1"/>
  <c r="A13"/>
  <c r="A19" l="1"/>
  <c r="A12"/>
  <c r="A120" i="9"/>
  <c r="H2" i="52"/>
  <c r="A1"/>
  <c r="A3" i="53"/>
  <c r="Q7" i="71" l="1"/>
  <c r="P7"/>
  <c r="O7"/>
  <c r="N7"/>
  <c r="D5" i="43" l="1"/>
  <c r="A15" i="51" l="1"/>
  <c r="E10" i="76"/>
  <c r="E7"/>
  <c r="B11"/>
  <c r="E8"/>
  <c r="B7"/>
  <c r="B9"/>
  <c r="E11"/>
  <c r="B12"/>
  <c r="B8"/>
  <c r="E9"/>
  <c r="E13"/>
  <c r="B13"/>
  <c r="B10"/>
  <c r="E12"/>
  <c r="C76" i="9" l="1"/>
  <c r="I107" i="40" l="1"/>
  <c r="K6" i="4" l="1"/>
  <c r="B22" i="31" l="1"/>
  <c r="N56" i="9" l="1"/>
  <c r="M56"/>
  <c r="K56"/>
  <c r="E15" i="74" l="1"/>
  <c r="F15"/>
  <c r="E16"/>
  <c r="F16"/>
  <c r="E17"/>
  <c r="F17"/>
  <c r="E18"/>
  <c r="F18"/>
  <c r="E19"/>
  <c r="F19"/>
  <c r="E20"/>
  <c r="F20"/>
  <c r="E21"/>
  <c r="F21"/>
  <c r="E22"/>
  <c r="F22"/>
  <c r="E23"/>
  <c r="F23"/>
  <c r="B3" l="1"/>
  <c r="C91" i="9" l="1"/>
  <c r="B8" i="72" l="1"/>
  <c r="M19" i="43" l="1"/>
  <c r="O8" i="71" l="1"/>
  <c r="P8"/>
  <c r="Q8"/>
  <c r="N8"/>
  <c r="AE3" l="1"/>
  <c r="AF3" s="1"/>
  <c r="AG3"/>
  <c r="AH3"/>
  <c r="AD6"/>
  <c r="AE6"/>
  <c r="AF6" s="1"/>
  <c r="AG6"/>
  <c r="AH6"/>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c r="AG16"/>
  <c r="AH16"/>
  <c r="AD17"/>
  <c r="AE17"/>
  <c r="AF17" s="1"/>
  <c r="AG17"/>
  <c r="AH17"/>
  <c r="AD18"/>
  <c r="AE18"/>
  <c r="AF18" s="1"/>
  <c r="AG18"/>
  <c r="AH18"/>
  <c r="AD19"/>
  <c r="AE19"/>
  <c r="AF19" s="1"/>
  <c r="AG19"/>
  <c r="AH19"/>
  <c r="AH20"/>
  <c r="AG20"/>
  <c r="AE20"/>
  <c r="AF20" s="1"/>
  <c r="AD20"/>
  <c r="AD21"/>
  <c r="AE21"/>
  <c r="AF21" s="1"/>
  <c r="AG21"/>
  <c r="AH21"/>
  <c r="S2" i="31" l="1"/>
  <c r="M2"/>
  <c r="N2"/>
  <c r="O2"/>
  <c r="P2"/>
  <c r="Q2"/>
  <c r="R2"/>
  <c r="C1" i="73" l="1"/>
  <c r="L1" s="1"/>
  <c r="F7"/>
  <c r="J1" l="1"/>
  <c r="B74" i="72"/>
  <c r="F5" i="73"/>
  <c r="F3"/>
  <c r="F6"/>
  <c r="F4"/>
  <c r="D3"/>
  <c r="I1" l="1"/>
  <c r="B39" i="1" s="1"/>
  <c r="D6" i="73"/>
  <c r="D5"/>
  <c r="D4"/>
  <c r="D7"/>
  <c r="E20" i="43" l="1"/>
  <c r="Y12"/>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C8" i="68" l="1"/>
  <c r="B49" i="48" l="1"/>
  <c r="B5" i="72" s="1"/>
  <c r="I19" i="43" l="1"/>
  <c r="D70" i="71" l="1"/>
  <c r="F69"/>
  <c r="E69"/>
  <c r="E68" s="1"/>
  <c r="E67" s="1"/>
  <c r="C69"/>
  <c r="D69" s="1"/>
  <c r="B69"/>
  <c r="F68"/>
  <c r="F67" s="1"/>
  <c r="B68"/>
  <c r="B67" s="1"/>
  <c r="D66"/>
  <c r="F65"/>
  <c r="E65"/>
  <c r="E64" s="1"/>
  <c r="E63" s="1"/>
  <c r="C65"/>
  <c r="D65" s="1"/>
  <c r="B65"/>
  <c r="F64"/>
  <c r="F63" s="1"/>
  <c r="B64"/>
  <c r="B63" s="1"/>
  <c r="D62"/>
  <c r="Q61"/>
  <c r="P61"/>
  <c r="O61"/>
  <c r="N61"/>
  <c r="F61"/>
  <c r="V61" s="1"/>
  <c r="E61"/>
  <c r="U61" s="1"/>
  <c r="C61"/>
  <c r="T61" s="1"/>
  <c r="B61"/>
  <c r="S61" s="1"/>
  <c r="Q60"/>
  <c r="P60"/>
  <c r="O60"/>
  <c r="N60"/>
  <c r="F60"/>
  <c r="F59" s="1"/>
  <c r="B60"/>
  <c r="B59" s="1"/>
  <c r="Q59"/>
  <c r="P59"/>
  <c r="O59"/>
  <c r="N59"/>
  <c r="Q58"/>
  <c r="P58"/>
  <c r="O58"/>
  <c r="N58"/>
  <c r="D58"/>
  <c r="Q57"/>
  <c r="P57"/>
  <c r="O57"/>
  <c r="N57"/>
  <c r="F57"/>
  <c r="V57" s="1"/>
  <c r="E57"/>
  <c r="U57" s="1"/>
  <c r="C57"/>
  <c r="T57" s="1"/>
  <c r="B57"/>
  <c r="S57" s="1"/>
  <c r="Q56"/>
  <c r="P56"/>
  <c r="O56"/>
  <c r="N56"/>
  <c r="F56"/>
  <c r="F55" s="1"/>
  <c r="B56"/>
  <c r="B55" s="1"/>
  <c r="Q55"/>
  <c r="P55"/>
  <c r="O55"/>
  <c r="N55"/>
  <c r="Q54"/>
  <c r="P54"/>
  <c r="O54"/>
  <c r="N54"/>
  <c r="D54"/>
  <c r="Q53"/>
  <c r="P53"/>
  <c r="O53"/>
  <c r="N53"/>
  <c r="F53"/>
  <c r="V53" s="1"/>
  <c r="E53"/>
  <c r="U53" s="1"/>
  <c r="C53"/>
  <c r="T53" s="1"/>
  <c r="B53"/>
  <c r="S53" s="1"/>
  <c r="Q52"/>
  <c r="P52"/>
  <c r="O52"/>
  <c r="N52"/>
  <c r="F52"/>
  <c r="F51" s="1"/>
  <c r="B52"/>
  <c r="B51" s="1"/>
  <c r="Q51"/>
  <c r="P51"/>
  <c r="O51"/>
  <c r="N51"/>
  <c r="Q50"/>
  <c r="P50"/>
  <c r="O50"/>
  <c r="N50"/>
  <c r="D50"/>
  <c r="F49"/>
  <c r="V49" s="1"/>
  <c r="E49"/>
  <c r="P49" s="1"/>
  <c r="C49"/>
  <c r="B49"/>
  <c r="S49" s="1"/>
  <c r="F48"/>
  <c r="F47" s="1"/>
  <c r="Q47" s="1"/>
  <c r="B48"/>
  <c r="D46"/>
  <c r="Q45"/>
  <c r="P45"/>
  <c r="O45"/>
  <c r="N45"/>
  <c r="Q44"/>
  <c r="P44"/>
  <c r="O44"/>
  <c r="N44"/>
  <c r="Q43"/>
  <c r="P43"/>
  <c r="O43"/>
  <c r="N43"/>
  <c r="Q42"/>
  <c r="F43" s="1"/>
  <c r="F44" s="1"/>
  <c r="F45" s="1"/>
  <c r="V45" s="1"/>
  <c r="P42"/>
  <c r="E43" s="1"/>
  <c r="O42"/>
  <c r="C43" s="1"/>
  <c r="N42"/>
  <c r="B43" s="1"/>
  <c r="B44" s="1"/>
  <c r="B45" s="1"/>
  <c r="S45" s="1"/>
  <c r="D42"/>
  <c r="Q41"/>
  <c r="P41"/>
  <c r="O41"/>
  <c r="N41"/>
  <c r="Q40"/>
  <c r="P40"/>
  <c r="O40"/>
  <c r="N40"/>
  <c r="Q39"/>
  <c r="P39"/>
  <c r="O39"/>
  <c r="N39"/>
  <c r="Q38"/>
  <c r="F39" s="1"/>
  <c r="F40" s="1"/>
  <c r="F41" s="1"/>
  <c r="V41" s="1"/>
  <c r="P38"/>
  <c r="E39" s="1"/>
  <c r="O38"/>
  <c r="C39" s="1"/>
  <c r="N38"/>
  <c r="B39" s="1"/>
  <c r="B40" s="1"/>
  <c r="B41" s="1"/>
  <c r="S41" s="1"/>
  <c r="D38"/>
  <c r="Q37"/>
  <c r="P37"/>
  <c r="O37"/>
  <c r="N37"/>
  <c r="Q36"/>
  <c r="P36"/>
  <c r="O36"/>
  <c r="N36"/>
  <c r="Q35"/>
  <c r="P35"/>
  <c r="O35"/>
  <c r="N35"/>
  <c r="Q34"/>
  <c r="F35" s="1"/>
  <c r="F36" s="1"/>
  <c r="F37" s="1"/>
  <c r="V37" s="1"/>
  <c r="P34"/>
  <c r="E35" s="1"/>
  <c r="O34"/>
  <c r="C35" s="1"/>
  <c r="N34"/>
  <c r="B35" s="1"/>
  <c r="B36" s="1"/>
  <c r="B37" s="1"/>
  <c r="S37" s="1"/>
  <c r="D34"/>
  <c r="Q33"/>
  <c r="P33"/>
  <c r="O33"/>
  <c r="N33"/>
  <c r="Q32"/>
  <c r="P32"/>
  <c r="O32"/>
  <c r="N32"/>
  <c r="Q31"/>
  <c r="P31"/>
  <c r="O31"/>
  <c r="N31"/>
  <c r="Q30"/>
  <c r="F31" s="1"/>
  <c r="P30"/>
  <c r="E31" s="1"/>
  <c r="E32" s="1"/>
  <c r="E33" s="1"/>
  <c r="U33" s="1"/>
  <c r="O30"/>
  <c r="C31" s="1"/>
  <c r="N30"/>
  <c r="B31" s="1"/>
  <c r="B32" s="1"/>
  <c r="B33" s="1"/>
  <c r="S33" s="1"/>
  <c r="D30"/>
  <c r="T29"/>
  <c r="Q29"/>
  <c r="P29"/>
  <c r="O29"/>
  <c r="N29"/>
  <c r="D29"/>
  <c r="Q28"/>
  <c r="P28"/>
  <c r="O28"/>
  <c r="N28"/>
  <c r="Q27"/>
  <c r="P27"/>
  <c r="O27"/>
  <c r="N27"/>
  <c r="F27"/>
  <c r="F28" s="1"/>
  <c r="F29" s="1"/>
  <c r="V29" s="1"/>
  <c r="Q26"/>
  <c r="P26"/>
  <c r="E27" s="1"/>
  <c r="E28" s="1"/>
  <c r="E29" s="1"/>
  <c r="U29" s="1"/>
  <c r="O26"/>
  <c r="C27" s="1"/>
  <c r="N26"/>
  <c r="B27" s="1"/>
  <c r="B28" s="1"/>
  <c r="B29" s="1"/>
  <c r="S29" s="1"/>
  <c r="D26"/>
  <c r="Q25"/>
  <c r="P25"/>
  <c r="O25"/>
  <c r="N25"/>
  <c r="Q24"/>
  <c r="P24"/>
  <c r="O24"/>
  <c r="N24"/>
  <c r="Q23"/>
  <c r="P23"/>
  <c r="O23"/>
  <c r="N23"/>
  <c r="F23"/>
  <c r="F24" s="1"/>
  <c r="F25" s="1"/>
  <c r="V25" s="1"/>
  <c r="Q22"/>
  <c r="P22"/>
  <c r="E23" s="1"/>
  <c r="E24" s="1"/>
  <c r="E25" s="1"/>
  <c r="U25" s="1"/>
  <c r="O22"/>
  <c r="C23" s="1"/>
  <c r="N22"/>
  <c r="B23" s="1"/>
  <c r="B24" s="1"/>
  <c r="B25" s="1"/>
  <c r="S25" s="1"/>
  <c r="D22"/>
  <c r="Q21"/>
  <c r="P21"/>
  <c r="O21"/>
  <c r="N21"/>
  <c r="AB20"/>
  <c r="Q20"/>
  <c r="P20"/>
  <c r="AA20" s="1"/>
  <c r="O20"/>
  <c r="Y20" s="1"/>
  <c r="Z20" s="1"/>
  <c r="N20"/>
  <c r="X20" s="1"/>
  <c r="Q19"/>
  <c r="AB19" s="1"/>
  <c r="P19"/>
  <c r="O19"/>
  <c r="Y19" s="1"/>
  <c r="Z19" s="1"/>
  <c r="N19"/>
  <c r="F19"/>
  <c r="F20" s="1"/>
  <c r="F21" s="1"/>
  <c r="V21" s="1"/>
  <c r="Q18"/>
  <c r="P18"/>
  <c r="O18"/>
  <c r="N18"/>
  <c r="D18"/>
  <c r="Q17"/>
  <c r="AB17" s="1"/>
  <c r="P17"/>
  <c r="O17"/>
  <c r="Y17" s="1"/>
  <c r="Z17" s="1"/>
  <c r="N17"/>
  <c r="Q16"/>
  <c r="AB16" s="1"/>
  <c r="P16"/>
  <c r="O16"/>
  <c r="Y16" s="1"/>
  <c r="Z16" s="1"/>
  <c r="N16"/>
  <c r="Q15"/>
  <c r="AB15" s="1"/>
  <c r="P15"/>
  <c r="O15"/>
  <c r="Y15" s="1"/>
  <c r="Z15" s="1"/>
  <c r="N15"/>
  <c r="F15"/>
  <c r="F16" s="1"/>
  <c r="F17" s="1"/>
  <c r="V17" s="1"/>
  <c r="Q14"/>
  <c r="P14"/>
  <c r="O14"/>
  <c r="N14"/>
  <c r="D14"/>
  <c r="Q13"/>
  <c r="AB13" s="1"/>
  <c r="P13"/>
  <c r="O13"/>
  <c r="Y13" s="1"/>
  <c r="Z13" s="1"/>
  <c r="N13"/>
  <c r="Q12"/>
  <c r="AB12" s="1"/>
  <c r="P12"/>
  <c r="O12"/>
  <c r="Y12" s="1"/>
  <c r="Z12" s="1"/>
  <c r="N12"/>
  <c r="Q11"/>
  <c r="AB11" s="1"/>
  <c r="P11"/>
  <c r="O11"/>
  <c r="Y11" s="1"/>
  <c r="Z11" s="1"/>
  <c r="N11"/>
  <c r="F11"/>
  <c r="F12" s="1"/>
  <c r="F13" s="1"/>
  <c r="V13" s="1"/>
  <c r="Q10"/>
  <c r="P10"/>
  <c r="O10"/>
  <c r="N10"/>
  <c r="D10"/>
  <c r="O9"/>
  <c r="Y5" s="1"/>
  <c r="Z5" s="1"/>
  <c r="N9"/>
  <c r="X5" l="1"/>
  <c r="B11"/>
  <c r="B12" s="1"/>
  <c r="B13" s="1"/>
  <c r="S13" s="1"/>
  <c r="X10"/>
  <c r="E11"/>
  <c r="E12" s="1"/>
  <c r="E13" s="1"/>
  <c r="U13" s="1"/>
  <c r="AA10"/>
  <c r="B15"/>
  <c r="B16" s="1"/>
  <c r="B17" s="1"/>
  <c r="S17" s="1"/>
  <c r="X14"/>
  <c r="B19"/>
  <c r="B20" s="1"/>
  <c r="B21" s="1"/>
  <c r="S21" s="1"/>
  <c r="X18"/>
  <c r="E19"/>
  <c r="E20" s="1"/>
  <c r="E21" s="1"/>
  <c r="U21" s="1"/>
  <c r="AA18"/>
  <c r="N49"/>
  <c r="E15"/>
  <c r="E16" s="1"/>
  <c r="E17" s="1"/>
  <c r="U17" s="1"/>
  <c r="AA14"/>
  <c r="C11"/>
  <c r="Y10"/>
  <c r="Z10" s="1"/>
  <c r="AB10"/>
  <c r="X11"/>
  <c r="AA11"/>
  <c r="X12"/>
  <c r="AA12"/>
  <c r="X13"/>
  <c r="AA13"/>
  <c r="C15"/>
  <c r="C16" s="1"/>
  <c r="Y14"/>
  <c r="Z14" s="1"/>
  <c r="AB14"/>
  <c r="X15"/>
  <c r="AA15"/>
  <c r="X16"/>
  <c r="AA16"/>
  <c r="X17"/>
  <c r="AA17"/>
  <c r="C19"/>
  <c r="Y18"/>
  <c r="Z18" s="1"/>
  <c r="AB18"/>
  <c r="X19"/>
  <c r="AA19"/>
  <c r="F32"/>
  <c r="F33" s="1"/>
  <c r="V33" s="1"/>
  <c r="C9"/>
  <c r="Y3"/>
  <c r="Z3" s="1"/>
  <c r="Y6"/>
  <c r="Z6" s="1"/>
  <c r="Y7"/>
  <c r="Z7" s="1"/>
  <c r="Y8"/>
  <c r="Z8" s="1"/>
  <c r="Y9"/>
  <c r="Z9" s="1"/>
  <c r="B9"/>
  <c r="B8" s="1"/>
  <c r="B7" s="1"/>
  <c r="B6" s="1"/>
  <c r="B5" s="1"/>
  <c r="X6"/>
  <c r="X7"/>
  <c r="X8"/>
  <c r="X3"/>
  <c r="X9"/>
  <c r="C12"/>
  <c r="D11"/>
  <c r="D15"/>
  <c r="C20"/>
  <c r="D19"/>
  <c r="C24"/>
  <c r="D23"/>
  <c r="C28"/>
  <c r="D28" s="1"/>
  <c r="D27"/>
  <c r="C32"/>
  <c r="D31"/>
  <c r="P9"/>
  <c r="AA5" s="1"/>
  <c r="E36"/>
  <c r="E37" s="1"/>
  <c r="U37" s="1"/>
  <c r="E40"/>
  <c r="E41" s="1"/>
  <c r="U41" s="1"/>
  <c r="E44"/>
  <c r="E45" s="1"/>
  <c r="U45" s="1"/>
  <c r="Q46"/>
  <c r="U49"/>
  <c r="E48"/>
  <c r="Q9"/>
  <c r="AB5" s="1"/>
  <c r="C36"/>
  <c r="D35"/>
  <c r="C40"/>
  <c r="D39"/>
  <c r="C44"/>
  <c r="D43"/>
  <c r="N48"/>
  <c r="B47"/>
  <c r="Q48"/>
  <c r="T49"/>
  <c r="O49"/>
  <c r="D49"/>
  <c r="C48"/>
  <c r="Q49"/>
  <c r="C52"/>
  <c r="E52"/>
  <c r="E51" s="1"/>
  <c r="D53"/>
  <c r="C56"/>
  <c r="E56"/>
  <c r="E55" s="1"/>
  <c r="D57"/>
  <c r="C60"/>
  <c r="E60"/>
  <c r="E59" s="1"/>
  <c r="D61"/>
  <c r="C64"/>
  <c r="C68"/>
  <c r="T9" l="1"/>
  <c r="C8"/>
  <c r="S9"/>
  <c r="F9"/>
  <c r="F8" s="1"/>
  <c r="F7" s="1"/>
  <c r="F6" s="1"/>
  <c r="F5" s="1"/>
  <c r="AB3"/>
  <c r="AB6"/>
  <c r="AB7"/>
  <c r="AB8"/>
  <c r="AB9"/>
  <c r="E9"/>
  <c r="E8" s="1"/>
  <c r="E7" s="1"/>
  <c r="E6" s="1"/>
  <c r="E5" s="1"/>
  <c r="AA3"/>
  <c r="AA6"/>
  <c r="AA7"/>
  <c r="AA8"/>
  <c r="AA9"/>
  <c r="D9"/>
  <c r="U9" s="1"/>
  <c r="C47"/>
  <c r="O48"/>
  <c r="D48"/>
  <c r="C45"/>
  <c r="D44"/>
  <c r="D64"/>
  <c r="C63"/>
  <c r="D63" s="1"/>
  <c r="D56"/>
  <c r="C55"/>
  <c r="D55" s="1"/>
  <c r="N46"/>
  <c r="N47"/>
  <c r="D68"/>
  <c r="C67"/>
  <c r="D67" s="1"/>
  <c r="D60"/>
  <c r="C59"/>
  <c r="D59" s="1"/>
  <c r="D52"/>
  <c r="C51"/>
  <c r="D51" s="1"/>
  <c r="C41"/>
  <c r="D40"/>
  <c r="C37"/>
  <c r="D36"/>
  <c r="P48"/>
  <c r="E47"/>
  <c r="C33"/>
  <c r="D32"/>
  <c r="C25"/>
  <c r="D24"/>
  <c r="C21"/>
  <c r="D20"/>
  <c r="C17"/>
  <c r="D16"/>
  <c r="C13"/>
  <c r="D12"/>
  <c r="C7" l="1"/>
  <c r="D8"/>
  <c r="V9"/>
  <c r="P46"/>
  <c r="P47"/>
  <c r="O47"/>
  <c r="D47"/>
  <c r="O46"/>
  <c r="T13"/>
  <c r="D13"/>
  <c r="T17"/>
  <c r="D17"/>
  <c r="T21"/>
  <c r="D21"/>
  <c r="T25"/>
  <c r="D25"/>
  <c r="T33"/>
  <c r="D33"/>
  <c r="T37"/>
  <c r="D37"/>
  <c r="T41"/>
  <c r="D41"/>
  <c r="T45"/>
  <c r="D45"/>
  <c r="D7" l="1"/>
  <c r="C6"/>
  <c r="O27" i="6"/>
  <c r="N27"/>
  <c r="P20"/>
  <c r="P21"/>
  <c r="P22"/>
  <c r="P23"/>
  <c r="P24"/>
  <c r="P25"/>
  <c r="P26"/>
  <c r="P19"/>
  <c r="AP8" i="1"/>
  <c r="AP9"/>
  <c r="AP10"/>
  <c r="AP11"/>
  <c r="AP12"/>
  <c r="AP13"/>
  <c r="L21" i="6"/>
  <c r="L22"/>
  <c r="L23"/>
  <c r="L24"/>
  <c r="L25"/>
  <c r="L26"/>
  <c r="D6" i="71" l="1"/>
  <c r="C5"/>
  <c r="D5" s="1"/>
  <c r="P27" i="6"/>
  <c r="A7" i="70"/>
  <c r="A8"/>
  <c r="E8" s="1"/>
  <c r="A9"/>
  <c r="E9" s="1"/>
  <c r="A10"/>
  <c r="E10" s="1"/>
  <c r="A11"/>
  <c r="E11" s="1"/>
  <c r="A12"/>
  <c r="E12" s="1"/>
  <c r="A13"/>
  <c r="E13" s="1"/>
  <c r="A6"/>
  <c r="Q25" i="40" l="1"/>
  <c r="Z25" s="1"/>
  <c r="D94"/>
  <c r="E94" s="1"/>
  <c r="F25"/>
  <c r="AA25" s="1"/>
  <c r="Q29" i="39"/>
  <c r="Z29" s="1"/>
  <c r="D103"/>
  <c r="E103" s="1"/>
  <c r="F29"/>
  <c r="AA29" s="1"/>
  <c r="Q18" i="36"/>
  <c r="Z18" s="1"/>
  <c r="D66"/>
  <c r="E66" s="1"/>
  <c r="F66" s="1"/>
  <c r="H18"/>
  <c r="AB18" s="1"/>
  <c r="F18"/>
  <c r="AA18" s="1"/>
  <c r="C18"/>
  <c r="Z18" i="35"/>
  <c r="Q18"/>
  <c r="D68"/>
  <c r="E68" s="1"/>
  <c r="F18"/>
  <c r="AA18" s="1"/>
  <c r="C18"/>
  <c r="Q21" i="37"/>
  <c r="Z21" s="1"/>
  <c r="D77"/>
  <c r="E77" s="1"/>
  <c r="C21"/>
  <c r="Q21" i="34"/>
  <c r="Z21" s="1"/>
  <c r="D84"/>
  <c r="E84" s="1"/>
  <c r="F21"/>
  <c r="AA21" s="1"/>
  <c r="C21"/>
  <c r="Z21" i="33"/>
  <c r="Q21"/>
  <c r="D83"/>
  <c r="E83" s="1"/>
  <c r="C21"/>
  <c r="C21" i="21"/>
  <c r="Q21"/>
  <c r="Z21" s="1"/>
  <c r="D83"/>
  <c r="F21" s="1"/>
  <c r="AA21" s="1"/>
  <c r="D81"/>
  <c r="H19" s="1"/>
  <c r="G20" i="20"/>
  <c r="B86" i="43" s="1"/>
  <c r="C22" i="20"/>
  <c r="AO12" i="1"/>
  <c r="AO9"/>
  <c r="AO11"/>
  <c r="AO10"/>
  <c r="AO13"/>
  <c r="B11" i="70" l="1"/>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AC21" i="37" l="1"/>
  <c r="W21"/>
  <c r="AC21" i="34"/>
  <c r="W21"/>
  <c r="AC21" i="33"/>
  <c r="W21"/>
  <c r="AB21" i="21"/>
  <c r="U21"/>
  <c r="G83"/>
  <c r="J21"/>
  <c r="C40" i="69"/>
  <c r="F38" i="68"/>
  <c r="E37"/>
  <c r="F36"/>
  <c r="F35"/>
  <c r="F21"/>
  <c r="C21" s="1"/>
  <c r="F20"/>
  <c r="E10"/>
  <c r="E9"/>
  <c r="F7"/>
  <c r="W21" i="21" l="1"/>
  <c r="AC21"/>
  <c r="C40" i="68"/>
  <c r="Q72" i="67" l="1"/>
  <c r="Q59"/>
  <c r="Q58"/>
  <c r="Q51"/>
  <c r="J50"/>
  <c r="M47"/>
  <c r="D46"/>
  <c r="F33"/>
  <c r="F61" s="1"/>
  <c r="F23"/>
  <c r="D24" s="1"/>
  <c r="F21"/>
  <c r="F20"/>
  <c r="M19"/>
  <c r="F18"/>
  <c r="F17"/>
  <c r="F15"/>
  <c r="D22" l="1"/>
  <c r="D23"/>
  <c r="S2" i="4" l="1"/>
  <c r="C51" i="10" s="1"/>
  <c r="A13" i="51" s="1"/>
  <c r="B11" i="72" s="1"/>
  <c r="S1" i="4"/>
  <c r="B1"/>
  <c r="C31" i="66"/>
  <c r="C27"/>
  <c r="C32" s="1"/>
  <c r="I23"/>
  <c r="D20"/>
  <c r="I19"/>
  <c r="I18"/>
  <c r="I17"/>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L100"/>
  <c r="G100"/>
  <c r="K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J51" s="1"/>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D11"/>
  <c r="D12"/>
  <c r="D13"/>
  <c r="D7"/>
  <c r="D8"/>
  <c r="A7"/>
  <c r="B7" s="1"/>
  <c r="E7" s="1"/>
  <c r="A8"/>
  <c r="B8" s="1"/>
  <c r="E8" s="1"/>
  <c r="A9"/>
  <c r="A10"/>
  <c r="A11"/>
  <c r="A12"/>
  <c r="A13"/>
  <c r="B13" s="1"/>
  <c r="E13" s="1"/>
  <c r="A6"/>
  <c r="B11"/>
  <c r="E11" s="1"/>
  <c r="K10"/>
  <c r="K13"/>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AX112"/>
  <c r="AW112"/>
  <c r="AV112"/>
  <c r="AC112"/>
  <c r="H112"/>
  <c r="G112"/>
  <c r="BT111"/>
  <c r="BS111"/>
  <c r="BR111"/>
  <c r="BQ111"/>
  <c r="BP111"/>
  <c r="BO111"/>
  <c r="BN111"/>
  <c r="BM111"/>
  <c r="BL111" s="1"/>
  <c r="BK111"/>
  <c r="BJ111"/>
  <c r="BI111"/>
  <c r="BH111"/>
  <c r="BG111"/>
  <c r="BF111"/>
  <c r="BE111"/>
  <c r="BD111"/>
  <c r="BC111"/>
  <c r="BB111"/>
  <c r="BA111" s="1"/>
  <c r="AX111"/>
  <c r="AW111"/>
  <c r="AV111"/>
  <c r="AC111"/>
  <c r="H111"/>
  <c r="G111" s="1"/>
  <c r="BT110"/>
  <c r="BS110"/>
  <c r="BR110"/>
  <c r="BQ110"/>
  <c r="BP110"/>
  <c r="BO110"/>
  <c r="BN110"/>
  <c r="BM110"/>
  <c r="BL110" s="1"/>
  <c r="BK110"/>
  <c r="BJ110"/>
  <c r="BI110"/>
  <c r="BH110"/>
  <c r="BG110"/>
  <c r="BF110"/>
  <c r="BE110"/>
  <c r="BD110"/>
  <c r="BC110"/>
  <c r="BB110"/>
  <c r="AX110"/>
  <c r="AW110"/>
  <c r="AV110"/>
  <c r="AC110"/>
  <c r="H110"/>
  <c r="G110" s="1"/>
  <c r="BT109"/>
  <c r="BS109"/>
  <c r="BR109"/>
  <c r="BQ109"/>
  <c r="BP109"/>
  <c r="BO109"/>
  <c r="BN109"/>
  <c r="BM109"/>
  <c r="BL109" s="1"/>
  <c r="BK109"/>
  <c r="BJ109"/>
  <c r="BI109"/>
  <c r="BH109"/>
  <c r="BG109"/>
  <c r="BF109"/>
  <c r="BE109"/>
  <c r="BD109"/>
  <c r="BC109"/>
  <c r="BB109"/>
  <c r="AX109"/>
  <c r="AW109"/>
  <c r="AV109"/>
  <c r="AC109"/>
  <c r="H109"/>
  <c r="G109" s="1"/>
  <c r="BT108"/>
  <c r="BS108"/>
  <c r="BR108"/>
  <c r="BQ108"/>
  <c r="BP108"/>
  <c r="BO108"/>
  <c r="BN108"/>
  <c r="BM108"/>
  <c r="BL108" s="1"/>
  <c r="BK108"/>
  <c r="BJ108"/>
  <c r="BI108"/>
  <c r="BH108"/>
  <c r="BG108"/>
  <c r="BF108"/>
  <c r="BE108"/>
  <c r="BD108"/>
  <c r="BC108"/>
  <c r="BB108"/>
  <c r="AX108"/>
  <c r="AW108"/>
  <c r="AV108"/>
  <c r="AC108"/>
  <c r="H108"/>
  <c r="G108"/>
  <c r="BT107"/>
  <c r="BS107"/>
  <c r="BR107"/>
  <c r="BQ107"/>
  <c r="BP107"/>
  <c r="BO107"/>
  <c r="BN107"/>
  <c r="BM107"/>
  <c r="BL107" s="1"/>
  <c r="BK107"/>
  <c r="BJ107"/>
  <c r="BI107"/>
  <c r="BH107"/>
  <c r="BG107"/>
  <c r="BF107"/>
  <c r="BE107"/>
  <c r="BD107"/>
  <c r="BC107"/>
  <c r="BB107"/>
  <c r="BA107" s="1"/>
  <c r="AX107"/>
  <c r="AW107"/>
  <c r="AV107"/>
  <c r="AC107"/>
  <c r="H107"/>
  <c r="G107" s="1"/>
  <c r="BT106"/>
  <c r="BS106"/>
  <c r="BR106"/>
  <c r="BQ106"/>
  <c r="BP106"/>
  <c r="BO106"/>
  <c r="BN106"/>
  <c r="BM106"/>
  <c r="BL106" s="1"/>
  <c r="BK106"/>
  <c r="BJ106"/>
  <c r="BI106"/>
  <c r="BH106"/>
  <c r="BG106"/>
  <c r="BF106"/>
  <c r="BE106"/>
  <c r="BD106"/>
  <c r="BC106"/>
  <c r="BB106"/>
  <c r="AX106"/>
  <c r="AW106"/>
  <c r="AV106"/>
  <c r="AC106"/>
  <c r="H106"/>
  <c r="G106"/>
  <c r="BT105"/>
  <c r="BS105"/>
  <c r="BR105"/>
  <c r="BQ105"/>
  <c r="BP105"/>
  <c r="BO105"/>
  <c r="BN105"/>
  <c r="BM105"/>
  <c r="BL105" s="1"/>
  <c r="BK105"/>
  <c r="BJ105"/>
  <c r="BI105"/>
  <c r="BH105"/>
  <c r="BG105"/>
  <c r="BF105"/>
  <c r="BE105"/>
  <c r="BD105"/>
  <c r="BC105"/>
  <c r="BB105"/>
  <c r="BA105" s="1"/>
  <c r="AX105"/>
  <c r="AW105"/>
  <c r="AV105"/>
  <c r="AC105"/>
  <c r="H105"/>
  <c r="G105" s="1"/>
  <c r="BT104"/>
  <c r="BS104"/>
  <c r="BR104"/>
  <c r="BQ104"/>
  <c r="BP104"/>
  <c r="BO104"/>
  <c r="BN104"/>
  <c r="BM104"/>
  <c r="BK104"/>
  <c r="BJ104"/>
  <c r="BI104"/>
  <c r="BH104"/>
  <c r="BG104"/>
  <c r="BF104"/>
  <c r="BE104"/>
  <c r="BD104"/>
  <c r="BC104"/>
  <c r="BB104"/>
  <c r="BA104"/>
  <c r="AX104"/>
  <c r="AW104"/>
  <c r="AV104"/>
  <c r="AC104"/>
  <c r="H104"/>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s="1"/>
  <c r="AX102"/>
  <c r="AW102"/>
  <c r="AV102"/>
  <c r="AC102"/>
  <c r="H102"/>
  <c r="G102" s="1"/>
  <c r="BT101"/>
  <c r="BS101"/>
  <c r="BR101"/>
  <c r="BQ101"/>
  <c r="BP101"/>
  <c r="BO101"/>
  <c r="BN101"/>
  <c r="BM10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s="1"/>
  <c r="AZ100" s="1"/>
  <c r="AX100"/>
  <c r="AW100"/>
  <c r="AV100"/>
  <c r="AC100"/>
  <c r="H100"/>
  <c r="G100" s="1"/>
  <c r="BT99"/>
  <c r="BS99"/>
  <c r="BR99"/>
  <c r="BQ99"/>
  <c r="BP99"/>
  <c r="BO99"/>
  <c r="BN99"/>
  <c r="BM99"/>
  <c r="BL99" s="1"/>
  <c r="BK99"/>
  <c r="BJ99"/>
  <c r="BI99"/>
  <c r="BH99"/>
  <c r="BG99"/>
  <c r="BF99"/>
  <c r="BE99"/>
  <c r="BD99"/>
  <c r="BC99"/>
  <c r="BB99"/>
  <c r="AX99"/>
  <c r="AW99"/>
  <c r="AV99"/>
  <c r="AC99"/>
  <c r="H99"/>
  <c r="G99" s="1"/>
  <c r="BT98"/>
  <c r="BS98"/>
  <c r="BR98"/>
  <c r="BQ98"/>
  <c r="BP98"/>
  <c r="BO98"/>
  <c r="BN98"/>
  <c r="BM98"/>
  <c r="BK98"/>
  <c r="BJ98"/>
  <c r="BI98"/>
  <c r="BH98"/>
  <c r="BG98"/>
  <c r="BF98"/>
  <c r="BE98"/>
  <c r="BD98"/>
  <c r="BC98"/>
  <c r="BB98"/>
  <c r="BA98"/>
  <c r="AX98"/>
  <c r="AW98"/>
  <c r="AV98"/>
  <c r="AC98"/>
  <c r="H98"/>
  <c r="BT97"/>
  <c r="BS97"/>
  <c r="BR97"/>
  <c r="BQ97"/>
  <c r="BP97"/>
  <c r="BO97"/>
  <c r="BN97"/>
  <c r="BM97"/>
  <c r="BL97"/>
  <c r="BK97"/>
  <c r="BJ97"/>
  <c r="BI97"/>
  <c r="BH97"/>
  <c r="BG97"/>
  <c r="BF97"/>
  <c r="BE97"/>
  <c r="BD97"/>
  <c r="BC97"/>
  <c r="BB97"/>
  <c r="BA97" s="1"/>
  <c r="AX97"/>
  <c r="AW97"/>
  <c r="AV97"/>
  <c r="AC97"/>
  <c r="H97"/>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s="1"/>
  <c r="AZ95" s="1"/>
  <c r="AX95"/>
  <c r="AW95"/>
  <c r="AV95"/>
  <c r="AC95"/>
  <c r="H95"/>
  <c r="G95" s="1"/>
  <c r="BT94"/>
  <c r="BS94"/>
  <c r="BR94"/>
  <c r="BQ94"/>
  <c r="BP94"/>
  <c r="BO94"/>
  <c r="BN94"/>
  <c r="BM94"/>
  <c r="BL94" s="1"/>
  <c r="BK94"/>
  <c r="BJ94"/>
  <c r="BI94"/>
  <c r="BH94"/>
  <c r="BG94"/>
  <c r="BF94"/>
  <c r="BE94"/>
  <c r="BD94"/>
  <c r="BC94"/>
  <c r="BB94"/>
  <c r="AX94"/>
  <c r="AW94"/>
  <c r="AV94"/>
  <c r="AC94"/>
  <c r="H94"/>
  <c r="G94" s="1"/>
  <c r="BT93"/>
  <c r="BS93"/>
  <c r="BR93"/>
  <c r="BQ93"/>
  <c r="BP93"/>
  <c r="BO93"/>
  <c r="BN93"/>
  <c r="BM93"/>
  <c r="BL93" s="1"/>
  <c r="BK93"/>
  <c r="BJ93"/>
  <c r="BI93"/>
  <c r="BH93"/>
  <c r="BG93"/>
  <c r="BF93"/>
  <c r="BE93"/>
  <c r="BD93"/>
  <c r="BC93"/>
  <c r="BB93"/>
  <c r="AX93"/>
  <c r="AW93"/>
  <c r="AV93"/>
  <c r="AC93"/>
  <c r="H93"/>
  <c r="G93" s="1"/>
  <c r="BT92"/>
  <c r="BS92"/>
  <c r="BR92"/>
  <c r="BQ92"/>
  <c r="BP92"/>
  <c r="BO92"/>
  <c r="BN92"/>
  <c r="BM92"/>
  <c r="BL92" s="1"/>
  <c r="BK92"/>
  <c r="BJ92"/>
  <c r="BI92"/>
  <c r="BH92"/>
  <c r="BG92"/>
  <c r="BF92"/>
  <c r="BE92"/>
  <c r="BD92"/>
  <c r="BC92"/>
  <c r="BB92"/>
  <c r="AX92"/>
  <c r="AW92"/>
  <c r="AV92"/>
  <c r="AC92"/>
  <c r="H92"/>
  <c r="G92" s="1"/>
  <c r="BT91"/>
  <c r="BS91"/>
  <c r="BR91"/>
  <c r="BQ91"/>
  <c r="BP91"/>
  <c r="BO91"/>
  <c r="BN91"/>
  <c r="BM91"/>
  <c r="BK91"/>
  <c r="BJ91"/>
  <c r="BI91"/>
  <c r="BH91"/>
  <c r="BG91"/>
  <c r="BF91"/>
  <c r="BE91"/>
  <c r="BD91"/>
  <c r="BC91"/>
  <c r="BB91"/>
  <c r="BA91"/>
  <c r="AX91"/>
  <c r="AW91"/>
  <c r="AV91"/>
  <c r="AC91"/>
  <c r="H9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s="1"/>
  <c r="AX89"/>
  <c r="AW89"/>
  <c r="AV89"/>
  <c r="AC89"/>
  <c r="H89"/>
  <c r="G89" s="1"/>
  <c r="BT88"/>
  <c r="BS88"/>
  <c r="BR88"/>
  <c r="BQ88"/>
  <c r="BP88"/>
  <c r="BO88"/>
  <c r="BN88"/>
  <c r="BM88"/>
  <c r="BK88"/>
  <c r="BJ88"/>
  <c r="BI88"/>
  <c r="BH88"/>
  <c r="BG88"/>
  <c r="BF88"/>
  <c r="BE88"/>
  <c r="BD88"/>
  <c r="BC88"/>
  <c r="BB88"/>
  <c r="BA88"/>
  <c r="AX88"/>
  <c r="AW88"/>
  <c r="AV88"/>
  <c r="AC88"/>
  <c r="H88"/>
  <c r="BT87"/>
  <c r="BS87"/>
  <c r="BR87"/>
  <c r="BQ87"/>
  <c r="BP87"/>
  <c r="BO87"/>
  <c r="BN87"/>
  <c r="BM87"/>
  <c r="BL87"/>
  <c r="BK87"/>
  <c r="BJ87"/>
  <c r="BI87"/>
  <c r="BH87"/>
  <c r="BG87"/>
  <c r="BF87"/>
  <c r="BE87"/>
  <c r="BD87"/>
  <c r="BC87"/>
  <c r="BB87"/>
  <c r="BA87" s="1"/>
  <c r="AZ87" s="1"/>
  <c r="AX87"/>
  <c r="AW87"/>
  <c r="AV87"/>
  <c r="AC87"/>
  <c r="H87"/>
  <c r="G87" s="1"/>
  <c r="BT86"/>
  <c r="BS86"/>
  <c r="BR86"/>
  <c r="BQ86"/>
  <c r="BP86"/>
  <c r="BO86"/>
  <c r="BN86"/>
  <c r="BM86"/>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s="1"/>
  <c r="AX85"/>
  <c r="AW85"/>
  <c r="AV85"/>
  <c r="AC85"/>
  <c r="H85"/>
  <c r="G85" s="1"/>
  <c r="BT84"/>
  <c r="BS84"/>
  <c r="BR84"/>
  <c r="BQ84"/>
  <c r="BP84"/>
  <c r="BO84"/>
  <c r="BN84"/>
  <c r="BM84"/>
  <c r="BK84"/>
  <c r="BJ84"/>
  <c r="BI84"/>
  <c r="BH84"/>
  <c r="BG84"/>
  <c r="BF84"/>
  <c r="BE84"/>
  <c r="BD84"/>
  <c r="BC84"/>
  <c r="BB84"/>
  <c r="BA84"/>
  <c r="AX84"/>
  <c r="AW84"/>
  <c r="AV84"/>
  <c r="AC84"/>
  <c r="H84"/>
  <c r="BT83"/>
  <c r="BS83"/>
  <c r="BR83"/>
  <c r="BQ83"/>
  <c r="BP83"/>
  <c r="BO83"/>
  <c r="BN83"/>
  <c r="BM83"/>
  <c r="BL83"/>
  <c r="BK83"/>
  <c r="BJ83"/>
  <c r="BI83"/>
  <c r="BH83"/>
  <c r="BG83"/>
  <c r="BF83"/>
  <c r="BE83"/>
  <c r="BD83"/>
  <c r="BC83"/>
  <c r="BB83"/>
  <c r="BA83" s="1"/>
  <c r="AX83"/>
  <c r="AW83"/>
  <c r="AV83"/>
  <c r="AC83"/>
  <c r="H83"/>
  <c r="BT82"/>
  <c r="BS82"/>
  <c r="BR82"/>
  <c r="BQ82"/>
  <c r="BP82"/>
  <c r="BO82"/>
  <c r="BN82"/>
  <c r="BM82"/>
  <c r="BL82"/>
  <c r="BK82"/>
  <c r="BJ82"/>
  <c r="BI82"/>
  <c r="BH82"/>
  <c r="BG82"/>
  <c r="BF82"/>
  <c r="BE82"/>
  <c r="BD82"/>
  <c r="BC82"/>
  <c r="BB82"/>
  <c r="BA82" s="1"/>
  <c r="AX82"/>
  <c r="AW82"/>
  <c r="AV82"/>
  <c r="AC82"/>
  <c r="H82"/>
  <c r="BT81"/>
  <c r="BS81"/>
  <c r="BR81"/>
  <c r="BQ81"/>
  <c r="BP81"/>
  <c r="BO81"/>
  <c r="BN81"/>
  <c r="BM81"/>
  <c r="BL81"/>
  <c r="BK81"/>
  <c r="BJ81"/>
  <c r="BI81"/>
  <c r="BH81"/>
  <c r="BG81"/>
  <c r="BF81"/>
  <c r="BE81"/>
  <c r="BD81"/>
  <c r="BC81"/>
  <c r="BB81"/>
  <c r="BA81" s="1"/>
  <c r="AZ81" s="1"/>
  <c r="AX81"/>
  <c r="AW81"/>
  <c r="AV81"/>
  <c r="AC81"/>
  <c r="H81"/>
  <c r="G81" s="1"/>
  <c r="BT80"/>
  <c r="BS80"/>
  <c r="BR80"/>
  <c r="BQ80"/>
  <c r="BP80"/>
  <c r="BO80"/>
  <c r="BN80"/>
  <c r="BM80"/>
  <c r="BK80"/>
  <c r="BJ80"/>
  <c r="BI80"/>
  <c r="BH80"/>
  <c r="BG80"/>
  <c r="BF80"/>
  <c r="BE80"/>
  <c r="BD80"/>
  <c r="BC80"/>
  <c r="BB80"/>
  <c r="BA80"/>
  <c r="AX80"/>
  <c r="AW80"/>
  <c r="AV80"/>
  <c r="AC80"/>
  <c r="H80"/>
  <c r="BT79"/>
  <c r="BS79"/>
  <c r="BR79"/>
  <c r="BQ79"/>
  <c r="BP79"/>
  <c r="BO79"/>
  <c r="BN79"/>
  <c r="BM79"/>
  <c r="BL79"/>
  <c r="BK79"/>
  <c r="BJ79"/>
  <c r="BI79"/>
  <c r="BH79"/>
  <c r="BG79"/>
  <c r="BF79"/>
  <c r="BE79"/>
  <c r="BD79"/>
  <c r="BC79"/>
  <c r="BB79"/>
  <c r="BA79" s="1"/>
  <c r="AX79"/>
  <c r="AW79"/>
  <c r="AV79"/>
  <c r="AC79"/>
  <c r="H79"/>
  <c r="BT78"/>
  <c r="BS78"/>
  <c r="BR78"/>
  <c r="BQ78"/>
  <c r="BP78"/>
  <c r="BO78"/>
  <c r="BN78"/>
  <c r="BM78"/>
  <c r="BL78"/>
  <c r="BK78"/>
  <c r="BJ78"/>
  <c r="BI78"/>
  <c r="BH78"/>
  <c r="BG78"/>
  <c r="BF78"/>
  <c r="BE78"/>
  <c r="BD78"/>
  <c r="BC78"/>
  <c r="BB78"/>
  <c r="BA78" s="1"/>
  <c r="AZ78" s="1"/>
  <c r="AX78"/>
  <c r="AW78"/>
  <c r="AV78"/>
  <c r="AC78"/>
  <c r="H78"/>
  <c r="G78" s="1"/>
  <c r="BT77"/>
  <c r="BS77"/>
  <c r="BR77"/>
  <c r="BQ77"/>
  <c r="BP77"/>
  <c r="BO77"/>
  <c r="BN77"/>
  <c r="BM77"/>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s="1"/>
  <c r="AZ76" s="1"/>
  <c r="AX76"/>
  <c r="AW76"/>
  <c r="AV76"/>
  <c r="AC76"/>
  <c r="H76"/>
  <c r="G76" s="1"/>
  <c r="BT75"/>
  <c r="BS75"/>
  <c r="BR75"/>
  <c r="BQ75"/>
  <c r="BP75"/>
  <c r="BO75"/>
  <c r="BN75"/>
  <c r="BM75"/>
  <c r="BL75" s="1"/>
  <c r="BK75"/>
  <c r="BJ75"/>
  <c r="BI75"/>
  <c r="BH75"/>
  <c r="BG75"/>
  <c r="BF75"/>
  <c r="BE75"/>
  <c r="BD75"/>
  <c r="BC75"/>
  <c r="BB75"/>
  <c r="AX75"/>
  <c r="AW75"/>
  <c r="AV75"/>
  <c r="AC75"/>
  <c r="H75"/>
  <c r="G75" s="1"/>
  <c r="BT74"/>
  <c r="BS74"/>
  <c r="BR74"/>
  <c r="BQ74"/>
  <c r="BP74"/>
  <c r="BO74"/>
  <c r="BN74"/>
  <c r="BM74"/>
  <c r="BL74" s="1"/>
  <c r="BK74"/>
  <c r="BJ74"/>
  <c r="BI74"/>
  <c r="BH74"/>
  <c r="BG74"/>
  <c r="BF74"/>
  <c r="BE74"/>
  <c r="BD74"/>
  <c r="BC74"/>
  <c r="BB74"/>
  <c r="AX74"/>
  <c r="AW74"/>
  <c r="AV74"/>
  <c r="AC74"/>
  <c r="H74"/>
  <c r="G74" s="1"/>
  <c r="BT73"/>
  <c r="BS73"/>
  <c r="BR73"/>
  <c r="BQ73"/>
  <c r="BP73"/>
  <c r="BO73"/>
  <c r="BN73"/>
  <c r="BM73"/>
  <c r="BL73" s="1"/>
  <c r="BK73"/>
  <c r="BJ73"/>
  <c r="BI73"/>
  <c r="BH73"/>
  <c r="BG73"/>
  <c r="BF73"/>
  <c r="BE73"/>
  <c r="BD73"/>
  <c r="BC73"/>
  <c r="BB73"/>
  <c r="AX73"/>
  <c r="AW73"/>
  <c r="AV73"/>
  <c r="AC73"/>
  <c r="H73"/>
  <c r="G73" s="1"/>
  <c r="BT72"/>
  <c r="BS72"/>
  <c r="BR72"/>
  <c r="BQ72"/>
  <c r="BP72"/>
  <c r="BO72"/>
  <c r="BN72"/>
  <c r="BM72"/>
  <c r="BK72"/>
  <c r="BJ72"/>
  <c r="BI72"/>
  <c r="BH72"/>
  <c r="BG72"/>
  <c r="BF72"/>
  <c r="BE72"/>
  <c r="BD72"/>
  <c r="BC72"/>
  <c r="BB72"/>
  <c r="BA72"/>
  <c r="AX72"/>
  <c r="AW72"/>
  <c r="AV72"/>
  <c r="AC72"/>
  <c r="H72"/>
  <c r="G72"/>
  <c r="BT71"/>
  <c r="BS71"/>
  <c r="BR71"/>
  <c r="BQ71"/>
  <c r="BP71"/>
  <c r="BO71"/>
  <c r="BN71"/>
  <c r="BM71"/>
  <c r="BL71" s="1"/>
  <c r="BK71"/>
  <c r="BJ71"/>
  <c r="BI71"/>
  <c r="BH71"/>
  <c r="BG71"/>
  <c r="BF71"/>
  <c r="BE71"/>
  <c r="BD71"/>
  <c r="BC71"/>
  <c r="BB71"/>
  <c r="BA71" s="1"/>
  <c r="AX71"/>
  <c r="AW71"/>
  <c r="AV71"/>
  <c r="AC71"/>
  <c r="H71"/>
  <c r="G71" s="1"/>
  <c r="BT70"/>
  <c r="BS70"/>
  <c r="BR70"/>
  <c r="BQ70"/>
  <c r="BP70"/>
  <c r="BO70"/>
  <c r="BN70"/>
  <c r="BM70"/>
  <c r="BK70"/>
  <c r="BJ70"/>
  <c r="BI70"/>
  <c r="BH70"/>
  <c r="BG70"/>
  <c r="BF70"/>
  <c r="BE70"/>
  <c r="BD70"/>
  <c r="BC70"/>
  <c r="BB70"/>
  <c r="BA70"/>
  <c r="AX70"/>
  <c r="AW70"/>
  <c r="AV70"/>
  <c r="AC70"/>
  <c r="H70"/>
  <c r="BT69"/>
  <c r="BS69"/>
  <c r="BR69"/>
  <c r="BQ69"/>
  <c r="BP69"/>
  <c r="BO69"/>
  <c r="BN69"/>
  <c r="BM69"/>
  <c r="BL69"/>
  <c r="BK69"/>
  <c r="BJ69"/>
  <c r="BI69"/>
  <c r="BH69"/>
  <c r="BG69"/>
  <c r="BF69"/>
  <c r="BE69"/>
  <c r="BD69"/>
  <c r="BC69"/>
  <c r="BB69"/>
  <c r="BA69" s="1"/>
  <c r="AX69"/>
  <c r="AW69"/>
  <c r="AV69"/>
  <c r="AC69"/>
  <c r="H69"/>
  <c r="BT68"/>
  <c r="BS68"/>
  <c r="BR68"/>
  <c r="BQ68"/>
  <c r="BP68"/>
  <c r="BO68"/>
  <c r="BN68"/>
  <c r="BM68"/>
  <c r="BL68"/>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s="1"/>
  <c r="AX67"/>
  <c r="AW67"/>
  <c r="AV67"/>
  <c r="AC67"/>
  <c r="H67"/>
  <c r="G67" s="1"/>
  <c r="BT66"/>
  <c r="BS66"/>
  <c r="BR66"/>
  <c r="BQ66"/>
  <c r="BP66"/>
  <c r="BO66"/>
  <c r="BN66"/>
  <c r="BM66"/>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s="1"/>
  <c r="AZ65" s="1"/>
  <c r="AX65"/>
  <c r="AW65"/>
  <c r="AV65"/>
  <c r="AC65"/>
  <c r="H65"/>
  <c r="G65" s="1"/>
  <c r="BT64"/>
  <c r="BS64"/>
  <c r="BR64"/>
  <c r="BQ64"/>
  <c r="BP64"/>
  <c r="BO64"/>
  <c r="BN64"/>
  <c r="BM64"/>
  <c r="BL64" s="1"/>
  <c r="BK64"/>
  <c r="BJ64"/>
  <c r="BI64"/>
  <c r="BH64"/>
  <c r="BG64"/>
  <c r="BF64"/>
  <c r="BE64"/>
  <c r="BD64"/>
  <c r="BC64"/>
  <c r="BB64"/>
  <c r="AX64"/>
  <c r="AW64"/>
  <c r="AV64"/>
  <c r="AC64"/>
  <c r="H64"/>
  <c r="G64" s="1"/>
  <c r="BT63"/>
  <c r="BS63"/>
  <c r="BR63"/>
  <c r="BQ63"/>
  <c r="BP63"/>
  <c r="BO63"/>
  <c r="BN63"/>
  <c r="BM63"/>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s="1"/>
  <c r="AZ62" s="1"/>
  <c r="AX62"/>
  <c r="AW62"/>
  <c r="AV62"/>
  <c r="AC62"/>
  <c r="H62"/>
  <c r="G62" s="1"/>
  <c r="BT61"/>
  <c r="BS61"/>
  <c r="BR61"/>
  <c r="BQ61"/>
  <c r="BP61"/>
  <c r="BO61"/>
  <c r="BN61"/>
  <c r="BM61"/>
  <c r="BL61" s="1"/>
  <c r="BK61"/>
  <c r="BJ61"/>
  <c r="BI61"/>
  <c r="BH61"/>
  <c r="BG61"/>
  <c r="BF61"/>
  <c r="BE61"/>
  <c r="BD61"/>
  <c r="BC61"/>
  <c r="BB61"/>
  <c r="BA61" s="1"/>
  <c r="AX61"/>
  <c r="AW61"/>
  <c r="AV61"/>
  <c r="AC61"/>
  <c r="H61"/>
  <c r="BT60"/>
  <c r="BS60"/>
  <c r="BR60"/>
  <c r="BQ60"/>
  <c r="BP60"/>
  <c r="BO60"/>
  <c r="BN60"/>
  <c r="BM60"/>
  <c r="BL60"/>
  <c r="BK60"/>
  <c r="BJ60"/>
  <c r="BI60"/>
  <c r="BH60"/>
  <c r="BG60"/>
  <c r="BF60"/>
  <c r="BE60"/>
  <c r="BD60"/>
  <c r="BC60"/>
  <c r="BB60"/>
  <c r="BA60" s="1"/>
  <c r="AZ60" s="1"/>
  <c r="AX60"/>
  <c r="AW60"/>
  <c r="AV60"/>
  <c r="AC60"/>
  <c r="H60"/>
  <c r="G60"/>
  <c r="BT59"/>
  <c r="BS59"/>
  <c r="BR59"/>
  <c r="BQ59"/>
  <c r="BP59"/>
  <c r="BO59"/>
  <c r="BN59"/>
  <c r="BM59"/>
  <c r="BL59" s="1"/>
  <c r="BK59"/>
  <c r="BJ59"/>
  <c r="BI59"/>
  <c r="BH59"/>
  <c r="BG59"/>
  <c r="BF59"/>
  <c r="BE59"/>
  <c r="BD59"/>
  <c r="BC59"/>
  <c r="BB59"/>
  <c r="BA59" s="1"/>
  <c r="AX59"/>
  <c r="AW59"/>
  <c r="AV59"/>
  <c r="AC59"/>
  <c r="H59"/>
  <c r="G59" s="1"/>
  <c r="BT58"/>
  <c r="BS58"/>
  <c r="BR58"/>
  <c r="BQ58"/>
  <c r="BP58"/>
  <c r="BO58"/>
  <c r="BN58"/>
  <c r="BM58"/>
  <c r="BK58"/>
  <c r="BJ58"/>
  <c r="BI58"/>
  <c r="BH58"/>
  <c r="BG58"/>
  <c r="BF58"/>
  <c r="BE58"/>
  <c r="BD58"/>
  <c r="BC58"/>
  <c r="BB58"/>
  <c r="BA58"/>
  <c r="AX58"/>
  <c r="AW58"/>
  <c r="AV58"/>
  <c r="AC58"/>
  <c r="H58"/>
  <c r="G58"/>
  <c r="BT57"/>
  <c r="BS57"/>
  <c r="BR57"/>
  <c r="BQ57"/>
  <c r="BP57"/>
  <c r="BO57"/>
  <c r="BN57"/>
  <c r="BM57"/>
  <c r="BL57" s="1"/>
  <c r="BK57"/>
  <c r="BJ57"/>
  <c r="BI57"/>
  <c r="BH57"/>
  <c r="BG57"/>
  <c r="BF57"/>
  <c r="BE57"/>
  <c r="BD57"/>
  <c r="BC57"/>
  <c r="BB57"/>
  <c r="BA57" s="1"/>
  <c r="AZ57" s="1"/>
  <c r="AX57"/>
  <c r="AW57"/>
  <c r="AV57"/>
  <c r="AC57"/>
  <c r="H57"/>
  <c r="G57" s="1"/>
  <c r="BT56"/>
  <c r="BS56"/>
  <c r="BR56"/>
  <c r="BQ56"/>
  <c r="BP56"/>
  <c r="BO56"/>
  <c r="BN56"/>
  <c r="BM56"/>
  <c r="BL56" s="1"/>
  <c r="BK56"/>
  <c r="BJ56"/>
  <c r="BI56"/>
  <c r="BH56"/>
  <c r="BG56"/>
  <c r="BF56"/>
  <c r="BE56"/>
  <c r="BD56"/>
  <c r="BC56"/>
  <c r="BB56"/>
  <c r="AX56"/>
  <c r="AW56"/>
  <c r="AV56"/>
  <c r="AC56"/>
  <c r="H56"/>
  <c r="G56" s="1"/>
  <c r="BT55"/>
  <c r="BS55"/>
  <c r="BR55"/>
  <c r="BQ55"/>
  <c r="BP55"/>
  <c r="BO55"/>
  <c r="BN55"/>
  <c r="BM55"/>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s="1"/>
  <c r="AZ54" s="1"/>
  <c r="AX54"/>
  <c r="AW54"/>
  <c r="AV54"/>
  <c r="AC54"/>
  <c r="H54"/>
  <c r="G54" s="1"/>
  <c r="BT53"/>
  <c r="BS53"/>
  <c r="BR53"/>
  <c r="BQ53"/>
  <c r="BP53"/>
  <c r="BO53"/>
  <c r="BN53"/>
  <c r="BM53"/>
  <c r="BL53" s="1"/>
  <c r="BK53"/>
  <c r="BJ53"/>
  <c r="BI53"/>
  <c r="BH53"/>
  <c r="BG53"/>
  <c r="BF53"/>
  <c r="BE53"/>
  <c r="BD53"/>
  <c r="BC53"/>
  <c r="BB53"/>
  <c r="AX53"/>
  <c r="AW53"/>
  <c r="AV53"/>
  <c r="AC53"/>
  <c r="H53"/>
  <c r="G53" s="1"/>
  <c r="BT52"/>
  <c r="BS52"/>
  <c r="BR52"/>
  <c r="BQ52"/>
  <c r="BP52"/>
  <c r="BO52"/>
  <c r="BN52"/>
  <c r="BM52"/>
  <c r="BL52" s="1"/>
  <c r="BK52"/>
  <c r="BJ52"/>
  <c r="BI52"/>
  <c r="BH52"/>
  <c r="BG52"/>
  <c r="BF52"/>
  <c r="BE52"/>
  <c r="BD52"/>
  <c r="BC52"/>
  <c r="BB52"/>
  <c r="AX52"/>
  <c r="AW52"/>
  <c r="AV52"/>
  <c r="AC52"/>
  <c r="H52"/>
  <c r="G52" s="1"/>
  <c r="BT51"/>
  <c r="BS51"/>
  <c r="BR51"/>
  <c r="BQ51"/>
  <c r="BP51"/>
  <c r="BO51"/>
  <c r="BN51"/>
  <c r="BM5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s="1"/>
  <c r="AX50"/>
  <c r="AW50"/>
  <c r="AV50"/>
  <c r="AC50"/>
  <c r="H50"/>
  <c r="G50" s="1"/>
  <c r="BT49"/>
  <c r="BS49"/>
  <c r="BR49"/>
  <c r="BQ49"/>
  <c r="BP49"/>
  <c r="BO49"/>
  <c r="BN49"/>
  <c r="BM49"/>
  <c r="BK49"/>
  <c r="BJ49"/>
  <c r="BI49"/>
  <c r="BH49"/>
  <c r="BG49"/>
  <c r="BF49"/>
  <c r="BE49"/>
  <c r="BD49"/>
  <c r="BC49"/>
  <c r="BB49"/>
  <c r="BA49"/>
  <c r="AX49"/>
  <c r="AW49"/>
  <c r="AV49"/>
  <c r="AC49"/>
  <c r="H49"/>
  <c r="BT48"/>
  <c r="BS48"/>
  <c r="BR48"/>
  <c r="BQ48"/>
  <c r="BP48"/>
  <c r="BO48"/>
  <c r="BN48"/>
  <c r="BM48"/>
  <c r="BL48"/>
  <c r="BK48"/>
  <c r="BJ48"/>
  <c r="BI48"/>
  <c r="BH48"/>
  <c r="BG48"/>
  <c r="BF48"/>
  <c r="BE48"/>
  <c r="BD48"/>
  <c r="BC48"/>
  <c r="BB48"/>
  <c r="BA48" s="1"/>
  <c r="AZ48" s="1"/>
  <c r="AX48"/>
  <c r="AW48"/>
  <c r="AV48"/>
  <c r="AC48"/>
  <c r="H48"/>
  <c r="G48"/>
  <c r="BT47"/>
  <c r="BS47"/>
  <c r="BR47"/>
  <c r="BQ47"/>
  <c r="BP47"/>
  <c r="BO47"/>
  <c r="BN47"/>
  <c r="BM47"/>
  <c r="BL47" s="1"/>
  <c r="BK47"/>
  <c r="BJ47"/>
  <c r="BI47"/>
  <c r="BH47"/>
  <c r="BG47"/>
  <c r="BF47"/>
  <c r="BE47"/>
  <c r="BD47"/>
  <c r="BC47"/>
  <c r="BB47"/>
  <c r="BA47" s="1"/>
  <c r="AX47"/>
  <c r="AW47"/>
  <c r="AV47"/>
  <c r="AC47"/>
  <c r="H47"/>
  <c r="G47" s="1"/>
  <c r="BT46"/>
  <c r="BS46"/>
  <c r="BR46"/>
  <c r="BQ46"/>
  <c r="BP46"/>
  <c r="BO46"/>
  <c r="BN46"/>
  <c r="BM46"/>
  <c r="BK46"/>
  <c r="BJ46"/>
  <c r="BI46"/>
  <c r="BH46"/>
  <c r="BG46"/>
  <c r="BF46"/>
  <c r="BE46"/>
  <c r="BD46"/>
  <c r="BC46"/>
  <c r="BB46"/>
  <c r="BA46"/>
  <c r="AX46"/>
  <c r="AW46"/>
  <c r="AV46"/>
  <c r="AC46"/>
  <c r="H46"/>
  <c r="BT45"/>
  <c r="BS45"/>
  <c r="BR45"/>
  <c r="BQ45"/>
  <c r="BP45"/>
  <c r="BO45"/>
  <c r="BN45"/>
  <c r="BM45"/>
  <c r="BL45"/>
  <c r="BK45"/>
  <c r="BJ45"/>
  <c r="BI45"/>
  <c r="BH45"/>
  <c r="BG45"/>
  <c r="BF45"/>
  <c r="BE45"/>
  <c r="BD45"/>
  <c r="BC45"/>
  <c r="BB45"/>
  <c r="BA45" s="1"/>
  <c r="AX45"/>
  <c r="AW45"/>
  <c r="AV45"/>
  <c r="AC45"/>
  <c r="H45"/>
  <c r="BT44"/>
  <c r="BS44"/>
  <c r="BR44"/>
  <c r="BQ44"/>
  <c r="BP44"/>
  <c r="BO44"/>
  <c r="BN44"/>
  <c r="BM44"/>
  <c r="BL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B43"/>
  <c r="BA43" s="1"/>
  <c r="AX43"/>
  <c r="AW43"/>
  <c r="AV43"/>
  <c r="AC43"/>
  <c r="H43"/>
  <c r="G43" s="1"/>
  <c r="BT42"/>
  <c r="BS42"/>
  <c r="BR42"/>
  <c r="BQ42"/>
  <c r="BP42"/>
  <c r="BO42"/>
  <c r="BN42"/>
  <c r="BM42"/>
  <c r="BK42"/>
  <c r="BJ42"/>
  <c r="BI42"/>
  <c r="BH42"/>
  <c r="BG42"/>
  <c r="BF42"/>
  <c r="BE42"/>
  <c r="BD42"/>
  <c r="BC42"/>
  <c r="BB42"/>
  <c r="BA42"/>
  <c r="AX42"/>
  <c r="AW42"/>
  <c r="AV42"/>
  <c r="AC42"/>
  <c r="H42"/>
  <c r="G42"/>
  <c r="BT41"/>
  <c r="BS41"/>
  <c r="BR41"/>
  <c r="BQ41"/>
  <c r="BP41"/>
  <c r="BO41"/>
  <c r="BN41"/>
  <c r="BM41"/>
  <c r="BL41" s="1"/>
  <c r="BK41"/>
  <c r="BJ41"/>
  <c r="BI41"/>
  <c r="BH41"/>
  <c r="BG41"/>
  <c r="BF41"/>
  <c r="BE41"/>
  <c r="BD41"/>
  <c r="BC41"/>
  <c r="BB41"/>
  <c r="BA41" s="1"/>
  <c r="AX41"/>
  <c r="AW41"/>
  <c r="AV41"/>
  <c r="AC41"/>
  <c r="H41"/>
  <c r="G41" s="1"/>
  <c r="BT40"/>
  <c r="BS40"/>
  <c r="BR40"/>
  <c r="BQ40"/>
  <c r="BP40"/>
  <c r="BO40"/>
  <c r="BN40"/>
  <c r="BM40"/>
  <c r="BL40" s="1"/>
  <c r="BK40"/>
  <c r="BJ40"/>
  <c r="BI40"/>
  <c r="BH40"/>
  <c r="BG40"/>
  <c r="BF40"/>
  <c r="BE40"/>
  <c r="BD40"/>
  <c r="BC40"/>
  <c r="BB40"/>
  <c r="AX40"/>
  <c r="AW40"/>
  <c r="AV40"/>
  <c r="AC40"/>
  <c r="H40"/>
  <c r="G40" s="1"/>
  <c r="BT39"/>
  <c r="BS39"/>
  <c r="BR39"/>
  <c r="BQ39"/>
  <c r="BP39"/>
  <c r="BO39"/>
  <c r="BN39"/>
  <c r="BM39"/>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s="1"/>
  <c r="AZ38" s="1"/>
  <c r="AX38"/>
  <c r="AW38"/>
  <c r="AV38"/>
  <c r="AC38"/>
  <c r="H38"/>
  <c r="G38" s="1"/>
  <c r="BT37"/>
  <c r="BS37"/>
  <c r="BR37"/>
  <c r="BQ37"/>
  <c r="BP37"/>
  <c r="BO37"/>
  <c r="BN37"/>
  <c r="BM37"/>
  <c r="BL37" s="1"/>
  <c r="BK37"/>
  <c r="BJ37"/>
  <c r="BI37"/>
  <c r="BH37"/>
  <c r="BG37"/>
  <c r="BF37"/>
  <c r="BE37"/>
  <c r="BD37"/>
  <c r="BC37"/>
  <c r="BB37"/>
  <c r="AX37"/>
  <c r="AW37"/>
  <c r="AV37"/>
  <c r="AC37"/>
  <c r="H37"/>
  <c r="G37" s="1"/>
  <c r="BT36"/>
  <c r="BS36"/>
  <c r="BR36"/>
  <c r="BQ36"/>
  <c r="BP36"/>
  <c r="BO36"/>
  <c r="BN36"/>
  <c r="BM36"/>
  <c r="BL36" s="1"/>
  <c r="BK36"/>
  <c r="BJ36"/>
  <c r="BI36"/>
  <c r="BH36"/>
  <c r="BG36"/>
  <c r="BF36"/>
  <c r="BE36"/>
  <c r="BD36"/>
  <c r="BC36"/>
  <c r="BB36"/>
  <c r="AX36"/>
  <c r="AW36"/>
  <c r="AV36"/>
  <c r="AC36"/>
  <c r="H36"/>
  <c r="G36"/>
  <c r="BT35"/>
  <c r="BS35"/>
  <c r="BR35"/>
  <c r="BQ35"/>
  <c r="BP35"/>
  <c r="BO35"/>
  <c r="BN35"/>
  <c r="BM35"/>
  <c r="BL35" s="1"/>
  <c r="BK35"/>
  <c r="BJ35"/>
  <c r="BI35"/>
  <c r="BH35"/>
  <c r="BG35"/>
  <c r="BF35"/>
  <c r="BE35"/>
  <c r="BD35"/>
  <c r="BC35"/>
  <c r="BB35"/>
  <c r="BA35" s="1"/>
  <c r="AX35"/>
  <c r="AW35"/>
  <c r="AV35"/>
  <c r="AC35"/>
  <c r="H35"/>
  <c r="G35" s="1"/>
  <c r="BT34"/>
  <c r="BS34"/>
  <c r="BR34"/>
  <c r="BQ34"/>
  <c r="BP34"/>
  <c r="BO34"/>
  <c r="BN34"/>
  <c r="BM34"/>
  <c r="BL34" s="1"/>
  <c r="BK34"/>
  <c r="BJ34"/>
  <c r="BI34"/>
  <c r="BH34"/>
  <c r="BG34"/>
  <c r="BF34"/>
  <c r="BE34"/>
  <c r="BD34"/>
  <c r="BC34"/>
  <c r="BB34"/>
  <c r="AX34"/>
  <c r="AW34"/>
  <c r="AV34"/>
  <c r="AC34"/>
  <c r="H34"/>
  <c r="G34"/>
  <c r="BT33"/>
  <c r="BS33"/>
  <c r="BR33"/>
  <c r="BQ33"/>
  <c r="BP33"/>
  <c r="BO33"/>
  <c r="BN33"/>
  <c r="BM33"/>
  <c r="BL33" s="1"/>
  <c r="BK33"/>
  <c r="BJ33"/>
  <c r="BI33"/>
  <c r="BH33"/>
  <c r="BG33"/>
  <c r="BF33"/>
  <c r="BE33"/>
  <c r="BD33"/>
  <c r="BC33"/>
  <c r="BB33"/>
  <c r="BA33" s="1"/>
  <c r="AX33"/>
  <c r="AW33"/>
  <c r="AV33"/>
  <c r="AC33"/>
  <c r="H33"/>
  <c r="G33" s="1"/>
  <c r="BT32"/>
  <c r="BS32"/>
  <c r="BR32"/>
  <c r="BQ32"/>
  <c r="BP32"/>
  <c r="BO32"/>
  <c r="BN32"/>
  <c r="BM32"/>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s="1"/>
  <c r="AX31"/>
  <c r="AW31"/>
  <c r="AV31"/>
  <c r="AC31"/>
  <c r="H31"/>
  <c r="G31" s="1"/>
  <c r="BT30"/>
  <c r="BS30"/>
  <c r="BR30"/>
  <c r="BQ30"/>
  <c r="BP30"/>
  <c r="BO30"/>
  <c r="BN30"/>
  <c r="BM30"/>
  <c r="BK30"/>
  <c r="BJ30"/>
  <c r="BI30"/>
  <c r="BH30"/>
  <c r="BG30"/>
  <c r="BF30"/>
  <c r="BE30"/>
  <c r="BD30"/>
  <c r="BC30"/>
  <c r="BB30"/>
  <c r="BA30"/>
  <c r="AX30"/>
  <c r="AW30"/>
  <c r="AV30"/>
  <c r="AC30"/>
  <c r="H30"/>
  <c r="BT29"/>
  <c r="BS29"/>
  <c r="BR29"/>
  <c r="BQ29"/>
  <c r="BP29"/>
  <c r="BO29"/>
  <c r="BN29"/>
  <c r="BM29"/>
  <c r="BL29"/>
  <c r="BK29"/>
  <c r="BJ29"/>
  <c r="BI29"/>
  <c r="BH29"/>
  <c r="BG29"/>
  <c r="BF29"/>
  <c r="BE29"/>
  <c r="BD29"/>
  <c r="BC29"/>
  <c r="BB29"/>
  <c r="BA29" s="1"/>
  <c r="AX29"/>
  <c r="AW29"/>
  <c r="AV29"/>
  <c r="AC29"/>
  <c r="H29"/>
  <c r="BT28"/>
  <c r="BS28"/>
  <c r="BR28"/>
  <c r="BQ28"/>
  <c r="BP28"/>
  <c r="BO28"/>
  <c r="BN28"/>
  <c r="BM28"/>
  <c r="BL28"/>
  <c r="BK28"/>
  <c r="BJ28"/>
  <c r="BI28"/>
  <c r="BH28"/>
  <c r="BG28"/>
  <c r="BF28"/>
  <c r="BE28"/>
  <c r="BD28"/>
  <c r="BC28"/>
  <c r="BB28"/>
  <c r="BA28" s="1"/>
  <c r="AX28"/>
  <c r="AW28"/>
  <c r="AV28"/>
  <c r="AC28"/>
  <c r="H28"/>
  <c r="BT27"/>
  <c r="BS27"/>
  <c r="BR27"/>
  <c r="BQ27"/>
  <c r="BP27"/>
  <c r="BO27"/>
  <c r="BN27"/>
  <c r="BM27"/>
  <c r="BL27"/>
  <c r="BK27"/>
  <c r="BJ27"/>
  <c r="BI27"/>
  <c r="BH27"/>
  <c r="BG27"/>
  <c r="BF27"/>
  <c r="BE27"/>
  <c r="BD27"/>
  <c r="BC27"/>
  <c r="BB27"/>
  <c r="BA27" s="1"/>
  <c r="AZ27" s="1"/>
  <c r="AX27"/>
  <c r="AW27"/>
  <c r="AV27"/>
  <c r="AC27"/>
  <c r="H27"/>
  <c r="G27"/>
  <c r="BT26"/>
  <c r="BS26"/>
  <c r="BR26"/>
  <c r="BQ26"/>
  <c r="BP26"/>
  <c r="BO26"/>
  <c r="BN26"/>
  <c r="BM26"/>
  <c r="BL26" s="1"/>
  <c r="BK26"/>
  <c r="BJ26"/>
  <c r="BI26"/>
  <c r="BH26"/>
  <c r="BG26"/>
  <c r="BF26"/>
  <c r="BE26"/>
  <c r="BD26"/>
  <c r="BC26"/>
  <c r="BB26"/>
  <c r="BA26" s="1"/>
  <c r="AX26"/>
  <c r="AW26"/>
  <c r="AV26"/>
  <c r="AC26"/>
  <c r="H26"/>
  <c r="G26" s="1"/>
  <c r="BT25"/>
  <c r="BS25"/>
  <c r="BR25"/>
  <c r="BQ25"/>
  <c r="BP25"/>
  <c r="BO25"/>
  <c r="BN25"/>
  <c r="BM25"/>
  <c r="BL25" s="1"/>
  <c r="BK25"/>
  <c r="BJ25"/>
  <c r="BI25"/>
  <c r="BH25"/>
  <c r="BG25"/>
  <c r="BF25"/>
  <c r="BE25"/>
  <c r="BD25"/>
  <c r="BC25"/>
  <c r="BB25"/>
  <c r="AX25"/>
  <c r="AW25"/>
  <c r="AV25"/>
  <c r="AC25"/>
  <c r="H25"/>
  <c r="G25" s="1"/>
  <c r="BT24"/>
  <c r="BS24"/>
  <c r="BR24"/>
  <c r="BQ24"/>
  <c r="BP24"/>
  <c r="BO24"/>
  <c r="BN24"/>
  <c r="BM24"/>
  <c r="BK24"/>
  <c r="BJ24"/>
  <c r="BI24"/>
  <c r="BH24"/>
  <c r="BG24"/>
  <c r="BF24"/>
  <c r="BE24"/>
  <c r="BD24"/>
  <c r="BC24"/>
  <c r="BB24"/>
  <c r="BA24"/>
  <c r="AX24"/>
  <c r="AW24"/>
  <c r="AV24"/>
  <c r="AC24"/>
  <c r="H24"/>
  <c r="G24"/>
  <c r="BT23"/>
  <c r="BS23"/>
  <c r="BR23"/>
  <c r="BQ23"/>
  <c r="BP23"/>
  <c r="BO23"/>
  <c r="BN23"/>
  <c r="BM23"/>
  <c r="BL23" s="1"/>
  <c r="BK23"/>
  <c r="BJ23"/>
  <c r="BI23"/>
  <c r="BH23"/>
  <c r="BG23"/>
  <c r="BF23"/>
  <c r="BE23"/>
  <c r="BD23"/>
  <c r="BC23"/>
  <c r="BB23"/>
  <c r="BA23" s="1"/>
  <c r="AZ23" s="1"/>
  <c r="AX23"/>
  <c r="AW23"/>
  <c r="AV23"/>
  <c r="AC23"/>
  <c r="H23"/>
  <c r="G23" s="1"/>
  <c r="BT22"/>
  <c r="BS22"/>
  <c r="BR22"/>
  <c r="BQ22"/>
  <c r="BP22"/>
  <c r="BO22"/>
  <c r="BN22"/>
  <c r="BM22"/>
  <c r="BL22" s="1"/>
  <c r="BK22"/>
  <c r="BJ22"/>
  <c r="BI22"/>
  <c r="BH22"/>
  <c r="BG22"/>
  <c r="BF22"/>
  <c r="BE22"/>
  <c r="BD22"/>
  <c r="BC22"/>
  <c r="BB22"/>
  <c r="AX22"/>
  <c r="AW22"/>
  <c r="AV22"/>
  <c r="AC22"/>
  <c r="H22"/>
  <c r="G22" s="1"/>
  <c r="BT21"/>
  <c r="BS21"/>
  <c r="BR21"/>
  <c r="BQ21"/>
  <c r="BP21"/>
  <c r="BO21"/>
  <c r="BN21"/>
  <c r="BM21"/>
  <c r="BK21"/>
  <c r="BJ21"/>
  <c r="BI21"/>
  <c r="BH21"/>
  <c r="BG21"/>
  <c r="BF21"/>
  <c r="BE21"/>
  <c r="BD21"/>
  <c r="BC21"/>
  <c r="BB21"/>
  <c r="BA21"/>
  <c r="AX21"/>
  <c r="AW21"/>
  <c r="AV21"/>
  <c r="AC21"/>
  <c r="H21"/>
  <c r="G21"/>
  <c r="BT20"/>
  <c r="BS20"/>
  <c r="BR20"/>
  <c r="BQ20"/>
  <c r="BP20"/>
  <c r="BO20"/>
  <c r="BN20"/>
  <c r="BM20"/>
  <c r="BL20" s="1"/>
  <c r="BK20"/>
  <c r="BJ20"/>
  <c r="BI20"/>
  <c r="BH20"/>
  <c r="BG20"/>
  <c r="BF20"/>
  <c r="BE20"/>
  <c r="BD20"/>
  <c r="BC20"/>
  <c r="BB20"/>
  <c r="BA20" s="1"/>
  <c r="AX20"/>
  <c r="AW20"/>
  <c r="AV20"/>
  <c r="AC20"/>
  <c r="H20"/>
  <c r="G20" s="1"/>
  <c r="BT19"/>
  <c r="BS19"/>
  <c r="BR19"/>
  <c r="BQ19"/>
  <c r="BP19"/>
  <c r="BO19"/>
  <c r="BN19"/>
  <c r="BM19"/>
  <c r="BK19"/>
  <c r="BJ19"/>
  <c r="BI19"/>
  <c r="BH19"/>
  <c r="BG19"/>
  <c r="BF19"/>
  <c r="BE19"/>
  <c r="BD19"/>
  <c r="BC19"/>
  <c r="BB19"/>
  <c r="BA19"/>
  <c r="AX19"/>
  <c r="AW19"/>
  <c r="AV19"/>
  <c r="AC19"/>
  <c r="H19"/>
  <c r="BT18"/>
  <c r="BS18"/>
  <c r="BR18"/>
  <c r="BQ18"/>
  <c r="BP18"/>
  <c r="BO18"/>
  <c r="BN18"/>
  <c r="BM18"/>
  <c r="BL18"/>
  <c r="BK18"/>
  <c r="BJ18"/>
  <c r="BI18"/>
  <c r="BH18"/>
  <c r="BG18"/>
  <c r="BF18"/>
  <c r="BE18"/>
  <c r="BD18"/>
  <c r="BC18"/>
  <c r="BB18"/>
  <c r="BA18" s="1"/>
  <c r="AZ18" s="1"/>
  <c r="AX18"/>
  <c r="AW18"/>
  <c r="AV18"/>
  <c r="AC18"/>
  <c r="H18"/>
  <c r="G18"/>
  <c r="BT207"/>
  <c r="BS207"/>
  <c r="BR207"/>
  <c r="BQ207"/>
  <c r="BP207"/>
  <c r="BO207"/>
  <c r="BN207"/>
  <c r="BM207"/>
  <c r="BL207" s="1"/>
  <c r="BK207"/>
  <c r="BJ207"/>
  <c r="BI207"/>
  <c r="BH207"/>
  <c r="BG207"/>
  <c r="BF207"/>
  <c r="BE207"/>
  <c r="BD207"/>
  <c r="BC207"/>
  <c r="BB207"/>
  <c r="BA207" s="1"/>
  <c r="AZ207" s="1"/>
  <c r="AX207"/>
  <c r="AW207"/>
  <c r="AV207"/>
  <c r="AC207"/>
  <c r="H207"/>
  <c r="G207" s="1"/>
  <c r="BT206"/>
  <c r="BS206"/>
  <c r="BR206"/>
  <c r="BQ206"/>
  <c r="BP206"/>
  <c r="BO206"/>
  <c r="BN206"/>
  <c r="BM206"/>
  <c r="BL206" s="1"/>
  <c r="BK206"/>
  <c r="BJ206"/>
  <c r="BI206"/>
  <c r="BH206"/>
  <c r="BG206"/>
  <c r="BF206"/>
  <c r="BE206"/>
  <c r="BD206"/>
  <c r="BC206"/>
  <c r="BB206"/>
  <c r="AX206"/>
  <c r="AW206"/>
  <c r="AV206"/>
  <c r="AC206"/>
  <c r="H206"/>
  <c r="G206" s="1"/>
  <c r="BT205"/>
  <c r="BS205"/>
  <c r="BR205"/>
  <c r="BQ205"/>
  <c r="BP205"/>
  <c r="BO205"/>
  <c r="BN205"/>
  <c r="BM205"/>
  <c r="BL205" s="1"/>
  <c r="BK205"/>
  <c r="BJ205"/>
  <c r="BI205"/>
  <c r="BH205"/>
  <c r="BG205"/>
  <c r="BF205"/>
  <c r="BE205"/>
  <c r="BD205"/>
  <c r="BC205"/>
  <c r="BB205"/>
  <c r="AX205"/>
  <c r="AW205"/>
  <c r="AV205"/>
  <c r="AC205"/>
  <c r="H205"/>
  <c r="G205" s="1"/>
  <c r="BT204"/>
  <c r="BS204"/>
  <c r="BR204"/>
  <c r="BQ204"/>
  <c r="BP204"/>
  <c r="BO204"/>
  <c r="BN204"/>
  <c r="BM204"/>
  <c r="BK204"/>
  <c r="BJ204"/>
  <c r="BI204"/>
  <c r="BH204"/>
  <c r="BG204"/>
  <c r="BF204"/>
  <c r="BE204"/>
  <c r="BD204"/>
  <c r="BC204"/>
  <c r="BB204"/>
  <c r="AX204"/>
  <c r="AW204"/>
  <c r="AV204"/>
  <c r="AC204"/>
  <c r="H204"/>
  <c r="G204" s="1"/>
  <c r="BT203"/>
  <c r="BS203"/>
  <c r="BR203"/>
  <c r="BQ203"/>
  <c r="BP203"/>
  <c r="BO203"/>
  <c r="BN203"/>
  <c r="BM203"/>
  <c r="BL203" s="1"/>
  <c r="BK203"/>
  <c r="BJ203"/>
  <c r="BI203"/>
  <c r="BH203"/>
  <c r="BG203"/>
  <c r="BF203"/>
  <c r="BE203"/>
  <c r="BD203"/>
  <c r="BC203"/>
  <c r="BB203"/>
  <c r="AX203"/>
  <c r="AW203"/>
  <c r="AV203"/>
  <c r="AC203"/>
  <c r="H203"/>
  <c r="G203" s="1"/>
  <c r="BT202"/>
  <c r="BS202"/>
  <c r="BR202"/>
  <c r="BQ202"/>
  <c r="BP202"/>
  <c r="BO202"/>
  <c r="BN202"/>
  <c r="BM202"/>
  <c r="BK202"/>
  <c r="BJ202"/>
  <c r="BI202"/>
  <c r="BH202"/>
  <c r="BG202"/>
  <c r="BF202"/>
  <c r="BE202"/>
  <c r="BD202"/>
  <c r="BC202"/>
  <c r="BB202"/>
  <c r="BA202"/>
  <c r="AX202"/>
  <c r="AW202"/>
  <c r="AV202"/>
  <c r="AC202"/>
  <c r="H202"/>
  <c r="G202"/>
  <c r="BT201"/>
  <c r="BS201"/>
  <c r="BR201"/>
  <c r="BQ201"/>
  <c r="BP201"/>
  <c r="BO201"/>
  <c r="BN201"/>
  <c r="BM201"/>
  <c r="BL201" s="1"/>
  <c r="BK201"/>
  <c r="BJ201"/>
  <c r="BI201"/>
  <c r="BH201"/>
  <c r="BG201"/>
  <c r="BF201"/>
  <c r="BE201"/>
  <c r="BD201"/>
  <c r="BC201"/>
  <c r="BB201"/>
  <c r="BA201" s="1"/>
  <c r="AZ201" s="1"/>
  <c r="AX201"/>
  <c r="AW201"/>
  <c r="AV201"/>
  <c r="AC201"/>
  <c r="H201"/>
  <c r="BT200"/>
  <c r="BS200"/>
  <c r="BR200"/>
  <c r="BQ200"/>
  <c r="BP200"/>
  <c r="BO200"/>
  <c r="BN200"/>
  <c r="BM200"/>
  <c r="BK200"/>
  <c r="BJ200"/>
  <c r="BI200"/>
  <c r="BH200"/>
  <c r="BG200"/>
  <c r="BF200"/>
  <c r="BE200"/>
  <c r="BD200"/>
  <c r="BC200"/>
  <c r="BB200"/>
  <c r="BA200" s="1"/>
  <c r="AX200"/>
  <c r="AW200"/>
  <c r="AV200"/>
  <c r="AC200"/>
  <c r="H200"/>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s="1"/>
  <c r="BK198"/>
  <c r="BJ198"/>
  <c r="BI198"/>
  <c r="BH198"/>
  <c r="BG198"/>
  <c r="BF198"/>
  <c r="BE198"/>
  <c r="BD198"/>
  <c r="BC198"/>
  <c r="BB198"/>
  <c r="BA198" s="1"/>
  <c r="AX198"/>
  <c r="AW198"/>
  <c r="AV198"/>
  <c r="AC198"/>
  <c r="H198"/>
  <c r="G198" s="1"/>
  <c r="BT197"/>
  <c r="BS197"/>
  <c r="BR197"/>
  <c r="BQ197"/>
  <c r="BP197"/>
  <c r="BO197"/>
  <c r="BN197"/>
  <c r="BM197"/>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AX196"/>
  <c r="AW196"/>
  <c r="AV196"/>
  <c r="AC196"/>
  <c r="H196"/>
  <c r="G196" s="1"/>
  <c r="BT195"/>
  <c r="BS195"/>
  <c r="BR195"/>
  <c r="BQ195"/>
  <c r="BP195"/>
  <c r="BO195"/>
  <c r="BN195"/>
  <c r="BM195"/>
  <c r="BL195" s="1"/>
  <c r="BK195"/>
  <c r="BJ195"/>
  <c r="BI195"/>
  <c r="BH195"/>
  <c r="BG195"/>
  <c r="BF195"/>
  <c r="BE195"/>
  <c r="BD195"/>
  <c r="BC195"/>
  <c r="BB195"/>
  <c r="AX195"/>
  <c r="AW195"/>
  <c r="AV195"/>
  <c r="AC195"/>
  <c r="H195"/>
  <c r="G195" s="1"/>
  <c r="BT194"/>
  <c r="BS194"/>
  <c r="BR194"/>
  <c r="BQ194"/>
  <c r="BP194"/>
  <c r="BO194"/>
  <c r="BN194"/>
  <c r="BM194"/>
  <c r="BK194"/>
  <c r="BJ194"/>
  <c r="BI194"/>
  <c r="BH194"/>
  <c r="BG194"/>
  <c r="BF194"/>
  <c r="BE194"/>
  <c r="BD194"/>
  <c r="BC194"/>
  <c r="BB194"/>
  <c r="BA194"/>
  <c r="AX194"/>
  <c r="AW194"/>
  <c r="AV194"/>
  <c r="AC194"/>
  <c r="H194"/>
  <c r="G194"/>
  <c r="BT193"/>
  <c r="BS193"/>
  <c r="BR193"/>
  <c r="BQ193"/>
  <c r="BP193"/>
  <c r="BO193"/>
  <c r="BN193"/>
  <c r="BM193"/>
  <c r="BL193" s="1"/>
  <c r="BK193"/>
  <c r="BJ193"/>
  <c r="BI193"/>
  <c r="BH193"/>
  <c r="BG193"/>
  <c r="BF193"/>
  <c r="BE193"/>
  <c r="BD193"/>
  <c r="BC193"/>
  <c r="BB193"/>
  <c r="BA193" s="1"/>
  <c r="AZ193" s="1"/>
  <c r="AX193"/>
  <c r="AW193"/>
  <c r="AV193"/>
  <c r="AC193"/>
  <c r="H193"/>
  <c r="BT192"/>
  <c r="BS192"/>
  <c r="BR192"/>
  <c r="BQ192"/>
  <c r="BP192"/>
  <c r="BO192"/>
  <c r="BN192"/>
  <c r="BM192"/>
  <c r="BK192"/>
  <c r="BJ192"/>
  <c r="BI192"/>
  <c r="BH192"/>
  <c r="BG192"/>
  <c r="BF192"/>
  <c r="BE192"/>
  <c r="BD192"/>
  <c r="BC192"/>
  <c r="BB192"/>
  <c r="BA192" s="1"/>
  <c r="AX192"/>
  <c r="AW192"/>
  <c r="AV192"/>
  <c r="AC192"/>
  <c r="H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s="1"/>
  <c r="BK190"/>
  <c r="BJ190"/>
  <c r="BI190"/>
  <c r="BH190"/>
  <c r="BG190"/>
  <c r="BF190"/>
  <c r="BE190"/>
  <c r="BD190"/>
  <c r="BC190"/>
  <c r="BB190"/>
  <c r="BA190" s="1"/>
  <c r="AX190"/>
  <c r="AW190"/>
  <c r="AV190"/>
  <c r="AC190"/>
  <c r="H190"/>
  <c r="G190" s="1"/>
  <c r="BT189"/>
  <c r="BS189"/>
  <c r="BR189"/>
  <c r="BQ189"/>
  <c r="BP189"/>
  <c r="BO189"/>
  <c r="BN189"/>
  <c r="BM189"/>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AX188"/>
  <c r="AW188"/>
  <c r="AV188"/>
  <c r="AC188"/>
  <c r="H188"/>
  <c r="G188" s="1"/>
  <c r="BT187"/>
  <c r="BS187"/>
  <c r="BR187"/>
  <c r="BQ187"/>
  <c r="BP187"/>
  <c r="BO187"/>
  <c r="BN187"/>
  <c r="BM187"/>
  <c r="BL187" s="1"/>
  <c r="BK187"/>
  <c r="BJ187"/>
  <c r="BI187"/>
  <c r="BH187"/>
  <c r="BG187"/>
  <c r="BF187"/>
  <c r="BE187"/>
  <c r="BD187"/>
  <c r="BC187"/>
  <c r="BB187"/>
  <c r="AX187"/>
  <c r="AW187"/>
  <c r="AV187"/>
  <c r="AC187"/>
  <c r="H187"/>
  <c r="G187" s="1"/>
  <c r="BT186"/>
  <c r="BS186"/>
  <c r="BR186"/>
  <c r="BQ186"/>
  <c r="BP186"/>
  <c r="BO186"/>
  <c r="BN186"/>
  <c r="BM186"/>
  <c r="BK186"/>
  <c r="BJ186"/>
  <c r="BI186"/>
  <c r="BH186"/>
  <c r="BG186"/>
  <c r="BF186"/>
  <c r="BE186"/>
  <c r="BD186"/>
  <c r="BC186"/>
  <c r="BB186"/>
  <c r="BA186"/>
  <c r="AX186"/>
  <c r="AW186"/>
  <c r="AV186"/>
  <c r="AC186"/>
  <c r="H186"/>
  <c r="G186"/>
  <c r="BT185"/>
  <c r="BS185"/>
  <c r="BR185"/>
  <c r="BQ185"/>
  <c r="BP185"/>
  <c r="BO185"/>
  <c r="BN185"/>
  <c r="BM185"/>
  <c r="BL185" s="1"/>
  <c r="BK185"/>
  <c r="BJ185"/>
  <c r="BI185"/>
  <c r="BH185"/>
  <c r="BG185"/>
  <c r="BF185"/>
  <c r="BE185"/>
  <c r="BD185"/>
  <c r="BC185"/>
  <c r="BB185"/>
  <c r="BA185" s="1"/>
  <c r="AZ185" s="1"/>
  <c r="AX185"/>
  <c r="AW185"/>
  <c r="AV185"/>
  <c r="AC185"/>
  <c r="H185"/>
  <c r="BT184"/>
  <c r="BS184"/>
  <c r="BR184"/>
  <c r="BQ184"/>
  <c r="BP184"/>
  <c r="BO184"/>
  <c r="BN184"/>
  <c r="BM184"/>
  <c r="BK184"/>
  <c r="BJ184"/>
  <c r="BI184"/>
  <c r="BH184"/>
  <c r="BG184"/>
  <c r="BF184"/>
  <c r="BE184"/>
  <c r="BD184"/>
  <c r="BC184"/>
  <c r="BB184"/>
  <c r="BA184" s="1"/>
  <c r="AX184"/>
  <c r="AW184"/>
  <c r="AV184"/>
  <c r="AC184"/>
  <c r="H184"/>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s="1"/>
  <c r="BK182"/>
  <c r="BJ182"/>
  <c r="BI182"/>
  <c r="BH182"/>
  <c r="BG182"/>
  <c r="BF182"/>
  <c r="BE182"/>
  <c r="BD182"/>
  <c r="BC182"/>
  <c r="BB182"/>
  <c r="BA182" s="1"/>
  <c r="AX182"/>
  <c r="AW182"/>
  <c r="AV182"/>
  <c r="AC182"/>
  <c r="H182"/>
  <c r="G182" s="1"/>
  <c r="BT181"/>
  <c r="BS181"/>
  <c r="BR181"/>
  <c r="BQ181"/>
  <c r="BP181"/>
  <c r="BO181"/>
  <c r="BN181"/>
  <c r="BM18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AX180"/>
  <c r="AW180"/>
  <c r="AV180"/>
  <c r="AC180"/>
  <c r="H180"/>
  <c r="G180" s="1"/>
  <c r="BT179"/>
  <c r="BS179"/>
  <c r="BR179"/>
  <c r="BQ179"/>
  <c r="BP179"/>
  <c r="BO179"/>
  <c r="BN179"/>
  <c r="BM179"/>
  <c r="BL179" s="1"/>
  <c r="BK179"/>
  <c r="BJ179"/>
  <c r="BI179"/>
  <c r="BH179"/>
  <c r="BG179"/>
  <c r="BF179"/>
  <c r="BE179"/>
  <c r="BD179"/>
  <c r="BC179"/>
  <c r="BB179"/>
  <c r="AX179"/>
  <c r="AW179"/>
  <c r="AV179"/>
  <c r="AC179"/>
  <c r="H179"/>
  <c r="G179" s="1"/>
  <c r="BT178"/>
  <c r="BS178"/>
  <c r="BR178"/>
  <c r="BQ178"/>
  <c r="BP178"/>
  <c r="BO178"/>
  <c r="BN178"/>
  <c r="BM178"/>
  <c r="BK178"/>
  <c r="BJ178"/>
  <c r="BI178"/>
  <c r="BH178"/>
  <c r="BG178"/>
  <c r="BF178"/>
  <c r="BE178"/>
  <c r="BD178"/>
  <c r="BC178"/>
  <c r="BB178"/>
  <c r="BA178"/>
  <c r="AX178"/>
  <c r="AW178"/>
  <c r="AV178"/>
  <c r="AC178"/>
  <c r="H178"/>
  <c r="G178"/>
  <c r="BT177"/>
  <c r="BS177"/>
  <c r="BR177"/>
  <c r="BQ177"/>
  <c r="BP177"/>
  <c r="BO177"/>
  <c r="BN177"/>
  <c r="BM177"/>
  <c r="BL177" s="1"/>
  <c r="BK177"/>
  <c r="BJ177"/>
  <c r="BI177"/>
  <c r="BH177"/>
  <c r="BG177"/>
  <c r="BF177"/>
  <c r="BE177"/>
  <c r="BD177"/>
  <c r="BC177"/>
  <c r="BB177"/>
  <c r="BA177" s="1"/>
  <c r="AZ177" s="1"/>
  <c r="AX177"/>
  <c r="AW177"/>
  <c r="AV177"/>
  <c r="AC177"/>
  <c r="H177"/>
  <c r="BT176"/>
  <c r="BS176"/>
  <c r="BR176"/>
  <c r="BQ176"/>
  <c r="BP176"/>
  <c r="BO176"/>
  <c r="BN176"/>
  <c r="BM176"/>
  <c r="BK176"/>
  <c r="BJ176"/>
  <c r="BI176"/>
  <c r="BH176"/>
  <c r="BG176"/>
  <c r="BF176"/>
  <c r="BE176"/>
  <c r="BD176"/>
  <c r="BC176"/>
  <c r="BB176"/>
  <c r="BA176" s="1"/>
  <c r="AX176"/>
  <c r="AW176"/>
  <c r="AV176"/>
  <c r="AC176"/>
  <c r="H176"/>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s="1"/>
  <c r="BK174"/>
  <c r="BJ174"/>
  <c r="BI174"/>
  <c r="BH174"/>
  <c r="BG174"/>
  <c r="BF174"/>
  <c r="BE174"/>
  <c r="BD174"/>
  <c r="BC174"/>
  <c r="BB174"/>
  <c r="BA174" s="1"/>
  <c r="AX174"/>
  <c r="AW174"/>
  <c r="AV174"/>
  <c r="AC174"/>
  <c r="H174"/>
  <c r="G174" s="1"/>
  <c r="BT173"/>
  <c r="BS173"/>
  <c r="BR173"/>
  <c r="BQ173"/>
  <c r="BP173"/>
  <c r="BO173"/>
  <c r="BN173"/>
  <c r="BM173"/>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AX172"/>
  <c r="AW172"/>
  <c r="AV172"/>
  <c r="AC172"/>
  <c r="H172"/>
  <c r="G172" s="1"/>
  <c r="BT171"/>
  <c r="BS171"/>
  <c r="BR171"/>
  <c r="BQ171"/>
  <c r="BP171"/>
  <c r="BO171"/>
  <c r="BN171"/>
  <c r="BM171"/>
  <c r="BL171" s="1"/>
  <c r="BK171"/>
  <c r="BJ171"/>
  <c r="BI171"/>
  <c r="BH171"/>
  <c r="BG171"/>
  <c r="BF171"/>
  <c r="BE171"/>
  <c r="BD171"/>
  <c r="BC171"/>
  <c r="BB171"/>
  <c r="AX171"/>
  <c r="AW171"/>
  <c r="AV171"/>
  <c r="AC171"/>
  <c r="H171"/>
  <c r="G171" s="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s="1"/>
  <c r="AZ169" s="1"/>
  <c r="AX169"/>
  <c r="AW169"/>
  <c r="AV169"/>
  <c r="AC169"/>
  <c r="H169"/>
  <c r="BT168"/>
  <c r="BS168"/>
  <c r="BR168"/>
  <c r="BQ168"/>
  <c r="BP168"/>
  <c r="BO168"/>
  <c r="BN168"/>
  <c r="BM168"/>
  <c r="BK168"/>
  <c r="BJ168"/>
  <c r="BI168"/>
  <c r="BH168"/>
  <c r="BG168"/>
  <c r="BF168"/>
  <c r="BE168"/>
  <c r="BD168"/>
  <c r="BC168"/>
  <c r="BB168"/>
  <c r="BA168" s="1"/>
  <c r="AX168"/>
  <c r="AW168"/>
  <c r="AV168"/>
  <c r="AC168"/>
  <c r="H168"/>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s="1"/>
  <c r="BK166"/>
  <c r="BJ166"/>
  <c r="BI166"/>
  <c r="BH166"/>
  <c r="BG166"/>
  <c r="BF166"/>
  <c r="BE166"/>
  <c r="BD166"/>
  <c r="BC166"/>
  <c r="BB166"/>
  <c r="BA166" s="1"/>
  <c r="AX166"/>
  <c r="AW166"/>
  <c r="AV166"/>
  <c r="AC166"/>
  <c r="H166"/>
  <c r="G166" s="1"/>
  <c r="BT165"/>
  <c r="BS165"/>
  <c r="BR165"/>
  <c r="BQ165"/>
  <c r="BP165"/>
  <c r="BO165"/>
  <c r="BN165"/>
  <c r="BM165"/>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AX164"/>
  <c r="AW164"/>
  <c r="AV164"/>
  <c r="AC164"/>
  <c r="H164"/>
  <c r="G164" s="1"/>
  <c r="BT163"/>
  <c r="BS163"/>
  <c r="BR163"/>
  <c r="BQ163"/>
  <c r="BP163"/>
  <c r="BO163"/>
  <c r="BN163"/>
  <c r="BM163"/>
  <c r="BL163" s="1"/>
  <c r="BK163"/>
  <c r="BJ163"/>
  <c r="BI163"/>
  <c r="BH163"/>
  <c r="BG163"/>
  <c r="BF163"/>
  <c r="BE163"/>
  <c r="BD163"/>
  <c r="BC163"/>
  <c r="BB163"/>
  <c r="AX163"/>
  <c r="AW163"/>
  <c r="AV163"/>
  <c r="AC163"/>
  <c r="H163"/>
  <c r="G163" s="1"/>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BA161" s="1"/>
  <c r="AZ161" s="1"/>
  <c r="AX161"/>
  <c r="AW161"/>
  <c r="AV161"/>
  <c r="AC161"/>
  <c r="H161"/>
  <c r="BT160"/>
  <c r="BS160"/>
  <c r="BR160"/>
  <c r="BQ160"/>
  <c r="BP160"/>
  <c r="BO160"/>
  <c r="BN160"/>
  <c r="BM160"/>
  <c r="BK160"/>
  <c r="BJ160"/>
  <c r="BI160"/>
  <c r="BH160"/>
  <c r="BG160"/>
  <c r="BF160"/>
  <c r="BE160"/>
  <c r="BD160"/>
  <c r="BC160"/>
  <c r="BB160"/>
  <c r="BA160" s="1"/>
  <c r="AX160"/>
  <c r="AW160"/>
  <c r="AV160"/>
  <c r="AC160"/>
  <c r="H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s="1"/>
  <c r="BK158"/>
  <c r="BJ158"/>
  <c r="BI158"/>
  <c r="BH158"/>
  <c r="BG158"/>
  <c r="BF158"/>
  <c r="BE158"/>
  <c r="BD158"/>
  <c r="BC158"/>
  <c r="BB158"/>
  <c r="BA158" s="1"/>
  <c r="AX158"/>
  <c r="AW158"/>
  <c r="AV158"/>
  <c r="AC158"/>
  <c r="H158"/>
  <c r="G158" s="1"/>
  <c r="BT157"/>
  <c r="BS157"/>
  <c r="BR157"/>
  <c r="BQ157"/>
  <c r="BP157"/>
  <c r="BO157"/>
  <c r="BN157"/>
  <c r="BM157"/>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AX156"/>
  <c r="AW156"/>
  <c r="AV156"/>
  <c r="AC156"/>
  <c r="H156"/>
  <c r="G156" s="1"/>
  <c r="BT155"/>
  <c r="BS155"/>
  <c r="BR155"/>
  <c r="BQ155"/>
  <c r="BP155"/>
  <c r="BO155"/>
  <c r="BN155"/>
  <c r="BM155"/>
  <c r="BL155" s="1"/>
  <c r="BK155"/>
  <c r="BJ155"/>
  <c r="BI155"/>
  <c r="BH155"/>
  <c r="BG155"/>
  <c r="BF155"/>
  <c r="BE155"/>
  <c r="BD155"/>
  <c r="BC155"/>
  <c r="BB155"/>
  <c r="AX155"/>
  <c r="AW155"/>
  <c r="AV155"/>
  <c r="AC155"/>
  <c r="H155"/>
  <c r="G155" s="1"/>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s="1"/>
  <c r="AZ153" s="1"/>
  <c r="AX153"/>
  <c r="AW153"/>
  <c r="AV153"/>
  <c r="AC153"/>
  <c r="H153"/>
  <c r="BT152"/>
  <c r="BS152"/>
  <c r="BR152"/>
  <c r="BQ152"/>
  <c r="BP152"/>
  <c r="BO152"/>
  <c r="BN152"/>
  <c r="BM152"/>
  <c r="BK152"/>
  <c r="BJ152"/>
  <c r="BI152"/>
  <c r="BH152"/>
  <c r="BG152"/>
  <c r="BF152"/>
  <c r="BE152"/>
  <c r="BD152"/>
  <c r="BC152"/>
  <c r="BB152"/>
  <c r="BA152" s="1"/>
  <c r="AX152"/>
  <c r="AW152"/>
  <c r="AV152"/>
  <c r="AC152"/>
  <c r="H152"/>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s="1"/>
  <c r="BK150"/>
  <c r="BJ150"/>
  <c r="BI150"/>
  <c r="BH150"/>
  <c r="BG150"/>
  <c r="BF150"/>
  <c r="BE150"/>
  <c r="BD150"/>
  <c r="BC150"/>
  <c r="BB150"/>
  <c r="BA150" s="1"/>
  <c r="AX150"/>
  <c r="AW150"/>
  <c r="AV150"/>
  <c r="AC150"/>
  <c r="H150"/>
  <c r="G150" s="1"/>
  <c r="BT149"/>
  <c r="BS149"/>
  <c r="BR149"/>
  <c r="BQ149"/>
  <c r="BP149"/>
  <c r="BO149"/>
  <c r="BN149"/>
  <c r="BM149"/>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AX148"/>
  <c r="AW148"/>
  <c r="AV148"/>
  <c r="AC148"/>
  <c r="H148"/>
  <c r="G148" s="1"/>
  <c r="BT147"/>
  <c r="BS147"/>
  <c r="BR147"/>
  <c r="BQ147"/>
  <c r="BP147"/>
  <c r="BO147"/>
  <c r="BN147"/>
  <c r="BM147"/>
  <c r="BL147" s="1"/>
  <c r="BK147"/>
  <c r="BJ147"/>
  <c r="BI147"/>
  <c r="BH147"/>
  <c r="BG147"/>
  <c r="BF147"/>
  <c r="BE147"/>
  <c r="BD147"/>
  <c r="BC147"/>
  <c r="BB147"/>
  <c r="AX147"/>
  <c r="AW147"/>
  <c r="AV147"/>
  <c r="AC147"/>
  <c r="H147"/>
  <c r="G147" s="1"/>
  <c r="BT146"/>
  <c r="BS146"/>
  <c r="BR146"/>
  <c r="BQ146"/>
  <c r="BP146"/>
  <c r="BO146"/>
  <c r="BN146"/>
  <c r="BM146"/>
  <c r="BL146" s="1"/>
  <c r="BK146"/>
  <c r="BJ146"/>
  <c r="BI146"/>
  <c r="BH146"/>
  <c r="BG146"/>
  <c r="BF146"/>
  <c r="BE146"/>
  <c r="BD146"/>
  <c r="BC146"/>
  <c r="BB146"/>
  <c r="AX146"/>
  <c r="AW146"/>
  <c r="AV146"/>
  <c r="AC146"/>
  <c r="H146"/>
  <c r="G146" s="1"/>
  <c r="BT145"/>
  <c r="BS145"/>
  <c r="BR145"/>
  <c r="BQ145"/>
  <c r="BP145"/>
  <c r="BO145"/>
  <c r="BN145"/>
  <c r="BM145"/>
  <c r="BL145" s="1"/>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BA144" s="1"/>
  <c r="AX144"/>
  <c r="AW144"/>
  <c r="AV144"/>
  <c r="AC144"/>
  <c r="H144"/>
  <c r="G144" s="1"/>
  <c r="BT143"/>
  <c r="BS143"/>
  <c r="BR143"/>
  <c r="BQ143"/>
  <c r="BP143"/>
  <c r="BO143"/>
  <c r="BN143"/>
  <c r="BM143"/>
  <c r="BK143"/>
  <c r="BJ143"/>
  <c r="BI143"/>
  <c r="BH143"/>
  <c r="BG143"/>
  <c r="BF143"/>
  <c r="BE143"/>
  <c r="BD143"/>
  <c r="BC143"/>
  <c r="BB143"/>
  <c r="AX143"/>
  <c r="AW143"/>
  <c r="AV143"/>
  <c r="AC143"/>
  <c r="H143"/>
  <c r="G143" s="1"/>
  <c r="BT142"/>
  <c r="BS142"/>
  <c r="BR142"/>
  <c r="BQ142"/>
  <c r="BP142"/>
  <c r="BO142"/>
  <c r="BN142"/>
  <c r="BM142"/>
  <c r="BL142" s="1"/>
  <c r="BK142"/>
  <c r="BJ142"/>
  <c r="BI142"/>
  <c r="BH142"/>
  <c r="BG142"/>
  <c r="BF142"/>
  <c r="BE142"/>
  <c r="BD142"/>
  <c r="BC142"/>
  <c r="BB142"/>
  <c r="AX142"/>
  <c r="AW142"/>
  <c r="AV142"/>
  <c r="AC142"/>
  <c r="H142"/>
  <c r="G142" s="1"/>
  <c r="BT141"/>
  <c r="BS141"/>
  <c r="BR141"/>
  <c r="BQ141"/>
  <c r="BP141"/>
  <c r="BO141"/>
  <c r="BN141"/>
  <c r="BM141"/>
  <c r="BL141" s="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BA140" s="1"/>
  <c r="AX140"/>
  <c r="AW140"/>
  <c r="AV140"/>
  <c r="AC140"/>
  <c r="H140"/>
  <c r="G140" s="1"/>
  <c r="BT139"/>
  <c r="BS139"/>
  <c r="BR139"/>
  <c r="BQ139"/>
  <c r="BP139"/>
  <c r="BO139"/>
  <c r="BN139"/>
  <c r="BM139"/>
  <c r="BK139"/>
  <c r="BJ139"/>
  <c r="BI139"/>
  <c r="BH139"/>
  <c r="BG139"/>
  <c r="BF139"/>
  <c r="BE139"/>
  <c r="BD139"/>
  <c r="BC139"/>
  <c r="BB139"/>
  <c r="AX139"/>
  <c r="AW139"/>
  <c r="AV139"/>
  <c r="AC139"/>
  <c r="H139"/>
  <c r="G139" s="1"/>
  <c r="BT138"/>
  <c r="BS138"/>
  <c r="BR138"/>
  <c r="BQ138"/>
  <c r="BP138"/>
  <c r="BO138"/>
  <c r="BN138"/>
  <c r="BM138"/>
  <c r="BL138" s="1"/>
  <c r="BK138"/>
  <c r="BJ138"/>
  <c r="BI138"/>
  <c r="BH138"/>
  <c r="BG138"/>
  <c r="BF138"/>
  <c r="BE138"/>
  <c r="BD138"/>
  <c r="BC138"/>
  <c r="BB138"/>
  <c r="AX138"/>
  <c r="AW138"/>
  <c r="AV138"/>
  <c r="AC138"/>
  <c r="H138"/>
  <c r="G138" s="1"/>
  <c r="BT137"/>
  <c r="BS137"/>
  <c r="BR137"/>
  <c r="BQ137"/>
  <c r="BP137"/>
  <c r="BO137"/>
  <c r="BN137"/>
  <c r="BM137"/>
  <c r="BL137" s="1"/>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BA136" s="1"/>
  <c r="AX136"/>
  <c r="AW136"/>
  <c r="AV136"/>
  <c r="AC136"/>
  <c r="H136"/>
  <c r="G136" s="1"/>
  <c r="BT135"/>
  <c r="BS135"/>
  <c r="BR135"/>
  <c r="BQ135"/>
  <c r="BP135"/>
  <c r="BO135"/>
  <c r="BN135"/>
  <c r="BM135"/>
  <c r="BK135"/>
  <c r="BJ135"/>
  <c r="BI135"/>
  <c r="BH135"/>
  <c r="BG135"/>
  <c r="BF135"/>
  <c r="BE135"/>
  <c r="BD135"/>
  <c r="BC135"/>
  <c r="BB135"/>
  <c r="AX135"/>
  <c r="AW135"/>
  <c r="AV135"/>
  <c r="AC135"/>
  <c r="H135"/>
  <c r="G135" s="1"/>
  <c r="BT134"/>
  <c r="BS134"/>
  <c r="BR134"/>
  <c r="BQ134"/>
  <c r="BP134"/>
  <c r="BO134"/>
  <c r="BN134"/>
  <c r="BM134"/>
  <c r="BL134" s="1"/>
  <c r="BK134"/>
  <c r="BJ134"/>
  <c r="BI134"/>
  <c r="BH134"/>
  <c r="BG134"/>
  <c r="BF134"/>
  <c r="BE134"/>
  <c r="BD134"/>
  <c r="BC134"/>
  <c r="BB134"/>
  <c r="AX134"/>
  <c r="AW134"/>
  <c r="AV134"/>
  <c r="AC134"/>
  <c r="H134"/>
  <c r="G134" s="1"/>
  <c r="BT133"/>
  <c r="BS133"/>
  <c r="BR133"/>
  <c r="BQ133"/>
  <c r="BP133"/>
  <c r="BO133"/>
  <c r="BN133"/>
  <c r="BM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BT130"/>
  <c r="BS130"/>
  <c r="BR130"/>
  <c r="BQ130"/>
  <c r="BP130"/>
  <c r="BO130"/>
  <c r="BN130"/>
  <c r="BM130"/>
  <c r="BL130"/>
  <c r="BK130"/>
  <c r="BJ130"/>
  <c r="BI130"/>
  <c r="BH130"/>
  <c r="BG130"/>
  <c r="BF130"/>
  <c r="BE130"/>
  <c r="BD130"/>
  <c r="BC130"/>
  <c r="BB130"/>
  <c r="BA130" s="1"/>
  <c r="AX130"/>
  <c r="AW130"/>
  <c r="AV130"/>
  <c r="AC130"/>
  <c r="H130"/>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s="1"/>
  <c r="AZ125" s="1"/>
  <c r="AX125"/>
  <c r="AW125"/>
  <c r="AV125"/>
  <c r="AC125"/>
  <c r="H125"/>
  <c r="BT124"/>
  <c r="BS124"/>
  <c r="BR124"/>
  <c r="BQ124"/>
  <c r="BP124"/>
  <c r="BO124"/>
  <c r="BN124"/>
  <c r="BM124"/>
  <c r="BK124"/>
  <c r="BJ124"/>
  <c r="BI124"/>
  <c r="BH124"/>
  <c r="BG124"/>
  <c r="BF124"/>
  <c r="BE124"/>
  <c r="BD124"/>
  <c r="BC124"/>
  <c r="BB124"/>
  <c r="BA124" s="1"/>
  <c r="AX124"/>
  <c r="AW124"/>
  <c r="AV124"/>
  <c r="AC124"/>
  <c r="H124"/>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s="1"/>
  <c r="BK122"/>
  <c r="BJ122"/>
  <c r="BI122"/>
  <c r="BH122"/>
  <c r="BG122"/>
  <c r="BF122"/>
  <c r="BE122"/>
  <c r="BD122"/>
  <c r="BC122"/>
  <c r="BB122"/>
  <c r="BA122" s="1"/>
  <c r="AZ122" s="1"/>
  <c r="AX122"/>
  <c r="AW122"/>
  <c r="AV122"/>
  <c r="AC122"/>
  <c r="H122"/>
  <c r="G122" s="1"/>
  <c r="BT121"/>
  <c r="BS121"/>
  <c r="BR121"/>
  <c r="BQ121"/>
  <c r="BP121"/>
  <c r="BO121"/>
  <c r="BN121"/>
  <c r="BM121"/>
  <c r="BL121" s="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BA120" s="1"/>
  <c r="AX120"/>
  <c r="AW120"/>
  <c r="AV120"/>
  <c r="AC120"/>
  <c r="H120"/>
  <c r="G120" s="1"/>
  <c r="BT119"/>
  <c r="BS119"/>
  <c r="BR119"/>
  <c r="BQ119"/>
  <c r="BP119"/>
  <c r="BO119"/>
  <c r="BN119"/>
  <c r="BM119"/>
  <c r="BK119"/>
  <c r="BJ119"/>
  <c r="BI119"/>
  <c r="BH119"/>
  <c r="BG119"/>
  <c r="BF119"/>
  <c r="BE119"/>
  <c r="BD119"/>
  <c r="BC119"/>
  <c r="BB119"/>
  <c r="AX119"/>
  <c r="AW119"/>
  <c r="AV119"/>
  <c r="AC119"/>
  <c r="H119"/>
  <c r="G119" s="1"/>
  <c r="BT118"/>
  <c r="BS118"/>
  <c r="BR118"/>
  <c r="BQ118"/>
  <c r="BP118"/>
  <c r="BO118"/>
  <c r="BN118"/>
  <c r="BM118"/>
  <c r="BL118" s="1"/>
  <c r="BK118"/>
  <c r="BJ118"/>
  <c r="BI118"/>
  <c r="BH118"/>
  <c r="BG118"/>
  <c r="BF118"/>
  <c r="BE118"/>
  <c r="BD118"/>
  <c r="BC118"/>
  <c r="BB118"/>
  <c r="AX118"/>
  <c r="AW118"/>
  <c r="AV118"/>
  <c r="AC118"/>
  <c r="H118"/>
  <c r="G118" s="1"/>
  <c r="BT117"/>
  <c r="BS117"/>
  <c r="BR117"/>
  <c r="BQ117"/>
  <c r="BP117"/>
  <c r="BO117"/>
  <c r="BN117"/>
  <c r="BM117"/>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s="1"/>
  <c r="BK115"/>
  <c r="BJ115"/>
  <c r="BI115"/>
  <c r="BH115"/>
  <c r="BG115"/>
  <c r="BF115"/>
  <c r="BE115"/>
  <c r="BD115"/>
  <c r="BC115"/>
  <c r="BB115"/>
  <c r="AX115"/>
  <c r="AW115"/>
  <c r="AV115"/>
  <c r="AC115"/>
  <c r="H115"/>
  <c r="BT114"/>
  <c r="BS114"/>
  <c r="BR114"/>
  <c r="BQ114"/>
  <c r="BP114"/>
  <c r="BO114"/>
  <c r="BN114"/>
  <c r="BM114"/>
  <c r="BL114"/>
  <c r="BK114"/>
  <c r="BJ114"/>
  <c r="BI114"/>
  <c r="BH114"/>
  <c r="BG114"/>
  <c r="BF114"/>
  <c r="BE114"/>
  <c r="BD114"/>
  <c r="BC114"/>
  <c r="BB114"/>
  <c r="BA114" s="1"/>
  <c r="AX114"/>
  <c r="AW114"/>
  <c r="AV114"/>
  <c r="AC114"/>
  <c r="H114"/>
  <c r="BT113"/>
  <c r="BS113"/>
  <c r="BR113"/>
  <c r="BQ113"/>
  <c r="BP113"/>
  <c r="BO113"/>
  <c r="BN113"/>
  <c r="BM113"/>
  <c r="BL113"/>
  <c r="BK113"/>
  <c r="BJ113"/>
  <c r="BI113"/>
  <c r="BH113"/>
  <c r="BG113"/>
  <c r="BF113"/>
  <c r="BE113"/>
  <c r="BD113"/>
  <c r="BC113"/>
  <c r="BB113"/>
  <c r="BA113" s="1"/>
  <c r="AZ113" s="1"/>
  <c r="AX113"/>
  <c r="AW113"/>
  <c r="AV113"/>
  <c r="AC113"/>
  <c r="H113"/>
  <c r="BT302"/>
  <c r="BS302"/>
  <c r="BR302"/>
  <c r="BQ302"/>
  <c r="BP302"/>
  <c r="BO302"/>
  <c r="BN302"/>
  <c r="BM302"/>
  <c r="BL302"/>
  <c r="BK302"/>
  <c r="BJ302"/>
  <c r="BI302"/>
  <c r="BH302"/>
  <c r="BG302"/>
  <c r="BF302"/>
  <c r="BE302"/>
  <c r="BD302"/>
  <c r="BC302"/>
  <c r="BB302"/>
  <c r="BA302" s="1"/>
  <c r="AZ302" s="1"/>
  <c r="AX302"/>
  <c r="AW302"/>
  <c r="AV302"/>
  <c r="AC302"/>
  <c r="H302"/>
  <c r="BT301"/>
  <c r="BS301"/>
  <c r="BR301"/>
  <c r="BQ301"/>
  <c r="BP301"/>
  <c r="BO301"/>
  <c r="BN301"/>
  <c r="BM301"/>
  <c r="BL301"/>
  <c r="BK301"/>
  <c r="BJ301"/>
  <c r="BI301"/>
  <c r="BH301"/>
  <c r="BG301"/>
  <c r="BF301"/>
  <c r="BE301"/>
  <c r="BD301"/>
  <c r="BC301"/>
  <c r="BB301"/>
  <c r="BA301" s="1"/>
  <c r="AZ301" s="1"/>
  <c r="AX301"/>
  <c r="AW301"/>
  <c r="AV301"/>
  <c r="AC301"/>
  <c r="H301"/>
  <c r="G301"/>
  <c r="BT300"/>
  <c r="BS300"/>
  <c r="BR300"/>
  <c r="BQ300"/>
  <c r="BP300"/>
  <c r="BO300"/>
  <c r="BN300"/>
  <c r="BM300"/>
  <c r="BL300" s="1"/>
  <c r="BK300"/>
  <c r="BJ300"/>
  <c r="BI300"/>
  <c r="BH300"/>
  <c r="BG300"/>
  <c r="BF300"/>
  <c r="BE300"/>
  <c r="BD300"/>
  <c r="BC300"/>
  <c r="BB300"/>
  <c r="BA300" s="1"/>
  <c r="AZ300" s="1"/>
  <c r="AX300"/>
  <c r="AW300"/>
  <c r="AV300"/>
  <c r="AC300"/>
  <c r="H300"/>
  <c r="G300" s="1"/>
  <c r="BT299"/>
  <c r="BS299"/>
  <c r="BR299"/>
  <c r="BQ299"/>
  <c r="BP299"/>
  <c r="BO299"/>
  <c r="BN299"/>
  <c r="BM299"/>
  <c r="BL299" s="1"/>
  <c r="BK299"/>
  <c r="BJ299"/>
  <c r="BI299"/>
  <c r="BH299"/>
  <c r="BG299"/>
  <c r="BF299"/>
  <c r="BE299"/>
  <c r="BD299"/>
  <c r="BC299"/>
  <c r="BB299"/>
  <c r="AX299"/>
  <c r="AW299"/>
  <c r="AV299"/>
  <c r="AC299"/>
  <c r="H299"/>
  <c r="G299" s="1"/>
  <c r="BT298"/>
  <c r="BS298"/>
  <c r="BR298"/>
  <c r="BQ298"/>
  <c r="BP298"/>
  <c r="BO298"/>
  <c r="BN298"/>
  <c r="BM298"/>
  <c r="BL298" s="1"/>
  <c r="BK298"/>
  <c r="BJ298"/>
  <c r="BI298"/>
  <c r="BH298"/>
  <c r="BG298"/>
  <c r="BF298"/>
  <c r="BE298"/>
  <c r="BD298"/>
  <c r="BC298"/>
  <c r="BB298"/>
  <c r="AX298"/>
  <c r="AW298"/>
  <c r="AV298"/>
  <c r="AC298"/>
  <c r="H298"/>
  <c r="G298" s="1"/>
  <c r="BT297"/>
  <c r="BS297"/>
  <c r="BR297"/>
  <c r="BQ297"/>
  <c r="BP297"/>
  <c r="BO297"/>
  <c r="BN297"/>
  <c r="BM297"/>
  <c r="BK297"/>
  <c r="BJ297"/>
  <c r="BI297"/>
  <c r="BH297"/>
  <c r="BG297"/>
  <c r="BF297"/>
  <c r="BE297"/>
  <c r="BD297"/>
  <c r="BC297"/>
  <c r="BB297"/>
  <c r="BA297"/>
  <c r="AX297"/>
  <c r="AW297"/>
  <c r="AV297"/>
  <c r="AC297"/>
  <c r="H297"/>
  <c r="BT296"/>
  <c r="BS296"/>
  <c r="BR296"/>
  <c r="BQ296"/>
  <c r="BP296"/>
  <c r="BO296"/>
  <c r="BN296"/>
  <c r="BM296"/>
  <c r="BL296"/>
  <c r="BK296"/>
  <c r="BJ296"/>
  <c r="BI296"/>
  <c r="BH296"/>
  <c r="BG296"/>
  <c r="BF296"/>
  <c r="BE296"/>
  <c r="BD296"/>
  <c r="BC296"/>
  <c r="BB296"/>
  <c r="BA296" s="1"/>
  <c r="AX296"/>
  <c r="AW296"/>
  <c r="AV296"/>
  <c r="AC296"/>
  <c r="H296"/>
  <c r="BT295"/>
  <c r="BS295"/>
  <c r="BR295"/>
  <c r="BQ295"/>
  <c r="BP295"/>
  <c r="BO295"/>
  <c r="BN295"/>
  <c r="BM295"/>
  <c r="BL295"/>
  <c r="BK295"/>
  <c r="BJ295"/>
  <c r="BI295"/>
  <c r="BH295"/>
  <c r="BG295"/>
  <c r="BF295"/>
  <c r="BE295"/>
  <c r="BD295"/>
  <c r="BC295"/>
  <c r="BB295"/>
  <c r="BA295" s="1"/>
  <c r="AX295"/>
  <c r="AW295"/>
  <c r="AV295"/>
  <c r="AC295"/>
  <c r="H295"/>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s="1"/>
  <c r="AZ293" s="1"/>
  <c r="AX293"/>
  <c r="AW293"/>
  <c r="AV293"/>
  <c r="AC293"/>
  <c r="H293"/>
  <c r="G293" s="1"/>
  <c r="BT292"/>
  <c r="BS292"/>
  <c r="BR292"/>
  <c r="BQ292"/>
  <c r="BP292"/>
  <c r="BO292"/>
  <c r="BN292"/>
  <c r="BM292"/>
  <c r="BL292" s="1"/>
  <c r="BK292"/>
  <c r="BJ292"/>
  <c r="BI292"/>
  <c r="BH292"/>
  <c r="BG292"/>
  <c r="BF292"/>
  <c r="BE292"/>
  <c r="BD292"/>
  <c r="BC292"/>
  <c r="BB292"/>
  <c r="AX292"/>
  <c r="AW292"/>
  <c r="AV292"/>
  <c r="AC292"/>
  <c r="H292"/>
  <c r="G292" s="1"/>
  <c r="BT291"/>
  <c r="BS291"/>
  <c r="BR291"/>
  <c r="BQ291"/>
  <c r="BP291"/>
  <c r="BO291"/>
  <c r="BN291"/>
  <c r="BM29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s="1"/>
  <c r="AZ290" s="1"/>
  <c r="AX290"/>
  <c r="AW290"/>
  <c r="AV290"/>
  <c r="AC290"/>
  <c r="H290"/>
  <c r="G290" s="1"/>
  <c r="BT289"/>
  <c r="BS289"/>
  <c r="BR289"/>
  <c r="BQ289"/>
  <c r="BP289"/>
  <c r="BO289"/>
  <c r="BN289"/>
  <c r="BM289"/>
  <c r="BL289" s="1"/>
  <c r="BK289"/>
  <c r="BJ289"/>
  <c r="BI289"/>
  <c r="BH289"/>
  <c r="BG289"/>
  <c r="BF289"/>
  <c r="BE289"/>
  <c r="BD289"/>
  <c r="BC289"/>
  <c r="BB289"/>
  <c r="AX289"/>
  <c r="AW289"/>
  <c r="AV289"/>
  <c r="AC289"/>
  <c r="H289"/>
  <c r="G289" s="1"/>
  <c r="BT288"/>
  <c r="BS288"/>
  <c r="BR288"/>
  <c r="BQ288"/>
  <c r="BP288"/>
  <c r="BO288"/>
  <c r="BN288"/>
  <c r="BM288"/>
  <c r="BK288"/>
  <c r="BJ288"/>
  <c r="BI288"/>
  <c r="BH288"/>
  <c r="BG288"/>
  <c r="BF288"/>
  <c r="BE288"/>
  <c r="BD288"/>
  <c r="BC288"/>
  <c r="BB288"/>
  <c r="BA288"/>
  <c r="AX288"/>
  <c r="AW288"/>
  <c r="AV288"/>
  <c r="AC288"/>
  <c r="H288"/>
  <c r="G288"/>
  <c r="BT287"/>
  <c r="BS287"/>
  <c r="BR287"/>
  <c r="BQ287"/>
  <c r="BP287"/>
  <c r="BO287"/>
  <c r="BN287"/>
  <c r="BM287"/>
  <c r="BL287" s="1"/>
  <c r="BK287"/>
  <c r="BJ287"/>
  <c r="BI287"/>
  <c r="BH287"/>
  <c r="BG287"/>
  <c r="BF287"/>
  <c r="BE287"/>
  <c r="BD287"/>
  <c r="BC287"/>
  <c r="BB287"/>
  <c r="BA287" s="1"/>
  <c r="AX287"/>
  <c r="AW287"/>
  <c r="AV287"/>
  <c r="AC287"/>
  <c r="H287"/>
  <c r="G287" s="1"/>
  <c r="BT286"/>
  <c r="BS286"/>
  <c r="BR286"/>
  <c r="BQ286"/>
  <c r="BP286"/>
  <c r="BO286"/>
  <c r="BN286"/>
  <c r="BM286"/>
  <c r="BK286"/>
  <c r="BJ286"/>
  <c r="BI286"/>
  <c r="BH286"/>
  <c r="BG286"/>
  <c r="BF286"/>
  <c r="BE286"/>
  <c r="BD286"/>
  <c r="BC286"/>
  <c r="BB286"/>
  <c r="BA286"/>
  <c r="AX286"/>
  <c r="AW286"/>
  <c r="AV286"/>
  <c r="AC286"/>
  <c r="H286"/>
  <c r="BT285"/>
  <c r="BS285"/>
  <c r="BR285"/>
  <c r="BQ285"/>
  <c r="BP285"/>
  <c r="BO285"/>
  <c r="BN285"/>
  <c r="BM285"/>
  <c r="BL285"/>
  <c r="BK285"/>
  <c r="BJ285"/>
  <c r="BI285"/>
  <c r="BH285"/>
  <c r="BG285"/>
  <c r="BF285"/>
  <c r="BE285"/>
  <c r="BD285"/>
  <c r="BC285"/>
  <c r="BB285"/>
  <c r="BA285" s="1"/>
  <c r="AZ285" s="1"/>
  <c r="AX285"/>
  <c r="AW285"/>
  <c r="AV285"/>
  <c r="AC285"/>
  <c r="H285"/>
  <c r="G285"/>
  <c r="BT284"/>
  <c r="BS284"/>
  <c r="BR284"/>
  <c r="BQ284"/>
  <c r="BP284"/>
  <c r="BO284"/>
  <c r="BN284"/>
  <c r="BM284"/>
  <c r="BL284" s="1"/>
  <c r="BK284"/>
  <c r="BJ284"/>
  <c r="BI284"/>
  <c r="BH284"/>
  <c r="BG284"/>
  <c r="BF284"/>
  <c r="BE284"/>
  <c r="BD284"/>
  <c r="BC284"/>
  <c r="BB284"/>
  <c r="BA284" s="1"/>
  <c r="AZ284" s="1"/>
  <c r="AX284"/>
  <c r="AW284"/>
  <c r="AV284"/>
  <c r="AC284"/>
  <c r="H284"/>
  <c r="G284" s="1"/>
  <c r="BT283"/>
  <c r="BS283"/>
  <c r="BR283"/>
  <c r="BQ283"/>
  <c r="BP283"/>
  <c r="BO283"/>
  <c r="BN283"/>
  <c r="BM283"/>
  <c r="BL283" s="1"/>
  <c r="BK283"/>
  <c r="BJ283"/>
  <c r="BI283"/>
  <c r="BH283"/>
  <c r="BG283"/>
  <c r="BF283"/>
  <c r="BE283"/>
  <c r="BD283"/>
  <c r="BC283"/>
  <c r="BB283"/>
  <c r="AX283"/>
  <c r="AW283"/>
  <c r="AV283"/>
  <c r="AC283"/>
  <c r="H283"/>
  <c r="G283" s="1"/>
  <c r="BT282"/>
  <c r="BS282"/>
  <c r="BR282"/>
  <c r="BQ282"/>
  <c r="BP282"/>
  <c r="BO282"/>
  <c r="BN282"/>
  <c r="BM282"/>
  <c r="BL282" s="1"/>
  <c r="BK282"/>
  <c r="BJ282"/>
  <c r="BI282"/>
  <c r="BH282"/>
  <c r="BG282"/>
  <c r="BF282"/>
  <c r="BE282"/>
  <c r="BD282"/>
  <c r="BC282"/>
  <c r="BB282"/>
  <c r="AX282"/>
  <c r="AW282"/>
  <c r="AV282"/>
  <c r="AC282"/>
  <c r="H282"/>
  <c r="G282" s="1"/>
  <c r="BT281"/>
  <c r="BS281"/>
  <c r="BR281"/>
  <c r="BQ281"/>
  <c r="BP281"/>
  <c r="BO281"/>
  <c r="BN281"/>
  <c r="BM281"/>
  <c r="BK281"/>
  <c r="BJ281"/>
  <c r="BI281"/>
  <c r="BH281"/>
  <c r="BG281"/>
  <c r="BF281"/>
  <c r="BE281"/>
  <c r="BD281"/>
  <c r="BC281"/>
  <c r="BB281"/>
  <c r="BA281"/>
  <c r="AX281"/>
  <c r="AW281"/>
  <c r="AV281"/>
  <c r="AC281"/>
  <c r="H281"/>
  <c r="BT280"/>
  <c r="BS280"/>
  <c r="BR280"/>
  <c r="BQ280"/>
  <c r="BP280"/>
  <c r="BO280"/>
  <c r="BN280"/>
  <c r="BM280"/>
  <c r="BL280"/>
  <c r="BK280"/>
  <c r="BJ280"/>
  <c r="BI280"/>
  <c r="BH280"/>
  <c r="BG280"/>
  <c r="BF280"/>
  <c r="BE280"/>
  <c r="BD280"/>
  <c r="BC280"/>
  <c r="BB280"/>
  <c r="BA280" s="1"/>
  <c r="AX280"/>
  <c r="AW280"/>
  <c r="AV280"/>
  <c r="AC280"/>
  <c r="H280"/>
  <c r="BT279"/>
  <c r="BS279"/>
  <c r="BR279"/>
  <c r="BQ279"/>
  <c r="BP279"/>
  <c r="BO279"/>
  <c r="BN279"/>
  <c r="BM279"/>
  <c r="BL279"/>
  <c r="BK279"/>
  <c r="BJ279"/>
  <c r="BI279"/>
  <c r="BH279"/>
  <c r="BG279"/>
  <c r="BF279"/>
  <c r="BE279"/>
  <c r="BD279"/>
  <c r="BC279"/>
  <c r="BB279"/>
  <c r="BA279" s="1"/>
  <c r="AX279"/>
  <c r="AW279"/>
  <c r="AV279"/>
  <c r="AC279"/>
  <c r="H279"/>
  <c r="BT278"/>
  <c r="BS278"/>
  <c r="BR278"/>
  <c r="BQ278"/>
  <c r="BP278"/>
  <c r="BO278"/>
  <c r="BN278"/>
  <c r="BM278"/>
  <c r="BL278"/>
  <c r="BK278"/>
  <c r="BJ278"/>
  <c r="BI278"/>
  <c r="BH278"/>
  <c r="BG278"/>
  <c r="BF278"/>
  <c r="BE278"/>
  <c r="BD278"/>
  <c r="BC278"/>
  <c r="BB278"/>
  <c r="BA278" s="1"/>
  <c r="AZ278" s="1"/>
  <c r="AX278"/>
  <c r="AW278"/>
  <c r="AV278"/>
  <c r="AC278"/>
  <c r="H278"/>
  <c r="G278"/>
  <c r="BT277"/>
  <c r="BS277"/>
  <c r="BR277"/>
  <c r="BQ277"/>
  <c r="BP277"/>
  <c r="BO277"/>
  <c r="BN277"/>
  <c r="BM277"/>
  <c r="BL277" s="1"/>
  <c r="BK277"/>
  <c r="BJ277"/>
  <c r="BI277"/>
  <c r="BH277"/>
  <c r="BG277"/>
  <c r="BF277"/>
  <c r="BE277"/>
  <c r="BD277"/>
  <c r="BC277"/>
  <c r="BB277"/>
  <c r="BA277" s="1"/>
  <c r="AZ277" s="1"/>
  <c r="AX277"/>
  <c r="AW277"/>
  <c r="AV277"/>
  <c r="AC277"/>
  <c r="H277"/>
  <c r="G277" s="1"/>
  <c r="BT276"/>
  <c r="BS276"/>
  <c r="BR276"/>
  <c r="BQ276"/>
  <c r="BP276"/>
  <c r="BO276"/>
  <c r="BN276"/>
  <c r="BM276"/>
  <c r="BL276" s="1"/>
  <c r="BK276"/>
  <c r="BJ276"/>
  <c r="BI276"/>
  <c r="BH276"/>
  <c r="BG276"/>
  <c r="BF276"/>
  <c r="BE276"/>
  <c r="BD276"/>
  <c r="BC276"/>
  <c r="BB276"/>
  <c r="AX276"/>
  <c r="AW276"/>
  <c r="AV276"/>
  <c r="AC276"/>
  <c r="H276"/>
  <c r="G276" s="1"/>
  <c r="BT275"/>
  <c r="BS275"/>
  <c r="BR275"/>
  <c r="BQ275"/>
  <c r="BP275"/>
  <c r="BO275"/>
  <c r="BN275"/>
  <c r="BM275"/>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s="1"/>
  <c r="AZ274" s="1"/>
  <c r="AX274"/>
  <c r="AW274"/>
  <c r="AV274"/>
  <c r="AC274"/>
  <c r="H274"/>
  <c r="G274" s="1"/>
  <c r="BT273"/>
  <c r="BS273"/>
  <c r="BR273"/>
  <c r="BQ273"/>
  <c r="BP273"/>
  <c r="BO273"/>
  <c r="BN273"/>
  <c r="BM273"/>
  <c r="BL273" s="1"/>
  <c r="BK273"/>
  <c r="BJ273"/>
  <c r="BI273"/>
  <c r="BH273"/>
  <c r="BG273"/>
  <c r="BF273"/>
  <c r="BE273"/>
  <c r="BD273"/>
  <c r="BC273"/>
  <c r="BB273"/>
  <c r="AX273"/>
  <c r="AW273"/>
  <c r="AV273"/>
  <c r="AC273"/>
  <c r="H273"/>
  <c r="G273" s="1"/>
  <c r="BT272"/>
  <c r="BS272"/>
  <c r="BR272"/>
  <c r="BQ272"/>
  <c r="BP272"/>
  <c r="BO272"/>
  <c r="BN272"/>
  <c r="BM272"/>
  <c r="BL272" s="1"/>
  <c r="BK272"/>
  <c r="BJ272"/>
  <c r="BI272"/>
  <c r="BH272"/>
  <c r="BG272"/>
  <c r="BF272"/>
  <c r="BE272"/>
  <c r="BD272"/>
  <c r="BC272"/>
  <c r="BB272"/>
  <c r="AX272"/>
  <c r="AW272"/>
  <c r="AV272"/>
  <c r="AC272"/>
  <c r="H272"/>
  <c r="G272" s="1"/>
  <c r="BT271"/>
  <c r="BS271"/>
  <c r="BR271"/>
  <c r="BQ271"/>
  <c r="BP271"/>
  <c r="BO271"/>
  <c r="BN271"/>
  <c r="BM27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s="1"/>
  <c r="AZ270" s="1"/>
  <c r="AX270"/>
  <c r="AW270"/>
  <c r="AV270"/>
  <c r="AC270"/>
  <c r="H270"/>
  <c r="G270" s="1"/>
  <c r="BT269"/>
  <c r="BS269"/>
  <c r="BR269"/>
  <c r="BQ269"/>
  <c r="BP269"/>
  <c r="BO269"/>
  <c r="BN269"/>
  <c r="BM269"/>
  <c r="BL269" s="1"/>
  <c r="BK269"/>
  <c r="BJ269"/>
  <c r="BI269"/>
  <c r="BH269"/>
  <c r="BG269"/>
  <c r="BF269"/>
  <c r="BE269"/>
  <c r="BD269"/>
  <c r="BC269"/>
  <c r="BB269"/>
  <c r="AX269"/>
  <c r="AW269"/>
  <c r="AV269"/>
  <c r="AC269"/>
  <c r="H269"/>
  <c r="G269" s="1"/>
  <c r="BT268"/>
  <c r="BS268"/>
  <c r="BR268"/>
  <c r="BQ268"/>
  <c r="BP268"/>
  <c r="BO268"/>
  <c r="BN268"/>
  <c r="BM268"/>
  <c r="BL268" s="1"/>
  <c r="BK268"/>
  <c r="BJ268"/>
  <c r="BI268"/>
  <c r="BH268"/>
  <c r="BG268"/>
  <c r="BF268"/>
  <c r="BE268"/>
  <c r="BD268"/>
  <c r="BC268"/>
  <c r="BB268"/>
  <c r="AX268"/>
  <c r="AW268"/>
  <c r="AV268"/>
  <c r="AC268"/>
  <c r="H268"/>
  <c r="G268" s="1"/>
  <c r="BT267"/>
  <c r="BS267"/>
  <c r="BR267"/>
  <c r="BQ267"/>
  <c r="BP267"/>
  <c r="BO267"/>
  <c r="BN267"/>
  <c r="BM267"/>
  <c r="BL267" s="1"/>
  <c r="BK267"/>
  <c r="BJ267"/>
  <c r="BI267"/>
  <c r="BH267"/>
  <c r="BG267"/>
  <c r="BF267"/>
  <c r="BE267"/>
  <c r="BD267"/>
  <c r="BC267"/>
  <c r="BB267"/>
  <c r="AX267"/>
  <c r="AW267"/>
  <c r="AV267"/>
  <c r="AC267"/>
  <c r="H267"/>
  <c r="G267" s="1"/>
  <c r="BT266"/>
  <c r="BS266"/>
  <c r="BR266"/>
  <c r="BQ266"/>
  <c r="BP266"/>
  <c r="BO266"/>
  <c r="BN266"/>
  <c r="BM266"/>
  <c r="BK266"/>
  <c r="BJ266"/>
  <c r="BI266"/>
  <c r="BH266"/>
  <c r="BG266"/>
  <c r="BF266"/>
  <c r="BE266"/>
  <c r="BD266"/>
  <c r="BC266"/>
  <c r="BB266"/>
  <c r="BA266"/>
  <c r="AX266"/>
  <c r="AW266"/>
  <c r="AV266"/>
  <c r="AC266"/>
  <c r="H266"/>
  <c r="BT265"/>
  <c r="BS265"/>
  <c r="BR265"/>
  <c r="BQ265"/>
  <c r="BP265"/>
  <c r="BO265"/>
  <c r="BN265"/>
  <c r="BM265"/>
  <c r="BL265"/>
  <c r="BK265"/>
  <c r="BJ265"/>
  <c r="BI265"/>
  <c r="BH265"/>
  <c r="BG265"/>
  <c r="BF265"/>
  <c r="BE265"/>
  <c r="BD265"/>
  <c r="BC265"/>
  <c r="BB265"/>
  <c r="BA265" s="1"/>
  <c r="AX265"/>
  <c r="AW265"/>
  <c r="AV265"/>
  <c r="AC265"/>
  <c r="H265"/>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s="1"/>
  <c r="AX263"/>
  <c r="AW263"/>
  <c r="AV263"/>
  <c r="AC263"/>
  <c r="H263"/>
  <c r="G263" s="1"/>
  <c r="BT262"/>
  <c r="BS262"/>
  <c r="BR262"/>
  <c r="BQ262"/>
  <c r="BP262"/>
  <c r="BO262"/>
  <c r="BN262"/>
  <c r="BM262"/>
  <c r="BK262"/>
  <c r="BJ262"/>
  <c r="BI262"/>
  <c r="BH262"/>
  <c r="BG262"/>
  <c r="BF262"/>
  <c r="BE262"/>
  <c r="BD262"/>
  <c r="BC262"/>
  <c r="BB262"/>
  <c r="BA262"/>
  <c r="AX262"/>
  <c r="AW262"/>
  <c r="AV262"/>
  <c r="AC262"/>
  <c r="H262"/>
  <c r="BT261"/>
  <c r="BS261"/>
  <c r="BR261"/>
  <c r="BQ261"/>
  <c r="BP261"/>
  <c r="BO261"/>
  <c r="BN261"/>
  <c r="BM261"/>
  <c r="BL261"/>
  <c r="BK261"/>
  <c r="BJ261"/>
  <c r="BI261"/>
  <c r="BH261"/>
  <c r="BG261"/>
  <c r="BF261"/>
  <c r="BE261"/>
  <c r="BD261"/>
  <c r="BC261"/>
  <c r="BB261"/>
  <c r="BA261" s="1"/>
  <c r="AX261"/>
  <c r="AW261"/>
  <c r="AV261"/>
  <c r="AC261"/>
  <c r="H261"/>
  <c r="BT260"/>
  <c r="BS260"/>
  <c r="BR260"/>
  <c r="BQ260"/>
  <c r="BP260"/>
  <c r="BO260"/>
  <c r="BN260"/>
  <c r="BM260"/>
  <c r="BL260"/>
  <c r="BK260"/>
  <c r="BJ260"/>
  <c r="BI260"/>
  <c r="BH260"/>
  <c r="BG260"/>
  <c r="BF260"/>
  <c r="BE260"/>
  <c r="BD260"/>
  <c r="BC260"/>
  <c r="BB260"/>
  <c r="BA260" s="1"/>
  <c r="AZ260" s="1"/>
  <c r="AX260"/>
  <c r="AW260"/>
  <c r="AV260"/>
  <c r="AC260"/>
  <c r="H260"/>
  <c r="G260"/>
  <c r="BT259"/>
  <c r="BS259"/>
  <c r="BR259"/>
  <c r="BQ259"/>
  <c r="BP259"/>
  <c r="BO259"/>
  <c r="BN259"/>
  <c r="BM259"/>
  <c r="BL259" s="1"/>
  <c r="BK259"/>
  <c r="BJ259"/>
  <c r="BI259"/>
  <c r="BH259"/>
  <c r="BG259"/>
  <c r="BF259"/>
  <c r="BE259"/>
  <c r="BD259"/>
  <c r="BC259"/>
  <c r="BB259"/>
  <c r="BA259" s="1"/>
  <c r="AX259"/>
  <c r="AW259"/>
  <c r="AV259"/>
  <c r="AC259"/>
  <c r="H259"/>
  <c r="G259" s="1"/>
  <c r="BT258"/>
  <c r="BS258"/>
  <c r="BR258"/>
  <c r="BQ258"/>
  <c r="BP258"/>
  <c r="BO258"/>
  <c r="BN258"/>
  <c r="BM258"/>
  <c r="BK258"/>
  <c r="BJ258"/>
  <c r="BI258"/>
  <c r="BH258"/>
  <c r="BG258"/>
  <c r="BF258"/>
  <c r="BE258"/>
  <c r="BD258"/>
  <c r="BC258"/>
  <c r="BB258"/>
  <c r="BA258"/>
  <c r="AX258"/>
  <c r="AW258"/>
  <c r="AV258"/>
  <c r="AC258"/>
  <c r="H258"/>
  <c r="BT257"/>
  <c r="BS257"/>
  <c r="BR257"/>
  <c r="BQ257"/>
  <c r="BP257"/>
  <c r="BO257"/>
  <c r="BN257"/>
  <c r="BM257"/>
  <c r="BL257"/>
  <c r="BK257"/>
  <c r="BJ257"/>
  <c r="BI257"/>
  <c r="BH257"/>
  <c r="BG257"/>
  <c r="BF257"/>
  <c r="BE257"/>
  <c r="BD257"/>
  <c r="BC257"/>
  <c r="BB257"/>
  <c r="BA257" s="1"/>
  <c r="AX257"/>
  <c r="AW257"/>
  <c r="AV257"/>
  <c r="AC257"/>
  <c r="H257"/>
  <c r="BT256"/>
  <c r="BS256"/>
  <c r="BR256"/>
  <c r="BQ256"/>
  <c r="BP256"/>
  <c r="BO256"/>
  <c r="BN256"/>
  <c r="BM256"/>
  <c r="BL256"/>
  <c r="BK256"/>
  <c r="BJ256"/>
  <c r="BI256"/>
  <c r="BH256"/>
  <c r="BG256"/>
  <c r="BF256"/>
  <c r="BE256"/>
  <c r="BD256"/>
  <c r="BC256"/>
  <c r="BB256"/>
  <c r="BA256" s="1"/>
  <c r="AX256"/>
  <c r="AW256"/>
  <c r="AV256"/>
  <c r="AC256"/>
  <c r="H256"/>
  <c r="BT255"/>
  <c r="BS255"/>
  <c r="BR255"/>
  <c r="BQ255"/>
  <c r="BP255"/>
  <c r="BO255"/>
  <c r="BN255"/>
  <c r="BM255"/>
  <c r="BL255"/>
  <c r="BK255"/>
  <c r="BJ255"/>
  <c r="BI255"/>
  <c r="BH255"/>
  <c r="BG255"/>
  <c r="BF255"/>
  <c r="BE255"/>
  <c r="BD255"/>
  <c r="BC255"/>
  <c r="BB255"/>
  <c r="BA255" s="1"/>
  <c r="AZ255" s="1"/>
  <c r="AX255"/>
  <c r="AW255"/>
  <c r="AV255"/>
  <c r="AC255"/>
  <c r="H255"/>
  <c r="G255"/>
  <c r="BT254"/>
  <c r="BS254"/>
  <c r="BR254"/>
  <c r="BQ254"/>
  <c r="BP254"/>
  <c r="BO254"/>
  <c r="BN254"/>
  <c r="BM254"/>
  <c r="BL254" s="1"/>
  <c r="BK254"/>
  <c r="BJ254"/>
  <c r="BI254"/>
  <c r="BH254"/>
  <c r="BG254"/>
  <c r="BF254"/>
  <c r="BE254"/>
  <c r="BD254"/>
  <c r="BC254"/>
  <c r="BB254"/>
  <c r="BA254" s="1"/>
  <c r="AX254"/>
  <c r="AW254"/>
  <c r="AV254"/>
  <c r="AC254"/>
  <c r="H254"/>
  <c r="G254" s="1"/>
  <c r="BT253"/>
  <c r="BS253"/>
  <c r="BR253"/>
  <c r="BQ253"/>
  <c r="BP253"/>
  <c r="BO253"/>
  <c r="BN253"/>
  <c r="BM253"/>
  <c r="BL253" s="1"/>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C252"/>
  <c r="BB252"/>
  <c r="BA252" s="1"/>
  <c r="AZ252" s="1"/>
  <c r="AX252"/>
  <c r="AW252"/>
  <c r="AV252"/>
  <c r="AC252"/>
  <c r="H252"/>
  <c r="G252"/>
  <c r="BT251"/>
  <c r="BS251"/>
  <c r="BR251"/>
  <c r="BQ251"/>
  <c r="BP251"/>
  <c r="BO251"/>
  <c r="BN251"/>
  <c r="BM251"/>
  <c r="BL251" s="1"/>
  <c r="BK251"/>
  <c r="BJ251"/>
  <c r="BI251"/>
  <c r="BH251"/>
  <c r="BG251"/>
  <c r="BF251"/>
  <c r="BE251"/>
  <c r="BD251"/>
  <c r="BC251"/>
  <c r="BB251"/>
  <c r="BA251" s="1"/>
  <c r="AX251"/>
  <c r="AW251"/>
  <c r="AV251"/>
  <c r="AC251"/>
  <c r="H251"/>
  <c r="G251" s="1"/>
  <c r="BT250"/>
  <c r="BS250"/>
  <c r="BR250"/>
  <c r="BQ250"/>
  <c r="BP250"/>
  <c r="BO250"/>
  <c r="BN250"/>
  <c r="BM250"/>
  <c r="BK250"/>
  <c r="BJ250"/>
  <c r="BI250"/>
  <c r="BH250"/>
  <c r="BG250"/>
  <c r="BF250"/>
  <c r="BE250"/>
  <c r="BD250"/>
  <c r="BC250"/>
  <c r="BB250"/>
  <c r="BA250"/>
  <c r="AX250"/>
  <c r="AW250"/>
  <c r="AV250"/>
  <c r="AC250"/>
  <c r="H250"/>
  <c r="BT249"/>
  <c r="BS249"/>
  <c r="BR249"/>
  <c r="BQ249"/>
  <c r="BP249"/>
  <c r="BO249"/>
  <c r="BN249"/>
  <c r="BM249"/>
  <c r="BL249"/>
  <c r="BK249"/>
  <c r="BJ249"/>
  <c r="BI249"/>
  <c r="BH249"/>
  <c r="BG249"/>
  <c r="BF249"/>
  <c r="BE249"/>
  <c r="BD249"/>
  <c r="BC249"/>
  <c r="BB249"/>
  <c r="BA249" s="1"/>
  <c r="AX249"/>
  <c r="AW249"/>
  <c r="AV249"/>
  <c r="AC249"/>
  <c r="H249"/>
  <c r="BT248"/>
  <c r="BS248"/>
  <c r="BR248"/>
  <c r="BQ248"/>
  <c r="BP248"/>
  <c r="BO248"/>
  <c r="BN248"/>
  <c r="BM248"/>
  <c r="BL248"/>
  <c r="BK248"/>
  <c r="BJ248"/>
  <c r="BI248"/>
  <c r="BH248"/>
  <c r="BG248"/>
  <c r="BF248"/>
  <c r="BE248"/>
  <c r="BD248"/>
  <c r="BC248"/>
  <c r="BB248"/>
  <c r="BA248" s="1"/>
  <c r="AX248"/>
  <c r="AW248"/>
  <c r="AV248"/>
  <c r="AC248"/>
  <c r="H248"/>
  <c r="BT247"/>
  <c r="BS247"/>
  <c r="BR247"/>
  <c r="BQ247"/>
  <c r="BP247"/>
  <c r="BO247"/>
  <c r="BN247"/>
  <c r="BM247"/>
  <c r="BL247"/>
  <c r="BK247"/>
  <c r="BJ247"/>
  <c r="BI247"/>
  <c r="BH247"/>
  <c r="BG247"/>
  <c r="BF247"/>
  <c r="BE247"/>
  <c r="BD247"/>
  <c r="BC247"/>
  <c r="BB247"/>
  <c r="BA247" s="1"/>
  <c r="AZ247" s="1"/>
  <c r="AX247"/>
  <c r="AW247"/>
  <c r="AV247"/>
  <c r="AC247"/>
  <c r="H247"/>
  <c r="G247"/>
  <c r="BT246"/>
  <c r="BS246"/>
  <c r="BR246"/>
  <c r="BQ246"/>
  <c r="BP246"/>
  <c r="BO246"/>
  <c r="BN246"/>
  <c r="BM246"/>
  <c r="BL246" s="1"/>
  <c r="BK246"/>
  <c r="BJ246"/>
  <c r="BI246"/>
  <c r="BH246"/>
  <c r="BG246"/>
  <c r="BF246"/>
  <c r="BE246"/>
  <c r="BD246"/>
  <c r="BC246"/>
  <c r="BB246"/>
  <c r="BA246" s="1"/>
  <c r="AZ246" s="1"/>
  <c r="AX246"/>
  <c r="AW246"/>
  <c r="AV246"/>
  <c r="AC246"/>
  <c r="H246"/>
  <c r="G246" s="1"/>
  <c r="BT245"/>
  <c r="BS245"/>
  <c r="BR245"/>
  <c r="BQ245"/>
  <c r="BP245"/>
  <c r="BO245"/>
  <c r="BN245"/>
  <c r="BM245"/>
  <c r="BL245" s="1"/>
  <c r="BK245"/>
  <c r="BJ245"/>
  <c r="BI245"/>
  <c r="BH245"/>
  <c r="BG245"/>
  <c r="BF245"/>
  <c r="BE245"/>
  <c r="BD245"/>
  <c r="BC245"/>
  <c r="BB245"/>
  <c r="AX245"/>
  <c r="AW245"/>
  <c r="AV245"/>
  <c r="AC245"/>
  <c r="H245"/>
  <c r="G245" s="1"/>
  <c r="BT244"/>
  <c r="BS244"/>
  <c r="BR244"/>
  <c r="BQ244"/>
  <c r="BP244"/>
  <c r="BO244"/>
  <c r="BN244"/>
  <c r="BM244"/>
  <c r="BL244" s="1"/>
  <c r="BK244"/>
  <c r="BJ244"/>
  <c r="BI244"/>
  <c r="BH244"/>
  <c r="BG244"/>
  <c r="BF244"/>
  <c r="BE244"/>
  <c r="BD244"/>
  <c r="BC244"/>
  <c r="BB244"/>
  <c r="AX244"/>
  <c r="AW244"/>
  <c r="AV244"/>
  <c r="AC244"/>
  <c r="H244"/>
  <c r="G244" s="1"/>
  <c r="BT243"/>
  <c r="BS243"/>
  <c r="BR243"/>
  <c r="BQ243"/>
  <c r="BP243"/>
  <c r="BO243"/>
  <c r="BN243"/>
  <c r="BM243"/>
  <c r="BK243"/>
  <c r="BJ243"/>
  <c r="BI243"/>
  <c r="BH243"/>
  <c r="BG243"/>
  <c r="BF243"/>
  <c r="BE243"/>
  <c r="BD243"/>
  <c r="BC243"/>
  <c r="BB243"/>
  <c r="BA243"/>
  <c r="AX243"/>
  <c r="AW243"/>
  <c r="AV243"/>
  <c r="AC243"/>
  <c r="H243"/>
  <c r="G243"/>
  <c r="BT242"/>
  <c r="BS242"/>
  <c r="BR242"/>
  <c r="BQ242"/>
  <c r="BP242"/>
  <c r="BO242"/>
  <c r="BN242"/>
  <c r="BM242"/>
  <c r="BL242" s="1"/>
  <c r="BK242"/>
  <c r="BJ242"/>
  <c r="BI242"/>
  <c r="BH242"/>
  <c r="BG242"/>
  <c r="BF242"/>
  <c r="BE242"/>
  <c r="BD242"/>
  <c r="BC242"/>
  <c r="BB242"/>
  <c r="BA242" s="1"/>
  <c r="AZ242" s="1"/>
  <c r="AX242"/>
  <c r="AW242"/>
  <c r="AV242"/>
  <c r="AC242"/>
  <c r="H242"/>
  <c r="G242" s="1"/>
  <c r="BT241"/>
  <c r="BS241"/>
  <c r="BR241"/>
  <c r="BQ241"/>
  <c r="BP241"/>
  <c r="BO241"/>
  <c r="BN241"/>
  <c r="BM241"/>
  <c r="BL241" s="1"/>
  <c r="BK241"/>
  <c r="BJ241"/>
  <c r="BI241"/>
  <c r="BH241"/>
  <c r="BG241"/>
  <c r="BF241"/>
  <c r="BE241"/>
  <c r="BD241"/>
  <c r="BC241"/>
  <c r="BB241"/>
  <c r="AX241"/>
  <c r="AW241"/>
  <c r="AV241"/>
  <c r="AC241"/>
  <c r="H241"/>
  <c r="G241" s="1"/>
  <c r="BT240"/>
  <c r="BS240"/>
  <c r="BR240"/>
  <c r="BQ240"/>
  <c r="BP240"/>
  <c r="BO240"/>
  <c r="BN240"/>
  <c r="BM240"/>
  <c r="BL240" s="1"/>
  <c r="BK240"/>
  <c r="BJ240"/>
  <c r="BI240"/>
  <c r="BH240"/>
  <c r="BG240"/>
  <c r="BF240"/>
  <c r="BE240"/>
  <c r="BD240"/>
  <c r="BC240"/>
  <c r="BB240"/>
  <c r="AX240"/>
  <c r="AW240"/>
  <c r="AV240"/>
  <c r="AC240"/>
  <c r="H240"/>
  <c r="G240" s="1"/>
  <c r="BT239"/>
  <c r="BS239"/>
  <c r="BR239"/>
  <c r="BQ239"/>
  <c r="BP239"/>
  <c r="BO239"/>
  <c r="BN239"/>
  <c r="BM239"/>
  <c r="BL239" s="1"/>
  <c r="BK239"/>
  <c r="BJ239"/>
  <c r="BI239"/>
  <c r="BH239"/>
  <c r="BG239"/>
  <c r="BF239"/>
  <c r="BE239"/>
  <c r="BD239"/>
  <c r="BC239"/>
  <c r="BB239"/>
  <c r="AX239"/>
  <c r="AW239"/>
  <c r="AV239"/>
  <c r="AC239"/>
  <c r="H239"/>
  <c r="G239" s="1"/>
  <c r="BT238"/>
  <c r="BS238"/>
  <c r="BR238"/>
  <c r="BQ238"/>
  <c r="BP238"/>
  <c r="BO238"/>
  <c r="BN238"/>
  <c r="BM238"/>
  <c r="BK238"/>
  <c r="BJ238"/>
  <c r="BI238"/>
  <c r="BH238"/>
  <c r="BG238"/>
  <c r="BF238"/>
  <c r="BE238"/>
  <c r="BD238"/>
  <c r="BC238"/>
  <c r="BB238"/>
  <c r="BA238"/>
  <c r="AX238"/>
  <c r="AW238"/>
  <c r="AV238"/>
  <c r="AC238"/>
  <c r="H238"/>
  <c r="BT237"/>
  <c r="BS237"/>
  <c r="BR237"/>
  <c r="BQ237"/>
  <c r="BP237"/>
  <c r="BO237"/>
  <c r="BN237"/>
  <c r="BM237"/>
  <c r="BL237"/>
  <c r="BK237"/>
  <c r="BJ237"/>
  <c r="BI237"/>
  <c r="BH237"/>
  <c r="BG237"/>
  <c r="BF237"/>
  <c r="BE237"/>
  <c r="BD237"/>
  <c r="BC237"/>
  <c r="BB237"/>
  <c r="BA237" s="1"/>
  <c r="AX237"/>
  <c r="AW237"/>
  <c r="AV237"/>
  <c r="AC237"/>
  <c r="H237"/>
  <c r="BT236"/>
  <c r="BS236"/>
  <c r="BR236"/>
  <c r="BQ236"/>
  <c r="BP236"/>
  <c r="BO236"/>
  <c r="BN236"/>
  <c r="BM236"/>
  <c r="BL236"/>
  <c r="BK236"/>
  <c r="BJ236"/>
  <c r="BI236"/>
  <c r="BH236"/>
  <c r="BG236"/>
  <c r="BF236"/>
  <c r="BE236"/>
  <c r="BD236"/>
  <c r="BC236"/>
  <c r="BB236"/>
  <c r="BA236" s="1"/>
  <c r="AZ236" s="1"/>
  <c r="AX236"/>
  <c r="AW236"/>
  <c r="AV236"/>
  <c r="AC236"/>
  <c r="H236"/>
  <c r="G236"/>
  <c r="BT235"/>
  <c r="BS235"/>
  <c r="BR235"/>
  <c r="BQ235"/>
  <c r="BP235"/>
  <c r="BO235"/>
  <c r="BN235"/>
  <c r="BM235"/>
  <c r="BL235" s="1"/>
  <c r="BK235"/>
  <c r="BJ235"/>
  <c r="BI235"/>
  <c r="BH235"/>
  <c r="BG235"/>
  <c r="BF235"/>
  <c r="BE235"/>
  <c r="BD235"/>
  <c r="BC235"/>
  <c r="BB235"/>
  <c r="BA235" s="1"/>
  <c r="AX235"/>
  <c r="AW235"/>
  <c r="AV235"/>
  <c r="AC235"/>
  <c r="H235"/>
  <c r="G235" s="1"/>
  <c r="BT234"/>
  <c r="BS234"/>
  <c r="BR234"/>
  <c r="BQ234"/>
  <c r="BP234"/>
  <c r="BO234"/>
  <c r="BN234"/>
  <c r="BM234"/>
  <c r="BK234"/>
  <c r="BJ234"/>
  <c r="BI234"/>
  <c r="BH234"/>
  <c r="BG234"/>
  <c r="BF234"/>
  <c r="BE234"/>
  <c r="BD234"/>
  <c r="BC234"/>
  <c r="BB234"/>
  <c r="BA234"/>
  <c r="AX234"/>
  <c r="AW234"/>
  <c r="AV234"/>
  <c r="AC234"/>
  <c r="H234"/>
  <c r="BT233"/>
  <c r="BS233"/>
  <c r="BR233"/>
  <c r="BQ233"/>
  <c r="BP233"/>
  <c r="BO233"/>
  <c r="BN233"/>
  <c r="BM233"/>
  <c r="BL233"/>
  <c r="BK233"/>
  <c r="BJ233"/>
  <c r="BI233"/>
  <c r="BH233"/>
  <c r="BG233"/>
  <c r="BF233"/>
  <c r="BE233"/>
  <c r="BD233"/>
  <c r="BC233"/>
  <c r="BB233"/>
  <c r="BA233" s="1"/>
  <c r="AX233"/>
  <c r="AW233"/>
  <c r="AV233"/>
  <c r="AC233"/>
  <c r="H233"/>
  <c r="BT232"/>
  <c r="BS232"/>
  <c r="BR232"/>
  <c r="BQ232"/>
  <c r="BP232"/>
  <c r="BO232"/>
  <c r="BN232"/>
  <c r="BM232"/>
  <c r="BL232"/>
  <c r="BK232"/>
  <c r="BJ232"/>
  <c r="BI232"/>
  <c r="BH232"/>
  <c r="BG232"/>
  <c r="BF232"/>
  <c r="BE232"/>
  <c r="BD232"/>
  <c r="BC232"/>
  <c r="BB232"/>
  <c r="BA232" s="1"/>
  <c r="AX232"/>
  <c r="AW232"/>
  <c r="AV232"/>
  <c r="AC232"/>
  <c r="H232"/>
  <c r="BT231"/>
  <c r="BS231"/>
  <c r="BR231"/>
  <c r="BQ231"/>
  <c r="BP231"/>
  <c r="BO231"/>
  <c r="BN231"/>
  <c r="BM231"/>
  <c r="BL231"/>
  <c r="BK231"/>
  <c r="BJ231"/>
  <c r="BI231"/>
  <c r="BH231"/>
  <c r="BG231"/>
  <c r="BF231"/>
  <c r="BE231"/>
  <c r="BD231"/>
  <c r="BC231"/>
  <c r="BB231"/>
  <c r="BA231" s="1"/>
  <c r="AZ231" s="1"/>
  <c r="AX231"/>
  <c r="AW231"/>
  <c r="AV231"/>
  <c r="AC231"/>
  <c r="H231"/>
  <c r="G231"/>
  <c r="BT230"/>
  <c r="BS230"/>
  <c r="BR230"/>
  <c r="BQ230"/>
  <c r="BP230"/>
  <c r="BO230"/>
  <c r="BN230"/>
  <c r="BM230"/>
  <c r="BL230" s="1"/>
  <c r="BK230"/>
  <c r="BJ230"/>
  <c r="BI230"/>
  <c r="BH230"/>
  <c r="BG230"/>
  <c r="BF230"/>
  <c r="BE230"/>
  <c r="BD230"/>
  <c r="BC230"/>
  <c r="BB230"/>
  <c r="BA230" s="1"/>
  <c r="AZ230" s="1"/>
  <c r="AX230"/>
  <c r="AW230"/>
  <c r="AV230"/>
  <c r="AC230"/>
  <c r="H230"/>
  <c r="G230" s="1"/>
  <c r="BT229"/>
  <c r="BS229"/>
  <c r="BR229"/>
  <c r="BQ229"/>
  <c r="BP229"/>
  <c r="BO229"/>
  <c r="BN229"/>
  <c r="BM229"/>
  <c r="BL229" s="1"/>
  <c r="BK229"/>
  <c r="BJ229"/>
  <c r="BI229"/>
  <c r="BH229"/>
  <c r="BG229"/>
  <c r="BF229"/>
  <c r="BE229"/>
  <c r="BD229"/>
  <c r="BC229"/>
  <c r="BB229"/>
  <c r="AX229"/>
  <c r="AW229"/>
  <c r="AV229"/>
  <c r="AC229"/>
  <c r="H229"/>
  <c r="G229" s="1"/>
  <c r="BT228"/>
  <c r="BS228"/>
  <c r="BR228"/>
  <c r="BQ228"/>
  <c r="BP228"/>
  <c r="BO228"/>
  <c r="BN228"/>
  <c r="BM228"/>
  <c r="BL228" s="1"/>
  <c r="BK228"/>
  <c r="BJ228"/>
  <c r="BI228"/>
  <c r="BH228"/>
  <c r="BG228"/>
  <c r="BF228"/>
  <c r="BE228"/>
  <c r="BD228"/>
  <c r="BC228"/>
  <c r="BB228"/>
  <c r="AX228"/>
  <c r="AW228"/>
  <c r="AV228"/>
  <c r="AC228"/>
  <c r="H228"/>
  <c r="G228" s="1"/>
  <c r="BT227"/>
  <c r="BS227"/>
  <c r="BR227"/>
  <c r="BQ227"/>
  <c r="BP227"/>
  <c r="BO227"/>
  <c r="BN227"/>
  <c r="BM227"/>
  <c r="BK227"/>
  <c r="BJ227"/>
  <c r="BI227"/>
  <c r="BH227"/>
  <c r="BG227"/>
  <c r="BF227"/>
  <c r="BE227"/>
  <c r="BD227"/>
  <c r="BC227"/>
  <c r="BB227"/>
  <c r="BA227"/>
  <c r="AX227"/>
  <c r="AW227"/>
  <c r="AV227"/>
  <c r="AC227"/>
  <c r="H227"/>
  <c r="G227"/>
  <c r="BT226"/>
  <c r="BS226"/>
  <c r="BR226"/>
  <c r="BQ226"/>
  <c r="BP226"/>
  <c r="BO226"/>
  <c r="BN226"/>
  <c r="BM226"/>
  <c r="BL226" s="1"/>
  <c r="BK226"/>
  <c r="BJ226"/>
  <c r="BI226"/>
  <c r="BH226"/>
  <c r="BG226"/>
  <c r="BF226"/>
  <c r="BE226"/>
  <c r="BD226"/>
  <c r="BC226"/>
  <c r="BB226"/>
  <c r="BA226" s="1"/>
  <c r="AZ226" s="1"/>
  <c r="AX226"/>
  <c r="AW226"/>
  <c r="AV226"/>
  <c r="AC226"/>
  <c r="H226"/>
  <c r="G226" s="1"/>
  <c r="BT225"/>
  <c r="BS225"/>
  <c r="BR225"/>
  <c r="BQ225"/>
  <c r="BP225"/>
  <c r="BO225"/>
  <c r="BN225"/>
  <c r="BM225"/>
  <c r="BL225" s="1"/>
  <c r="BK225"/>
  <c r="BJ225"/>
  <c r="BI225"/>
  <c r="BH225"/>
  <c r="BG225"/>
  <c r="BF225"/>
  <c r="BE225"/>
  <c r="BD225"/>
  <c r="BC225"/>
  <c r="BB225"/>
  <c r="AX225"/>
  <c r="AW225"/>
  <c r="AV225"/>
  <c r="AC225"/>
  <c r="H225"/>
  <c r="G225" s="1"/>
  <c r="BT224"/>
  <c r="BS224"/>
  <c r="BR224"/>
  <c r="BQ224"/>
  <c r="BP224"/>
  <c r="BO224"/>
  <c r="BN224"/>
  <c r="BM224"/>
  <c r="BK224"/>
  <c r="BJ224"/>
  <c r="BI224"/>
  <c r="BH224"/>
  <c r="BG224"/>
  <c r="BF224"/>
  <c r="BE224"/>
  <c r="BD224"/>
  <c r="BC224"/>
  <c r="BB224"/>
  <c r="BA224"/>
  <c r="AX224"/>
  <c r="AW224"/>
  <c r="AV224"/>
  <c r="AC224"/>
  <c r="H224"/>
  <c r="BT223"/>
  <c r="BS223"/>
  <c r="BR223"/>
  <c r="BQ223"/>
  <c r="BP223"/>
  <c r="BO223"/>
  <c r="BN223"/>
  <c r="BM223"/>
  <c r="BL223"/>
  <c r="BK223"/>
  <c r="BJ223"/>
  <c r="BI223"/>
  <c r="BH223"/>
  <c r="BG223"/>
  <c r="BF223"/>
  <c r="BE223"/>
  <c r="BD223"/>
  <c r="BC223"/>
  <c r="BB223"/>
  <c r="BA223" s="1"/>
  <c r="AX223"/>
  <c r="AW223"/>
  <c r="AV223"/>
  <c r="AC223"/>
  <c r="H223"/>
  <c r="BT222"/>
  <c r="BS222"/>
  <c r="BR222"/>
  <c r="BQ222"/>
  <c r="BP222"/>
  <c r="BO222"/>
  <c r="BN222"/>
  <c r="BM222"/>
  <c r="BL222"/>
  <c r="BK222"/>
  <c r="BJ222"/>
  <c r="BI222"/>
  <c r="BH222"/>
  <c r="BG222"/>
  <c r="BF222"/>
  <c r="BE222"/>
  <c r="BD222"/>
  <c r="BC222"/>
  <c r="BB222"/>
  <c r="BA222" s="1"/>
  <c r="AX222"/>
  <c r="AW222"/>
  <c r="AV222"/>
  <c r="AC222"/>
  <c r="H222"/>
  <c r="BT221"/>
  <c r="BS221"/>
  <c r="BR221"/>
  <c r="BQ221"/>
  <c r="BP221"/>
  <c r="BO221"/>
  <c r="BN221"/>
  <c r="BM221"/>
  <c r="BL221"/>
  <c r="BK221"/>
  <c r="BJ221"/>
  <c r="BI221"/>
  <c r="BH221"/>
  <c r="BG221"/>
  <c r="BF221"/>
  <c r="BE221"/>
  <c r="BD221"/>
  <c r="BC221"/>
  <c r="BB221"/>
  <c r="BA221" s="1"/>
  <c r="AZ221" s="1"/>
  <c r="AX221"/>
  <c r="AW221"/>
  <c r="AV221"/>
  <c r="AC221"/>
  <c r="H221"/>
  <c r="G221"/>
  <c r="BT220"/>
  <c r="BS220"/>
  <c r="BR220"/>
  <c r="BQ220"/>
  <c r="BP220"/>
  <c r="BO220"/>
  <c r="BN220"/>
  <c r="BM220"/>
  <c r="BL220" s="1"/>
  <c r="BK220"/>
  <c r="BJ220"/>
  <c r="BI220"/>
  <c r="BH220"/>
  <c r="BG220"/>
  <c r="BF220"/>
  <c r="BE220"/>
  <c r="BD220"/>
  <c r="BC220"/>
  <c r="BB220"/>
  <c r="BA220" s="1"/>
  <c r="AZ220" s="1"/>
  <c r="AX220"/>
  <c r="AW220"/>
  <c r="AV220"/>
  <c r="AC220"/>
  <c r="H220"/>
  <c r="G220" s="1"/>
  <c r="BT219"/>
  <c r="BS219"/>
  <c r="BR219"/>
  <c r="BQ219"/>
  <c r="BP219"/>
  <c r="BO219"/>
  <c r="BN219"/>
  <c r="BM219"/>
  <c r="BL219" s="1"/>
  <c r="BK219"/>
  <c r="BJ219"/>
  <c r="BI219"/>
  <c r="BH219"/>
  <c r="BG219"/>
  <c r="BF219"/>
  <c r="BE219"/>
  <c r="BD219"/>
  <c r="BC219"/>
  <c r="BB219"/>
  <c r="AX219"/>
  <c r="AW219"/>
  <c r="AV219"/>
  <c r="AC219"/>
  <c r="H219"/>
  <c r="G219" s="1"/>
  <c r="BT218"/>
  <c r="BS218"/>
  <c r="BR218"/>
  <c r="BQ218"/>
  <c r="BP218"/>
  <c r="BO218"/>
  <c r="BN218"/>
  <c r="BM218"/>
  <c r="BK218"/>
  <c r="BJ218"/>
  <c r="BI218"/>
  <c r="BH218"/>
  <c r="BG218"/>
  <c r="BF218"/>
  <c r="BE218"/>
  <c r="BD218"/>
  <c r="BC218"/>
  <c r="BB218"/>
  <c r="BA218"/>
  <c r="AX218"/>
  <c r="AW218"/>
  <c r="AV218"/>
  <c r="AC218"/>
  <c r="H218"/>
  <c r="G218"/>
  <c r="BT217"/>
  <c r="BS217"/>
  <c r="BR217"/>
  <c r="BQ217"/>
  <c r="BP217"/>
  <c r="BO217"/>
  <c r="BN217"/>
  <c r="BM217"/>
  <c r="BL217" s="1"/>
  <c r="BK217"/>
  <c r="BJ217"/>
  <c r="BI217"/>
  <c r="BH217"/>
  <c r="BG217"/>
  <c r="BF217"/>
  <c r="BE217"/>
  <c r="BD217"/>
  <c r="BC217"/>
  <c r="BB217"/>
  <c r="BA217" s="1"/>
  <c r="AZ217" s="1"/>
  <c r="AX217"/>
  <c r="AW217"/>
  <c r="AV217"/>
  <c r="AC217"/>
  <c r="H217"/>
  <c r="G217" s="1"/>
  <c r="BT216"/>
  <c r="BS216"/>
  <c r="BR216"/>
  <c r="BQ216"/>
  <c r="BP216"/>
  <c r="BO216"/>
  <c r="BN216"/>
  <c r="BM216"/>
  <c r="BL216" s="1"/>
  <c r="BK216"/>
  <c r="BJ216"/>
  <c r="BI216"/>
  <c r="BH216"/>
  <c r="BG216"/>
  <c r="BF216"/>
  <c r="BE216"/>
  <c r="BD216"/>
  <c r="BC216"/>
  <c r="BB216"/>
  <c r="AX216"/>
  <c r="AW216"/>
  <c r="AV216"/>
  <c r="AC216"/>
  <c r="H216"/>
  <c r="G216" s="1"/>
  <c r="BT215"/>
  <c r="BS215"/>
  <c r="BR215"/>
  <c r="BQ215"/>
  <c r="BP215"/>
  <c r="BO215"/>
  <c r="BN215"/>
  <c r="BM215"/>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s="1"/>
  <c r="AX214"/>
  <c r="AW214"/>
  <c r="AV214"/>
  <c r="AC214"/>
  <c r="H214"/>
  <c r="G214" s="1"/>
  <c r="BT213"/>
  <c r="BS213"/>
  <c r="BR213"/>
  <c r="BQ213"/>
  <c r="BP213"/>
  <c r="BO213"/>
  <c r="BN213"/>
  <c r="BM213"/>
  <c r="BK213"/>
  <c r="BJ213"/>
  <c r="BI213"/>
  <c r="BH213"/>
  <c r="BG213"/>
  <c r="BF213"/>
  <c r="BE213"/>
  <c r="BD213"/>
  <c r="BC213"/>
  <c r="BB213"/>
  <c r="BA213"/>
  <c r="AX213"/>
  <c r="AW213"/>
  <c r="AV213"/>
  <c r="AC213"/>
  <c r="H213"/>
  <c r="BT212"/>
  <c r="BS212"/>
  <c r="BR212"/>
  <c r="BQ212"/>
  <c r="BP212"/>
  <c r="BO212"/>
  <c r="BN212"/>
  <c r="BM212"/>
  <c r="BL212"/>
  <c r="BK212"/>
  <c r="BJ212"/>
  <c r="BI212"/>
  <c r="BH212"/>
  <c r="BG212"/>
  <c r="BF212"/>
  <c r="BE212"/>
  <c r="BD212"/>
  <c r="BC212"/>
  <c r="BB212"/>
  <c r="BA212" s="1"/>
  <c r="AZ212" s="1"/>
  <c r="AX212"/>
  <c r="AW212"/>
  <c r="AV212"/>
  <c r="AC212"/>
  <c r="H212"/>
  <c r="G212"/>
  <c r="BT211"/>
  <c r="BS211"/>
  <c r="BR211"/>
  <c r="BQ211"/>
  <c r="BP211"/>
  <c r="BO211"/>
  <c r="BN211"/>
  <c r="BM211"/>
  <c r="BL211" s="1"/>
  <c r="BK211"/>
  <c r="BJ211"/>
  <c r="BI211"/>
  <c r="BH211"/>
  <c r="BG211"/>
  <c r="BF211"/>
  <c r="BE211"/>
  <c r="BD211"/>
  <c r="BC211"/>
  <c r="BB211"/>
  <c r="BA211" s="1"/>
  <c r="AZ211" s="1"/>
  <c r="AX211"/>
  <c r="AW211"/>
  <c r="AV211"/>
  <c r="AC211"/>
  <c r="H211"/>
  <c r="G211" s="1"/>
  <c r="BT210"/>
  <c r="BS210"/>
  <c r="BR210"/>
  <c r="BQ210"/>
  <c r="BP210"/>
  <c r="BO210"/>
  <c r="BN210"/>
  <c r="BM210"/>
  <c r="BL210" s="1"/>
  <c r="BK210"/>
  <c r="BJ210"/>
  <c r="BI210"/>
  <c r="BH210"/>
  <c r="BG210"/>
  <c r="BF210"/>
  <c r="BE210"/>
  <c r="BD210"/>
  <c r="BC210"/>
  <c r="BB210"/>
  <c r="AX210"/>
  <c r="AW210"/>
  <c r="AV210"/>
  <c r="AC210"/>
  <c r="H210"/>
  <c r="G210" s="1"/>
  <c r="BT209"/>
  <c r="BS209"/>
  <c r="BR209"/>
  <c r="BQ209"/>
  <c r="BP209"/>
  <c r="BO209"/>
  <c r="BN209"/>
  <c r="BM209"/>
  <c r="BK209"/>
  <c r="BJ209"/>
  <c r="BI209"/>
  <c r="BH209"/>
  <c r="BG209"/>
  <c r="BF209"/>
  <c r="BE209"/>
  <c r="BD209"/>
  <c r="BC209"/>
  <c r="BB209"/>
  <c r="BA209"/>
  <c r="AX209"/>
  <c r="AW209"/>
  <c r="AV209"/>
  <c r="AC209"/>
  <c r="H209"/>
  <c r="G209"/>
  <c r="BT208"/>
  <c r="BS208"/>
  <c r="BR208"/>
  <c r="BQ208"/>
  <c r="BP208"/>
  <c r="BO208"/>
  <c r="BN208"/>
  <c r="BM208"/>
  <c r="BL208" s="1"/>
  <c r="BK208"/>
  <c r="BJ208"/>
  <c r="BI208"/>
  <c r="BH208"/>
  <c r="BG208"/>
  <c r="BF208"/>
  <c r="BE208"/>
  <c r="BD208"/>
  <c r="BC208"/>
  <c r="BB208"/>
  <c r="BA208" s="1"/>
  <c r="AZ208" s="1"/>
  <c r="AX208"/>
  <c r="AW208"/>
  <c r="AV208"/>
  <c r="AC208"/>
  <c r="H208"/>
  <c r="G208" s="1"/>
  <c r="BT397"/>
  <c r="BS397"/>
  <c r="BR397"/>
  <c r="BQ397"/>
  <c r="BP397"/>
  <c r="BO397"/>
  <c r="BN397"/>
  <c r="BM397"/>
  <c r="BL397" s="1"/>
  <c r="BK397"/>
  <c r="BJ397"/>
  <c r="BI397"/>
  <c r="BH397"/>
  <c r="BG397"/>
  <c r="BF397"/>
  <c r="BE397"/>
  <c r="BD397"/>
  <c r="BC397"/>
  <c r="BB397"/>
  <c r="AX397"/>
  <c r="AW397"/>
  <c r="AV397"/>
  <c r="AC397"/>
  <c r="H397"/>
  <c r="G397" s="1"/>
  <c r="BT396"/>
  <c r="BS396"/>
  <c r="BR396"/>
  <c r="BQ396"/>
  <c r="BP396"/>
  <c r="BO396"/>
  <c r="BN396"/>
  <c r="BM396"/>
  <c r="BK396"/>
  <c r="BJ396"/>
  <c r="BI396"/>
  <c r="BH396"/>
  <c r="BG396"/>
  <c r="BF396"/>
  <c r="BE396"/>
  <c r="BD396"/>
  <c r="BC396"/>
  <c r="BB396"/>
  <c r="BA396"/>
  <c r="AX396"/>
  <c r="AW396"/>
  <c r="AV396"/>
  <c r="AC396"/>
  <c r="H396"/>
  <c r="G396"/>
  <c r="BT395"/>
  <c r="BS395"/>
  <c r="BR395"/>
  <c r="BQ395"/>
  <c r="BP395"/>
  <c r="BO395"/>
  <c r="BN395"/>
  <c r="BM395"/>
  <c r="BL395" s="1"/>
  <c r="BK395"/>
  <c r="BJ395"/>
  <c r="BI395"/>
  <c r="BH395"/>
  <c r="BG395"/>
  <c r="BF395"/>
  <c r="BE395"/>
  <c r="BD395"/>
  <c r="BC395"/>
  <c r="BB395"/>
  <c r="BA395" s="1"/>
  <c r="AZ395" s="1"/>
  <c r="AX395"/>
  <c r="AW395"/>
  <c r="AV395"/>
  <c r="AC395"/>
  <c r="H395"/>
  <c r="G395" s="1"/>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s="1"/>
  <c r="AX392"/>
  <c r="AW392"/>
  <c r="AV392"/>
  <c r="AC392"/>
  <c r="H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AX387"/>
  <c r="AW387"/>
  <c r="AV387"/>
  <c r="AC387"/>
  <c r="H387"/>
  <c r="G387" s="1"/>
  <c r="BT386"/>
  <c r="BS386"/>
  <c r="BR386"/>
  <c r="BQ386"/>
  <c r="BP386"/>
  <c r="BO386"/>
  <c r="BN386"/>
  <c r="BM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s="1"/>
  <c r="AZ385" s="1"/>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s="1"/>
  <c r="BT381"/>
  <c r="BS381"/>
  <c r="BR381"/>
  <c r="BQ381"/>
  <c r="BP381"/>
  <c r="BO381"/>
  <c r="BN381"/>
  <c r="BM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s="1"/>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G374" s="1"/>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BT368"/>
  <c r="BS368"/>
  <c r="BR368"/>
  <c r="BQ368"/>
  <c r="BP368"/>
  <c r="BO368"/>
  <c r="BN368"/>
  <c r="BM368"/>
  <c r="BL368"/>
  <c r="BK368"/>
  <c r="BJ368"/>
  <c r="BI368"/>
  <c r="BH368"/>
  <c r="BG368"/>
  <c r="BF368"/>
  <c r="BE368"/>
  <c r="BD368"/>
  <c r="BC368"/>
  <c r="BB368"/>
  <c r="BA368" s="1"/>
  <c r="AX368"/>
  <c r="AW368"/>
  <c r="AV368"/>
  <c r="AC368"/>
  <c r="H368"/>
  <c r="BT367"/>
  <c r="BS367"/>
  <c r="BR367"/>
  <c r="BQ367"/>
  <c r="BP367"/>
  <c r="BO367"/>
  <c r="BN367"/>
  <c r="BM367"/>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AX366"/>
  <c r="AW366"/>
  <c r="AV366"/>
  <c r="AC366"/>
  <c r="H366"/>
  <c r="G366" s="1"/>
  <c r="BT365"/>
  <c r="BS365"/>
  <c r="BR365"/>
  <c r="BQ365"/>
  <c r="BP365"/>
  <c r="BO365"/>
  <c r="BN365"/>
  <c r="BM365"/>
  <c r="BL365" s="1"/>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s="1"/>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s="1"/>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s="1"/>
  <c r="AX358"/>
  <c r="AW358"/>
  <c r="AV358"/>
  <c r="AC358"/>
  <c r="H358"/>
  <c r="G358" s="1"/>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s="1"/>
  <c r="BK354"/>
  <c r="BJ354"/>
  <c r="BI354"/>
  <c r="BH354"/>
  <c r="BG354"/>
  <c r="BF354"/>
  <c r="BE354"/>
  <c r="BD354"/>
  <c r="BC354"/>
  <c r="BB354"/>
  <c r="AX354"/>
  <c r="AW354"/>
  <c r="AV354"/>
  <c r="AC354"/>
  <c r="H354"/>
  <c r="BT353"/>
  <c r="BS353"/>
  <c r="BR353"/>
  <c r="BQ353"/>
  <c r="BP353"/>
  <c r="BO353"/>
  <c r="BN353"/>
  <c r="BM353"/>
  <c r="BL353" s="1"/>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BA352" s="1"/>
  <c r="AX352"/>
  <c r="AW352"/>
  <c r="AV352"/>
  <c r="AC352"/>
  <c r="H352"/>
  <c r="BT351"/>
  <c r="BS351"/>
  <c r="BR351"/>
  <c r="BQ351"/>
  <c r="BP351"/>
  <c r="BO351"/>
  <c r="BN351"/>
  <c r="BM351"/>
  <c r="BK351"/>
  <c r="BJ351"/>
  <c r="BI351"/>
  <c r="BH351"/>
  <c r="BG351"/>
  <c r="BF351"/>
  <c r="BE351"/>
  <c r="BD351"/>
  <c r="BC351"/>
  <c r="BB351"/>
  <c r="AX351"/>
  <c r="AW351"/>
  <c r="AV351"/>
  <c r="AC351"/>
  <c r="H351"/>
  <c r="BT350"/>
  <c r="BS350"/>
  <c r="BR350"/>
  <c r="BQ350"/>
  <c r="BP350"/>
  <c r="BO350"/>
  <c r="BN350"/>
  <c r="BM350"/>
  <c r="BL350"/>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AX349"/>
  <c r="AW349"/>
  <c r="AV349"/>
  <c r="AC349"/>
  <c r="H349"/>
  <c r="G349" s="1"/>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s="1"/>
  <c r="BT333"/>
  <c r="BS333"/>
  <c r="BR333"/>
  <c r="BQ333"/>
  <c r="BP333"/>
  <c r="BO333"/>
  <c r="BN333"/>
  <c r="BM333"/>
  <c r="BL333" s="1"/>
  <c r="BK333"/>
  <c r="BJ333"/>
  <c r="BI333"/>
  <c r="BH333"/>
  <c r="BG333"/>
  <c r="BF333"/>
  <c r="BE333"/>
  <c r="BD333"/>
  <c r="BC333"/>
  <c r="BB333"/>
  <c r="AX333"/>
  <c r="AW333"/>
  <c r="AV333"/>
  <c r="AC333"/>
  <c r="H333"/>
  <c r="BT332"/>
  <c r="BS332"/>
  <c r="BR332"/>
  <c r="BQ332"/>
  <c r="BP332"/>
  <c r="BO332"/>
  <c r="BN332"/>
  <c r="BM332"/>
  <c r="BL332" s="1"/>
  <c r="BK332"/>
  <c r="BJ332"/>
  <c r="BI332"/>
  <c r="BH332"/>
  <c r="BG332"/>
  <c r="BF332"/>
  <c r="BE332"/>
  <c r="BD332"/>
  <c r="BC332"/>
  <c r="BB332"/>
  <c r="BA332" s="1"/>
  <c r="AZ332" s="1"/>
  <c r="AX332"/>
  <c r="AW332"/>
  <c r="AV332"/>
  <c r="AC332"/>
  <c r="H332"/>
  <c r="BT331"/>
  <c r="BS331"/>
  <c r="BR331"/>
  <c r="BQ331"/>
  <c r="BP331"/>
  <c r="BO331"/>
  <c r="BN331"/>
  <c r="BM331"/>
  <c r="BK331"/>
  <c r="BJ331"/>
  <c r="BI331"/>
  <c r="BH331"/>
  <c r="BG331"/>
  <c r="BF331"/>
  <c r="BE331"/>
  <c r="BD331"/>
  <c r="BC331"/>
  <c r="BB331"/>
  <c r="BA331" s="1"/>
  <c r="AX331"/>
  <c r="AW331"/>
  <c r="AV331"/>
  <c r="AC331"/>
  <c r="H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L328" s="1"/>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s="1"/>
  <c r="BT317"/>
  <c r="BS317"/>
  <c r="BR317"/>
  <c r="BQ317"/>
  <c r="BP317"/>
  <c r="BO317"/>
  <c r="BN317"/>
  <c r="BM317"/>
  <c r="BL317" s="1"/>
  <c r="BK317"/>
  <c r="BJ317"/>
  <c r="BI317"/>
  <c r="BH317"/>
  <c r="BG317"/>
  <c r="BF317"/>
  <c r="BE317"/>
  <c r="BD317"/>
  <c r="BC317"/>
  <c r="BB317"/>
  <c r="AX317"/>
  <c r="AW317"/>
  <c r="AV317"/>
  <c r="AC317"/>
  <c r="H317"/>
  <c r="BT316"/>
  <c r="BS316"/>
  <c r="BR316"/>
  <c r="BQ316"/>
  <c r="BP316"/>
  <c r="BO316"/>
  <c r="BN316"/>
  <c r="BM316"/>
  <c r="BL316" s="1"/>
  <c r="BK316"/>
  <c r="BJ316"/>
  <c r="BI316"/>
  <c r="BH316"/>
  <c r="BG316"/>
  <c r="BF316"/>
  <c r="BE316"/>
  <c r="BD316"/>
  <c r="BC316"/>
  <c r="BB316"/>
  <c r="BA316" s="1"/>
  <c r="AZ316" s="1"/>
  <c r="AX316"/>
  <c r="AW316"/>
  <c r="AV316"/>
  <c r="AC316"/>
  <c r="H316"/>
  <c r="BT315"/>
  <c r="BS315"/>
  <c r="BR315"/>
  <c r="BQ315"/>
  <c r="BP315"/>
  <c r="BO315"/>
  <c r="BN315"/>
  <c r="BM315"/>
  <c r="BK315"/>
  <c r="BJ315"/>
  <c r="BI315"/>
  <c r="BH315"/>
  <c r="BG315"/>
  <c r="BF315"/>
  <c r="BE315"/>
  <c r="BD315"/>
  <c r="BC315"/>
  <c r="BB315"/>
  <c r="BA315" s="1"/>
  <c r="AX315"/>
  <c r="AW315"/>
  <c r="AV315"/>
  <c r="AC315"/>
  <c r="H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s="1"/>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s="1"/>
  <c r="AZ492" s="1"/>
  <c r="AX492"/>
  <c r="AW492"/>
  <c r="AV492"/>
  <c r="AC492"/>
  <c r="H492"/>
  <c r="G492"/>
  <c r="BT491"/>
  <c r="BS491"/>
  <c r="BR491"/>
  <c r="BQ491"/>
  <c r="BP491"/>
  <c r="BO491"/>
  <c r="BN491"/>
  <c r="BM491"/>
  <c r="BL491" s="1"/>
  <c r="BK491"/>
  <c r="BJ491"/>
  <c r="BI491"/>
  <c r="BH491"/>
  <c r="BG491"/>
  <c r="BF491"/>
  <c r="BE491"/>
  <c r="BD491"/>
  <c r="BC491"/>
  <c r="BB491"/>
  <c r="BA491" s="1"/>
  <c r="AX491"/>
  <c r="AW491"/>
  <c r="AV491"/>
  <c r="AC491"/>
  <c r="H491"/>
  <c r="G491" s="1"/>
  <c r="BT490"/>
  <c r="BS490"/>
  <c r="BR490"/>
  <c r="BQ490"/>
  <c r="BP490"/>
  <c r="BO490"/>
  <c r="BN490"/>
  <c r="BM490"/>
  <c r="BK490"/>
  <c r="BJ490"/>
  <c r="BI490"/>
  <c r="BH490"/>
  <c r="BG490"/>
  <c r="BF490"/>
  <c r="BE490"/>
  <c r="BD490"/>
  <c r="BC490"/>
  <c r="BB490"/>
  <c r="BA490"/>
  <c r="AX490"/>
  <c r="AW490"/>
  <c r="AV490"/>
  <c r="AC490"/>
  <c r="H490"/>
  <c r="BT489"/>
  <c r="BS489"/>
  <c r="BR489"/>
  <c r="BQ489"/>
  <c r="BP489"/>
  <c r="BO489"/>
  <c r="BN489"/>
  <c r="BM489"/>
  <c r="BL489"/>
  <c r="BK489"/>
  <c r="BJ489"/>
  <c r="BI489"/>
  <c r="BH489"/>
  <c r="BG489"/>
  <c r="BF489"/>
  <c r="BE489"/>
  <c r="BD489"/>
  <c r="BC489"/>
  <c r="BB489"/>
  <c r="BA489" s="1"/>
  <c r="AZ489" s="1"/>
  <c r="AX489"/>
  <c r="AW489"/>
  <c r="AV489"/>
  <c r="AC489"/>
  <c r="H489"/>
  <c r="BT488"/>
  <c r="BS488"/>
  <c r="BR488"/>
  <c r="BQ488"/>
  <c r="BP488"/>
  <c r="BO488"/>
  <c r="BN488"/>
  <c r="BM488"/>
  <c r="BL488"/>
  <c r="BK488"/>
  <c r="BJ488"/>
  <c r="BI488"/>
  <c r="BH488"/>
  <c r="BG488"/>
  <c r="BF488"/>
  <c r="BE488"/>
  <c r="BD488"/>
  <c r="BC488"/>
  <c r="BB488"/>
  <c r="BA488" s="1"/>
  <c r="AZ488" s="1"/>
  <c r="AX488"/>
  <c r="AW488"/>
  <c r="AV488"/>
  <c r="AC488"/>
  <c r="H488"/>
  <c r="G488"/>
  <c r="BT487"/>
  <c r="BS487"/>
  <c r="BR487"/>
  <c r="BQ487"/>
  <c r="BP487"/>
  <c r="BO487"/>
  <c r="BN487"/>
  <c r="BM487"/>
  <c r="BL487" s="1"/>
  <c r="BK487"/>
  <c r="BJ487"/>
  <c r="BI487"/>
  <c r="BH487"/>
  <c r="BG487"/>
  <c r="BF487"/>
  <c r="BE487"/>
  <c r="BD487"/>
  <c r="BC487"/>
  <c r="BB487"/>
  <c r="BA487" s="1"/>
  <c r="AX487"/>
  <c r="AW487"/>
  <c r="AV487"/>
  <c r="AC487"/>
  <c r="H487"/>
  <c r="G487" s="1"/>
  <c r="BT486"/>
  <c r="BS486"/>
  <c r="BR486"/>
  <c r="BQ486"/>
  <c r="BP486"/>
  <c r="BO486"/>
  <c r="BN486"/>
  <c r="BM486"/>
  <c r="BK486"/>
  <c r="BJ486"/>
  <c r="BI486"/>
  <c r="BH486"/>
  <c r="BG486"/>
  <c r="BF486"/>
  <c r="BE486"/>
  <c r="BD486"/>
  <c r="BC486"/>
  <c r="BB486"/>
  <c r="BA486"/>
  <c r="AX486"/>
  <c r="AW486"/>
  <c r="AV486"/>
  <c r="AC486"/>
  <c r="H486"/>
  <c r="BT485"/>
  <c r="BS485"/>
  <c r="BR485"/>
  <c r="BQ485"/>
  <c r="BP485"/>
  <c r="BO485"/>
  <c r="BN485"/>
  <c r="BM485"/>
  <c r="BL485"/>
  <c r="BK485"/>
  <c r="BJ485"/>
  <c r="BI485"/>
  <c r="BH485"/>
  <c r="BG485"/>
  <c r="BF485"/>
  <c r="BE485"/>
  <c r="BD485"/>
  <c r="BC485"/>
  <c r="BB485"/>
  <c r="BA485" s="1"/>
  <c r="AZ485" s="1"/>
  <c r="AX485"/>
  <c r="AW485"/>
  <c r="AV485"/>
  <c r="AC485"/>
  <c r="H485"/>
  <c r="BT484"/>
  <c r="BS484"/>
  <c r="BR484"/>
  <c r="BQ484"/>
  <c r="BP484"/>
  <c r="BO484"/>
  <c r="BN484"/>
  <c r="BM484"/>
  <c r="BL484"/>
  <c r="BK484"/>
  <c r="BJ484"/>
  <c r="BI484"/>
  <c r="BH484"/>
  <c r="BG484"/>
  <c r="BF484"/>
  <c r="BE484"/>
  <c r="BD484"/>
  <c r="BC484"/>
  <c r="BB484"/>
  <c r="BA484" s="1"/>
  <c r="AZ484" s="1"/>
  <c r="AX484"/>
  <c r="AW484"/>
  <c r="AV484"/>
  <c r="AC484"/>
  <c r="H484"/>
  <c r="G484"/>
  <c r="BT483"/>
  <c r="BS483"/>
  <c r="BR483"/>
  <c r="BQ483"/>
  <c r="BP483"/>
  <c r="BO483"/>
  <c r="BN483"/>
  <c r="BM483"/>
  <c r="BL483" s="1"/>
  <c r="BK483"/>
  <c r="BJ483"/>
  <c r="BI483"/>
  <c r="BH483"/>
  <c r="BG483"/>
  <c r="BF483"/>
  <c r="BE483"/>
  <c r="BD483"/>
  <c r="BC483"/>
  <c r="BB483"/>
  <c r="AX483"/>
  <c r="AW483"/>
  <c r="AV483"/>
  <c r="AC483"/>
  <c r="H483"/>
  <c r="G483" s="1"/>
  <c r="BT482"/>
  <c r="BS482"/>
  <c r="BR482"/>
  <c r="BQ482"/>
  <c r="BP482"/>
  <c r="BO482"/>
  <c r="BN482"/>
  <c r="BM482"/>
  <c r="BL482" s="1"/>
  <c r="BK482"/>
  <c r="BJ482"/>
  <c r="BI482"/>
  <c r="BH482"/>
  <c r="BG482"/>
  <c r="BF482"/>
  <c r="BE482"/>
  <c r="BD482"/>
  <c r="BC482"/>
  <c r="BB482"/>
  <c r="AX482"/>
  <c r="AW482"/>
  <c r="AV482"/>
  <c r="AC482"/>
  <c r="H482"/>
  <c r="G482" s="1"/>
  <c r="BT481"/>
  <c r="BS481"/>
  <c r="BR481"/>
  <c r="BQ481"/>
  <c r="BP481"/>
  <c r="BO481"/>
  <c r="BN481"/>
  <c r="BM481"/>
  <c r="BK481"/>
  <c r="BJ481"/>
  <c r="BI481"/>
  <c r="BH481"/>
  <c r="BG481"/>
  <c r="BF481"/>
  <c r="BE481"/>
  <c r="BD481"/>
  <c r="BC481"/>
  <c r="BB481"/>
  <c r="BA481"/>
  <c r="AX481"/>
  <c r="AW481"/>
  <c r="AV481"/>
  <c r="AC481"/>
  <c r="H481"/>
  <c r="G481"/>
  <c r="BT480"/>
  <c r="BS480"/>
  <c r="BR480"/>
  <c r="BQ480"/>
  <c r="BP480"/>
  <c r="BO480"/>
  <c r="BN480"/>
  <c r="BM480"/>
  <c r="BL480" s="1"/>
  <c r="BK480"/>
  <c r="BJ480"/>
  <c r="BI480"/>
  <c r="BH480"/>
  <c r="BG480"/>
  <c r="BF480"/>
  <c r="BE480"/>
  <c r="BD480"/>
  <c r="BC480"/>
  <c r="BB480"/>
  <c r="BA480" s="1"/>
  <c r="AZ480" s="1"/>
  <c r="AX480"/>
  <c r="AW480"/>
  <c r="AV480"/>
  <c r="AC480"/>
  <c r="H480"/>
  <c r="G480" s="1"/>
  <c r="BT479"/>
  <c r="BS479"/>
  <c r="BR479"/>
  <c r="BQ479"/>
  <c r="BP479"/>
  <c r="BO479"/>
  <c r="BN479"/>
  <c r="BM479"/>
  <c r="BL479" s="1"/>
  <c r="BK479"/>
  <c r="BJ479"/>
  <c r="BI479"/>
  <c r="BH479"/>
  <c r="BG479"/>
  <c r="BF479"/>
  <c r="BE479"/>
  <c r="BD479"/>
  <c r="BC479"/>
  <c r="BB479"/>
  <c r="AX479"/>
  <c r="AW479"/>
  <c r="AV479"/>
  <c r="AC479"/>
  <c r="H479"/>
  <c r="G479" s="1"/>
  <c r="BT478"/>
  <c r="BS478"/>
  <c r="BR478"/>
  <c r="BQ478"/>
  <c r="BP478"/>
  <c r="BO478"/>
  <c r="BN478"/>
  <c r="BM478"/>
  <c r="BL478" s="1"/>
  <c r="BK478"/>
  <c r="BJ478"/>
  <c r="BI478"/>
  <c r="BH478"/>
  <c r="BG478"/>
  <c r="BF478"/>
  <c r="BE478"/>
  <c r="BD478"/>
  <c r="BC478"/>
  <c r="BB478"/>
  <c r="AX478"/>
  <c r="AW478"/>
  <c r="AV478"/>
  <c r="AC478"/>
  <c r="H478"/>
  <c r="G478" s="1"/>
  <c r="BT477"/>
  <c r="BS477"/>
  <c r="BR477"/>
  <c r="BQ477"/>
  <c r="BP477"/>
  <c r="BO477"/>
  <c r="BN477"/>
  <c r="BM477"/>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s="1"/>
  <c r="AZ476" s="1"/>
  <c r="AX476"/>
  <c r="AW476"/>
  <c r="AV476"/>
  <c r="AC476"/>
  <c r="H476"/>
  <c r="G476" s="1"/>
  <c r="BT475"/>
  <c r="BS475"/>
  <c r="BR475"/>
  <c r="BQ475"/>
  <c r="BP475"/>
  <c r="BO475"/>
  <c r="BN475"/>
  <c r="BM475"/>
  <c r="BL475" s="1"/>
  <c r="BK475"/>
  <c r="BJ475"/>
  <c r="BI475"/>
  <c r="BH475"/>
  <c r="BG475"/>
  <c r="BF475"/>
  <c r="BE475"/>
  <c r="BD475"/>
  <c r="BC475"/>
  <c r="BB475"/>
  <c r="AX475"/>
  <c r="AW475"/>
  <c r="AV475"/>
  <c r="AC475"/>
  <c r="H475"/>
  <c r="G475" s="1"/>
  <c r="BT474"/>
  <c r="BS474"/>
  <c r="BR474"/>
  <c r="BQ474"/>
  <c r="BP474"/>
  <c r="BO474"/>
  <c r="BN474"/>
  <c r="BM474"/>
  <c r="BL474" s="1"/>
  <c r="BK474"/>
  <c r="BJ474"/>
  <c r="BI474"/>
  <c r="BH474"/>
  <c r="BG474"/>
  <c r="BF474"/>
  <c r="BE474"/>
  <c r="BD474"/>
  <c r="BC474"/>
  <c r="BB474"/>
  <c r="AX474"/>
  <c r="AW474"/>
  <c r="AV474"/>
  <c r="AC474"/>
  <c r="H474"/>
  <c r="G474" s="1"/>
  <c r="BT473"/>
  <c r="BS473"/>
  <c r="BR473"/>
  <c r="BQ473"/>
  <c r="BP473"/>
  <c r="BO473"/>
  <c r="BN473"/>
  <c r="BM473"/>
  <c r="BK473"/>
  <c r="BJ473"/>
  <c r="BI473"/>
  <c r="BH473"/>
  <c r="BG473"/>
  <c r="BF473"/>
  <c r="BE473"/>
  <c r="BD473"/>
  <c r="BC473"/>
  <c r="BB473"/>
  <c r="BA473"/>
  <c r="AX473"/>
  <c r="AW473"/>
  <c r="AV473"/>
  <c r="AC473"/>
  <c r="H473"/>
  <c r="BT472"/>
  <c r="BS472"/>
  <c r="BR472"/>
  <c r="BQ472"/>
  <c r="BP472"/>
  <c r="BO472"/>
  <c r="BN472"/>
  <c r="BM472"/>
  <c r="BL472"/>
  <c r="BK472"/>
  <c r="BJ472"/>
  <c r="BI472"/>
  <c r="BH472"/>
  <c r="BG472"/>
  <c r="BF472"/>
  <c r="BE472"/>
  <c r="BD472"/>
  <c r="BC472"/>
  <c r="BB472"/>
  <c r="BA472" s="1"/>
  <c r="AZ472" s="1"/>
  <c r="AX472"/>
  <c r="AW472"/>
  <c r="AV472"/>
  <c r="AC472"/>
  <c r="H472"/>
  <c r="BT471"/>
  <c r="BS471"/>
  <c r="BR471"/>
  <c r="BQ471"/>
  <c r="BP471"/>
  <c r="BO471"/>
  <c r="BN471"/>
  <c r="BM471"/>
  <c r="BL471"/>
  <c r="BK471"/>
  <c r="BJ471"/>
  <c r="BI471"/>
  <c r="BH471"/>
  <c r="BG471"/>
  <c r="BF471"/>
  <c r="BE471"/>
  <c r="BD471"/>
  <c r="BC471"/>
  <c r="BB471"/>
  <c r="BA471" s="1"/>
  <c r="AZ471" s="1"/>
  <c r="AX471"/>
  <c r="AW471"/>
  <c r="AV471"/>
  <c r="AC471"/>
  <c r="H47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BK469"/>
  <c r="BJ469"/>
  <c r="BI469"/>
  <c r="BH469"/>
  <c r="BG469"/>
  <c r="BF469"/>
  <c r="BE469"/>
  <c r="BD469"/>
  <c r="BC469"/>
  <c r="BB469"/>
  <c r="BA469" s="1"/>
  <c r="AX469"/>
  <c r="AW469"/>
  <c r="AV469"/>
  <c r="AC469"/>
  <c r="H469"/>
  <c r="G469" s="1"/>
  <c r="BT468"/>
  <c r="BS468"/>
  <c r="BR468"/>
  <c r="BQ468"/>
  <c r="BP468"/>
  <c r="BO468"/>
  <c r="BN468"/>
  <c r="BM468"/>
  <c r="BK468"/>
  <c r="BJ468"/>
  <c r="BI468"/>
  <c r="BH468"/>
  <c r="BG468"/>
  <c r="BF468"/>
  <c r="BE468"/>
  <c r="BD468"/>
  <c r="BC468"/>
  <c r="BB468"/>
  <c r="BA468"/>
  <c r="AX468"/>
  <c r="AW468"/>
  <c r="AV468"/>
  <c r="AC468"/>
  <c r="H468"/>
  <c r="BT467"/>
  <c r="BS467"/>
  <c r="BR467"/>
  <c r="BQ467"/>
  <c r="BP467"/>
  <c r="BO467"/>
  <c r="BN467"/>
  <c r="BM467"/>
  <c r="BL467"/>
  <c r="BK467"/>
  <c r="BJ467"/>
  <c r="BI467"/>
  <c r="BH467"/>
  <c r="BG467"/>
  <c r="BF467"/>
  <c r="BE467"/>
  <c r="BD467"/>
  <c r="BC467"/>
  <c r="BB467"/>
  <c r="BA467" s="1"/>
  <c r="AZ467" s="1"/>
  <c r="AX467"/>
  <c r="AW467"/>
  <c r="AV467"/>
  <c r="AC467"/>
  <c r="H467"/>
  <c r="BT466"/>
  <c r="BS466"/>
  <c r="BR466"/>
  <c r="BQ466"/>
  <c r="BP466"/>
  <c r="BO466"/>
  <c r="BN466"/>
  <c r="BM466"/>
  <c r="BL466"/>
  <c r="BK466"/>
  <c r="BJ466"/>
  <c r="BI466"/>
  <c r="BH466"/>
  <c r="BG466"/>
  <c r="BF466"/>
  <c r="BE466"/>
  <c r="BD466"/>
  <c r="BC466"/>
  <c r="BB466"/>
  <c r="BA466" s="1"/>
  <c r="AZ466" s="1"/>
  <c r="AX466"/>
  <c r="AW466"/>
  <c r="AV466"/>
  <c r="AC466"/>
  <c r="H466"/>
  <c r="G466"/>
  <c r="BT465"/>
  <c r="BS465"/>
  <c r="BR465"/>
  <c r="BQ465"/>
  <c r="BP465"/>
  <c r="BO465"/>
  <c r="BN465"/>
  <c r="BM465"/>
  <c r="BL465" s="1"/>
  <c r="BK465"/>
  <c r="BJ465"/>
  <c r="BI465"/>
  <c r="BH465"/>
  <c r="BG465"/>
  <c r="BF465"/>
  <c r="BE465"/>
  <c r="BD465"/>
  <c r="BC465"/>
  <c r="BB465"/>
  <c r="BA465" s="1"/>
  <c r="AX465"/>
  <c r="AW465"/>
  <c r="AV465"/>
  <c r="AC465"/>
  <c r="H465"/>
  <c r="G465" s="1"/>
  <c r="BT464"/>
  <c r="BS464"/>
  <c r="BR464"/>
  <c r="BQ464"/>
  <c r="BP464"/>
  <c r="BO464"/>
  <c r="BN464"/>
  <c r="BM464"/>
  <c r="BL464" s="1"/>
  <c r="BK464"/>
  <c r="BJ464"/>
  <c r="BI464"/>
  <c r="BH464"/>
  <c r="BG464"/>
  <c r="BF464"/>
  <c r="BE464"/>
  <c r="BD464"/>
  <c r="BC464"/>
  <c r="BB464"/>
  <c r="AX464"/>
  <c r="AW464"/>
  <c r="AV464"/>
  <c r="AC464"/>
  <c r="H464"/>
  <c r="G464" s="1"/>
  <c r="BT463"/>
  <c r="BS463"/>
  <c r="BR463"/>
  <c r="BQ463"/>
  <c r="BP463"/>
  <c r="BO463"/>
  <c r="BN463"/>
  <c r="BM463"/>
  <c r="BL463" s="1"/>
  <c r="BK463"/>
  <c r="BJ463"/>
  <c r="BI463"/>
  <c r="BH463"/>
  <c r="BG463"/>
  <c r="BF463"/>
  <c r="BE463"/>
  <c r="BD463"/>
  <c r="BC463"/>
  <c r="BB463"/>
  <c r="AX463"/>
  <c r="AW463"/>
  <c r="AV463"/>
  <c r="AC463"/>
  <c r="H463"/>
  <c r="G463" s="1"/>
  <c r="BT462"/>
  <c r="BS462"/>
  <c r="BR462"/>
  <c r="BQ462"/>
  <c r="BP462"/>
  <c r="BO462"/>
  <c r="BN462"/>
  <c r="BM462"/>
  <c r="BK462"/>
  <c r="BJ462"/>
  <c r="BI462"/>
  <c r="BH462"/>
  <c r="BG462"/>
  <c r="BF462"/>
  <c r="BE462"/>
  <c r="BD462"/>
  <c r="BC462"/>
  <c r="BB462"/>
  <c r="BA462"/>
  <c r="AX462"/>
  <c r="AW462"/>
  <c r="AV462"/>
  <c r="AC462"/>
  <c r="H462"/>
  <c r="G462"/>
  <c r="BT461"/>
  <c r="BS461"/>
  <c r="BR461"/>
  <c r="BQ461"/>
  <c r="BP461"/>
  <c r="BO461"/>
  <c r="BN461"/>
  <c r="BM461"/>
  <c r="BL461" s="1"/>
  <c r="BK461"/>
  <c r="BJ461"/>
  <c r="BI461"/>
  <c r="BH461"/>
  <c r="BG461"/>
  <c r="BF461"/>
  <c r="BE461"/>
  <c r="BD461"/>
  <c r="BC461"/>
  <c r="BB461"/>
  <c r="BA461" s="1"/>
  <c r="AZ461" s="1"/>
  <c r="AX461"/>
  <c r="AW461"/>
  <c r="AV461"/>
  <c r="AC461"/>
  <c r="H461"/>
  <c r="G461" s="1"/>
  <c r="BT460"/>
  <c r="BS460"/>
  <c r="BR460"/>
  <c r="BQ460"/>
  <c r="BP460"/>
  <c r="BO460"/>
  <c r="BN460"/>
  <c r="BM460"/>
  <c r="BL460" s="1"/>
  <c r="BK460"/>
  <c r="BJ460"/>
  <c r="BI460"/>
  <c r="BH460"/>
  <c r="BG460"/>
  <c r="BF460"/>
  <c r="BE460"/>
  <c r="BD460"/>
  <c r="BC460"/>
  <c r="BB460"/>
  <c r="AX460"/>
  <c r="AW460"/>
  <c r="AV460"/>
  <c r="AC460"/>
  <c r="H460"/>
  <c r="G460" s="1"/>
  <c r="BT459"/>
  <c r="BS459"/>
  <c r="BR459"/>
  <c r="BQ459"/>
  <c r="BP459"/>
  <c r="BO459"/>
  <c r="BN459"/>
  <c r="BM459"/>
  <c r="BK459"/>
  <c r="BJ459"/>
  <c r="BI459"/>
  <c r="BH459"/>
  <c r="BG459"/>
  <c r="BF459"/>
  <c r="BE459"/>
  <c r="BD459"/>
  <c r="BC459"/>
  <c r="BB459"/>
  <c r="BA459"/>
  <c r="AX459"/>
  <c r="AW459"/>
  <c r="AV459"/>
  <c r="AC459"/>
  <c r="H459"/>
  <c r="G459"/>
  <c r="BT458"/>
  <c r="BS458"/>
  <c r="BR458"/>
  <c r="BQ458"/>
  <c r="BP458"/>
  <c r="BO458"/>
  <c r="BN458"/>
  <c r="BM458"/>
  <c r="BL458" s="1"/>
  <c r="BK458"/>
  <c r="BJ458"/>
  <c r="BI458"/>
  <c r="BH458"/>
  <c r="BG458"/>
  <c r="BF458"/>
  <c r="BE458"/>
  <c r="BD458"/>
  <c r="BC458"/>
  <c r="BB458"/>
  <c r="BA458" s="1"/>
  <c r="AX458"/>
  <c r="AW458"/>
  <c r="AV458"/>
  <c r="AC458"/>
  <c r="H458"/>
  <c r="G458" s="1"/>
  <c r="BT457"/>
  <c r="BS457"/>
  <c r="BR457"/>
  <c r="BQ457"/>
  <c r="BP457"/>
  <c r="BO457"/>
  <c r="BN457"/>
  <c r="BM457"/>
  <c r="BK457"/>
  <c r="BJ457"/>
  <c r="BI457"/>
  <c r="BH457"/>
  <c r="BG457"/>
  <c r="BF457"/>
  <c r="BE457"/>
  <c r="BD457"/>
  <c r="BC457"/>
  <c r="BB457"/>
  <c r="BA457"/>
  <c r="AX457"/>
  <c r="AW457"/>
  <c r="AV457"/>
  <c r="AC457"/>
  <c r="H457"/>
  <c r="BT456"/>
  <c r="BS456"/>
  <c r="BR456"/>
  <c r="BQ456"/>
  <c r="BP456"/>
  <c r="BO456"/>
  <c r="BN456"/>
  <c r="BM456"/>
  <c r="BL456"/>
  <c r="BK456"/>
  <c r="BJ456"/>
  <c r="BI456"/>
  <c r="BH456"/>
  <c r="BG456"/>
  <c r="BF456"/>
  <c r="BE456"/>
  <c r="BD456"/>
  <c r="BC456"/>
  <c r="BB456"/>
  <c r="BA456" s="1"/>
  <c r="AZ456" s="1"/>
  <c r="AX456"/>
  <c r="AW456"/>
  <c r="AV456"/>
  <c r="AC456"/>
  <c r="H456"/>
  <c r="BT455"/>
  <c r="BS455"/>
  <c r="BR455"/>
  <c r="BQ455"/>
  <c r="BP455"/>
  <c r="BO455"/>
  <c r="BN455"/>
  <c r="BM455"/>
  <c r="BL455"/>
  <c r="BK455"/>
  <c r="BJ455"/>
  <c r="BI455"/>
  <c r="BH455"/>
  <c r="BG455"/>
  <c r="BF455"/>
  <c r="BE455"/>
  <c r="BD455"/>
  <c r="BC455"/>
  <c r="BB455"/>
  <c r="BA455" s="1"/>
  <c r="AZ455" s="1"/>
  <c r="AX455"/>
  <c r="AW455"/>
  <c r="AV455"/>
  <c r="AC455"/>
  <c r="H455"/>
  <c r="G455"/>
  <c r="BT454"/>
  <c r="BS454"/>
  <c r="BR454"/>
  <c r="BQ454"/>
  <c r="BP454"/>
  <c r="BO454"/>
  <c r="BN454"/>
  <c r="BM454"/>
  <c r="BL454" s="1"/>
  <c r="BK454"/>
  <c r="BJ454"/>
  <c r="BI454"/>
  <c r="BH454"/>
  <c r="BG454"/>
  <c r="BF454"/>
  <c r="BE454"/>
  <c r="BD454"/>
  <c r="BC454"/>
  <c r="BB454"/>
  <c r="BA454" s="1"/>
  <c r="AX454"/>
  <c r="AW454"/>
  <c r="AV454"/>
  <c r="AC454"/>
  <c r="H454"/>
  <c r="G454" s="1"/>
  <c r="BT453"/>
  <c r="BS453"/>
  <c r="BR453"/>
  <c r="BQ453"/>
  <c r="BP453"/>
  <c r="BO453"/>
  <c r="BN453"/>
  <c r="BM453"/>
  <c r="BK453"/>
  <c r="BJ453"/>
  <c r="BI453"/>
  <c r="BH453"/>
  <c r="BG453"/>
  <c r="BF453"/>
  <c r="BE453"/>
  <c r="BD453"/>
  <c r="BC453"/>
  <c r="BB453"/>
  <c r="BA453"/>
  <c r="AX453"/>
  <c r="AW453"/>
  <c r="AV453"/>
  <c r="AC453"/>
  <c r="H453"/>
  <c r="BT452"/>
  <c r="BS452"/>
  <c r="BR452"/>
  <c r="BQ452"/>
  <c r="BP452"/>
  <c r="BO452"/>
  <c r="BN452"/>
  <c r="BM452"/>
  <c r="BL452"/>
  <c r="BK452"/>
  <c r="BJ452"/>
  <c r="BI452"/>
  <c r="BH452"/>
  <c r="BG452"/>
  <c r="BF452"/>
  <c r="BE452"/>
  <c r="BD452"/>
  <c r="BC452"/>
  <c r="BB452"/>
  <c r="BA452" s="1"/>
  <c r="AZ452" s="1"/>
  <c r="AX452"/>
  <c r="AW452"/>
  <c r="AV452"/>
  <c r="AC452"/>
  <c r="H452"/>
  <c r="G452"/>
  <c r="BT451"/>
  <c r="BS451"/>
  <c r="BR451"/>
  <c r="BQ451"/>
  <c r="BP451"/>
  <c r="BO451"/>
  <c r="BN451"/>
  <c r="BM451"/>
  <c r="BL451" s="1"/>
  <c r="BK451"/>
  <c r="BJ451"/>
  <c r="BI451"/>
  <c r="BH451"/>
  <c r="BG451"/>
  <c r="BF451"/>
  <c r="BE451"/>
  <c r="BD451"/>
  <c r="BC451"/>
  <c r="BB451"/>
  <c r="BA451" s="1"/>
  <c r="AX451"/>
  <c r="AW451"/>
  <c r="AV451"/>
  <c r="AC451"/>
  <c r="H451"/>
  <c r="G451" s="1"/>
  <c r="BT450"/>
  <c r="BS450"/>
  <c r="BR450"/>
  <c r="BQ450"/>
  <c r="BP450"/>
  <c r="BO450"/>
  <c r="BN450"/>
  <c r="BM450"/>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s="1"/>
  <c r="AZ449" s="1"/>
  <c r="AX449"/>
  <c r="AW449"/>
  <c r="AV449"/>
  <c r="AC449"/>
  <c r="H449"/>
  <c r="G449" s="1"/>
  <c r="BT448"/>
  <c r="BS448"/>
  <c r="BR448"/>
  <c r="BQ448"/>
  <c r="BP448"/>
  <c r="BO448"/>
  <c r="BN448"/>
  <c r="BM448"/>
  <c r="BL448" s="1"/>
  <c r="BK448"/>
  <c r="BJ448"/>
  <c r="BI448"/>
  <c r="BH448"/>
  <c r="BG448"/>
  <c r="BF448"/>
  <c r="BE448"/>
  <c r="BD448"/>
  <c r="BC448"/>
  <c r="BB448"/>
  <c r="AX448"/>
  <c r="AW448"/>
  <c r="AV448"/>
  <c r="AC448"/>
  <c r="H448"/>
  <c r="G448" s="1"/>
  <c r="BT447"/>
  <c r="BS447"/>
  <c r="BR447"/>
  <c r="BQ447"/>
  <c r="BP447"/>
  <c r="BO447"/>
  <c r="BN447"/>
  <c r="BM447"/>
  <c r="BL447" s="1"/>
  <c r="BK447"/>
  <c r="BJ447"/>
  <c r="BI447"/>
  <c r="BH447"/>
  <c r="BG447"/>
  <c r="BF447"/>
  <c r="BE447"/>
  <c r="BD447"/>
  <c r="BC447"/>
  <c r="BB447"/>
  <c r="AX447"/>
  <c r="AW447"/>
  <c r="AV447"/>
  <c r="AC447"/>
  <c r="H447"/>
  <c r="G447" s="1"/>
  <c r="BT446"/>
  <c r="BS446"/>
  <c r="BR446"/>
  <c r="BQ446"/>
  <c r="BP446"/>
  <c r="BO446"/>
  <c r="BN446"/>
  <c r="BM446"/>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s="1"/>
  <c r="AZ445" s="1"/>
  <c r="AX445"/>
  <c r="AW445"/>
  <c r="AV445"/>
  <c r="AC445"/>
  <c r="H445"/>
  <c r="G445" s="1"/>
  <c r="BT444"/>
  <c r="BS444"/>
  <c r="BR444"/>
  <c r="BQ444"/>
  <c r="BP444"/>
  <c r="BO444"/>
  <c r="BN444"/>
  <c r="BM444"/>
  <c r="BL444" s="1"/>
  <c r="BK444"/>
  <c r="BJ444"/>
  <c r="BI444"/>
  <c r="BH444"/>
  <c r="BG444"/>
  <c r="BF444"/>
  <c r="BE444"/>
  <c r="BD444"/>
  <c r="BC444"/>
  <c r="BB444"/>
  <c r="AX444"/>
  <c r="AW444"/>
  <c r="AV444"/>
  <c r="AC444"/>
  <c r="H444"/>
  <c r="G444" s="1"/>
  <c r="BT443"/>
  <c r="BS443"/>
  <c r="BR443"/>
  <c r="BQ443"/>
  <c r="BP443"/>
  <c r="BO443"/>
  <c r="BN443"/>
  <c r="BM443"/>
  <c r="BK443"/>
  <c r="BJ443"/>
  <c r="BI443"/>
  <c r="BH443"/>
  <c r="BG443"/>
  <c r="BF443"/>
  <c r="BE443"/>
  <c r="BD443"/>
  <c r="BC443"/>
  <c r="BB443"/>
  <c r="BA443"/>
  <c r="AX443"/>
  <c r="AW443"/>
  <c r="AV443"/>
  <c r="AC443"/>
  <c r="H443"/>
  <c r="G443"/>
  <c r="BT442"/>
  <c r="BS442"/>
  <c r="BR442"/>
  <c r="BQ442"/>
  <c r="BP442"/>
  <c r="BO442"/>
  <c r="BN442"/>
  <c r="BM442"/>
  <c r="BL442" s="1"/>
  <c r="BK442"/>
  <c r="BJ442"/>
  <c r="BI442"/>
  <c r="BH442"/>
  <c r="BG442"/>
  <c r="BF442"/>
  <c r="BE442"/>
  <c r="BD442"/>
  <c r="BC442"/>
  <c r="BB442"/>
  <c r="BA442" s="1"/>
  <c r="AX442"/>
  <c r="AW442"/>
  <c r="AV442"/>
  <c r="AC442"/>
  <c r="H442"/>
  <c r="G442" s="1"/>
  <c r="BT441"/>
  <c r="BS441"/>
  <c r="BR441"/>
  <c r="BQ441"/>
  <c r="BP441"/>
  <c r="BO441"/>
  <c r="BN441"/>
  <c r="BM441"/>
  <c r="BK441"/>
  <c r="BJ441"/>
  <c r="BI441"/>
  <c r="BH441"/>
  <c r="BG441"/>
  <c r="BF441"/>
  <c r="BE441"/>
  <c r="BD441"/>
  <c r="BC441"/>
  <c r="BB441"/>
  <c r="BA441"/>
  <c r="AX441"/>
  <c r="AW441"/>
  <c r="AV441"/>
  <c r="AC441"/>
  <c r="H441"/>
  <c r="BT440"/>
  <c r="BS440"/>
  <c r="BR440"/>
  <c r="BQ440"/>
  <c r="BP440"/>
  <c r="BO440"/>
  <c r="BN440"/>
  <c r="BM440"/>
  <c r="BL440"/>
  <c r="BK440"/>
  <c r="BJ440"/>
  <c r="BI440"/>
  <c r="BH440"/>
  <c r="BG440"/>
  <c r="BF440"/>
  <c r="BE440"/>
  <c r="BD440"/>
  <c r="BC440"/>
  <c r="BB440"/>
  <c r="BA440" s="1"/>
  <c r="AZ440" s="1"/>
  <c r="AX440"/>
  <c r="AW440"/>
  <c r="AV440"/>
  <c r="AC440"/>
  <c r="H440"/>
  <c r="BT439"/>
  <c r="BS439"/>
  <c r="BR439"/>
  <c r="BQ439"/>
  <c r="BP439"/>
  <c r="BO439"/>
  <c r="BN439"/>
  <c r="BM439"/>
  <c r="BL439"/>
  <c r="BK439"/>
  <c r="BJ439"/>
  <c r="BI439"/>
  <c r="BH439"/>
  <c r="BG439"/>
  <c r="BF439"/>
  <c r="BE439"/>
  <c r="BD439"/>
  <c r="BC439"/>
  <c r="BB439"/>
  <c r="BA439" s="1"/>
  <c r="AZ439" s="1"/>
  <c r="AX439"/>
  <c r="AW439"/>
  <c r="AV439"/>
  <c r="AC439"/>
  <c r="H439"/>
  <c r="G439"/>
  <c r="BT438"/>
  <c r="BS438"/>
  <c r="BR438"/>
  <c r="BQ438"/>
  <c r="BP438"/>
  <c r="BO438"/>
  <c r="BN438"/>
  <c r="BM438"/>
  <c r="BL438" s="1"/>
  <c r="BK438"/>
  <c r="BJ438"/>
  <c r="BI438"/>
  <c r="BH438"/>
  <c r="BG438"/>
  <c r="BF438"/>
  <c r="BE438"/>
  <c r="BD438"/>
  <c r="BC438"/>
  <c r="BB438"/>
  <c r="BA438" s="1"/>
  <c r="AX438"/>
  <c r="AW438"/>
  <c r="AV438"/>
  <c r="AC438"/>
  <c r="H438"/>
  <c r="G438" s="1"/>
  <c r="BT437"/>
  <c r="BS437"/>
  <c r="BR437"/>
  <c r="BQ437"/>
  <c r="BP437"/>
  <c r="BO437"/>
  <c r="BN437"/>
  <c r="BM437"/>
  <c r="BK437"/>
  <c r="BJ437"/>
  <c r="BI437"/>
  <c r="BH437"/>
  <c r="BG437"/>
  <c r="BF437"/>
  <c r="BE437"/>
  <c r="BD437"/>
  <c r="BC437"/>
  <c r="BB437"/>
  <c r="BA437"/>
  <c r="AX437"/>
  <c r="AW437"/>
  <c r="AV437"/>
  <c r="AC437"/>
  <c r="H437"/>
  <c r="BT436"/>
  <c r="BS436"/>
  <c r="BR436"/>
  <c r="BQ436"/>
  <c r="BP436"/>
  <c r="BO436"/>
  <c r="BN436"/>
  <c r="BM436"/>
  <c r="BL436"/>
  <c r="BK436"/>
  <c r="BJ436"/>
  <c r="BI436"/>
  <c r="BH436"/>
  <c r="BG436"/>
  <c r="BF436"/>
  <c r="BE436"/>
  <c r="BD436"/>
  <c r="BC436"/>
  <c r="BB436"/>
  <c r="BA436" s="1"/>
  <c r="AZ436" s="1"/>
  <c r="AX436"/>
  <c r="AW436"/>
  <c r="AV436"/>
  <c r="AC436"/>
  <c r="H436"/>
  <c r="G436"/>
  <c r="BT435"/>
  <c r="BS435"/>
  <c r="BR435"/>
  <c r="BQ435"/>
  <c r="BP435"/>
  <c r="BO435"/>
  <c r="BN435"/>
  <c r="BM435"/>
  <c r="BL435" s="1"/>
  <c r="BK435"/>
  <c r="BJ435"/>
  <c r="BI435"/>
  <c r="BH435"/>
  <c r="BG435"/>
  <c r="BF435"/>
  <c r="BE435"/>
  <c r="BD435"/>
  <c r="BC435"/>
  <c r="BB435"/>
  <c r="BA435" s="1"/>
  <c r="AX435"/>
  <c r="AW435"/>
  <c r="AV435"/>
  <c r="AC435"/>
  <c r="H435"/>
  <c r="G435" s="1"/>
  <c r="BT434"/>
  <c r="BS434"/>
  <c r="BR434"/>
  <c r="BQ434"/>
  <c r="BP434"/>
  <c r="BO434"/>
  <c r="BN434"/>
  <c r="BM434"/>
  <c r="BK434"/>
  <c r="BJ434"/>
  <c r="BI434"/>
  <c r="BH434"/>
  <c r="BG434"/>
  <c r="BF434"/>
  <c r="BE434"/>
  <c r="BD434"/>
  <c r="BC434"/>
  <c r="BB434"/>
  <c r="BA434"/>
  <c r="AX434"/>
  <c r="AW434"/>
  <c r="AV434"/>
  <c r="AC434"/>
  <c r="H434"/>
  <c r="G434"/>
  <c r="BT433"/>
  <c r="BS433"/>
  <c r="BR433"/>
  <c r="BQ433"/>
  <c r="BP433"/>
  <c r="BO433"/>
  <c r="BN433"/>
  <c r="BM433"/>
  <c r="BL433" s="1"/>
  <c r="BK433"/>
  <c r="BJ433"/>
  <c r="BI433"/>
  <c r="BH433"/>
  <c r="BG433"/>
  <c r="BF433"/>
  <c r="BE433"/>
  <c r="BD433"/>
  <c r="BC433"/>
  <c r="BB433"/>
  <c r="BA433" s="1"/>
  <c r="AX433"/>
  <c r="AW433"/>
  <c r="AV433"/>
  <c r="AC433"/>
  <c r="H433"/>
  <c r="G433" s="1"/>
  <c r="BT432"/>
  <c r="BS432"/>
  <c r="BR432"/>
  <c r="BQ432"/>
  <c r="BP432"/>
  <c r="BO432"/>
  <c r="BN432"/>
  <c r="BM432"/>
  <c r="BL432" s="1"/>
  <c r="BK432"/>
  <c r="BJ432"/>
  <c r="BI432"/>
  <c r="BH432"/>
  <c r="BG432"/>
  <c r="BF432"/>
  <c r="BE432"/>
  <c r="BD432"/>
  <c r="BC432"/>
  <c r="BB432"/>
  <c r="AX432"/>
  <c r="AW432"/>
  <c r="AV432"/>
  <c r="AC432"/>
  <c r="H432"/>
  <c r="G432" s="1"/>
  <c r="BT431"/>
  <c r="BS431"/>
  <c r="BR431"/>
  <c r="BQ431"/>
  <c r="BP431"/>
  <c r="BO431"/>
  <c r="BN431"/>
  <c r="BM431"/>
  <c r="BK431"/>
  <c r="BJ431"/>
  <c r="BI431"/>
  <c r="BH431"/>
  <c r="BG431"/>
  <c r="BF431"/>
  <c r="BE431"/>
  <c r="BD431"/>
  <c r="BC431"/>
  <c r="BB431"/>
  <c r="BA431"/>
  <c r="AX431"/>
  <c r="AW431"/>
  <c r="AV431"/>
  <c r="AC431"/>
  <c r="H431"/>
  <c r="BT430"/>
  <c r="BS430"/>
  <c r="BR430"/>
  <c r="BQ430"/>
  <c r="BP430"/>
  <c r="BO430"/>
  <c r="BN430"/>
  <c r="BM430"/>
  <c r="BL430"/>
  <c r="BK430"/>
  <c r="BJ430"/>
  <c r="BI430"/>
  <c r="BH430"/>
  <c r="BG430"/>
  <c r="BF430"/>
  <c r="BE430"/>
  <c r="BD430"/>
  <c r="BC430"/>
  <c r="BB430"/>
  <c r="BA430" s="1"/>
  <c r="AZ430" s="1"/>
  <c r="AX430"/>
  <c r="AW430"/>
  <c r="AV430"/>
  <c r="AC430"/>
  <c r="H430"/>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s="1"/>
  <c r="AX428"/>
  <c r="AW428"/>
  <c r="AV428"/>
  <c r="AC428"/>
  <c r="H428"/>
  <c r="G428" s="1"/>
  <c r="BT427"/>
  <c r="BS427"/>
  <c r="BR427"/>
  <c r="BQ427"/>
  <c r="BP427"/>
  <c r="BO427"/>
  <c r="BN427"/>
  <c r="BM427"/>
  <c r="BL427" s="1"/>
  <c r="BK427"/>
  <c r="BJ427"/>
  <c r="BI427"/>
  <c r="BH427"/>
  <c r="BG427"/>
  <c r="BF427"/>
  <c r="BE427"/>
  <c r="BD427"/>
  <c r="BC427"/>
  <c r="BB427"/>
  <c r="AX427"/>
  <c r="AW427"/>
  <c r="AV427"/>
  <c r="AC427"/>
  <c r="H427"/>
  <c r="G427" s="1"/>
  <c r="BT426"/>
  <c r="BS426"/>
  <c r="BR426"/>
  <c r="BQ426"/>
  <c r="BP426"/>
  <c r="BO426"/>
  <c r="BN426"/>
  <c r="BM426"/>
  <c r="BL426" s="1"/>
  <c r="BK426"/>
  <c r="BJ426"/>
  <c r="BI426"/>
  <c r="BH426"/>
  <c r="BG426"/>
  <c r="BF426"/>
  <c r="BE426"/>
  <c r="BD426"/>
  <c r="BC426"/>
  <c r="BB426"/>
  <c r="AX426"/>
  <c r="AW426"/>
  <c r="AV426"/>
  <c r="AC426"/>
  <c r="H426"/>
  <c r="G426" s="1"/>
  <c r="BT425"/>
  <c r="BS425"/>
  <c r="BR425"/>
  <c r="BQ425"/>
  <c r="BP425"/>
  <c r="BO425"/>
  <c r="BN425"/>
  <c r="BM425"/>
  <c r="BK425"/>
  <c r="BJ425"/>
  <c r="BI425"/>
  <c r="BH425"/>
  <c r="BG425"/>
  <c r="BF425"/>
  <c r="BE425"/>
  <c r="BD425"/>
  <c r="BC425"/>
  <c r="BB425"/>
  <c r="BA425"/>
  <c r="AX425"/>
  <c r="AW425"/>
  <c r="AV425"/>
  <c r="AC425"/>
  <c r="H425"/>
  <c r="BT424"/>
  <c r="BS424"/>
  <c r="BR424"/>
  <c r="BQ424"/>
  <c r="BP424"/>
  <c r="BO424"/>
  <c r="BN424"/>
  <c r="BM424"/>
  <c r="BL424"/>
  <c r="BK424"/>
  <c r="BJ424"/>
  <c r="BI424"/>
  <c r="BH424"/>
  <c r="BG424"/>
  <c r="BF424"/>
  <c r="BE424"/>
  <c r="BD424"/>
  <c r="BC424"/>
  <c r="BB424"/>
  <c r="BA424" s="1"/>
  <c r="AZ424" s="1"/>
  <c r="AX424"/>
  <c r="AW424"/>
  <c r="AV424"/>
  <c r="AC424"/>
  <c r="H424"/>
  <c r="BT423"/>
  <c r="BS423"/>
  <c r="BR423"/>
  <c r="BQ423"/>
  <c r="BP423"/>
  <c r="BO423"/>
  <c r="BN423"/>
  <c r="BM423"/>
  <c r="BL423"/>
  <c r="BK423"/>
  <c r="BJ423"/>
  <c r="BI423"/>
  <c r="BH423"/>
  <c r="BG423"/>
  <c r="BF423"/>
  <c r="BE423"/>
  <c r="BD423"/>
  <c r="BC423"/>
  <c r="BB423"/>
  <c r="BA423" s="1"/>
  <c r="AZ423" s="1"/>
  <c r="AX423"/>
  <c r="AW423"/>
  <c r="AV423"/>
  <c r="AC423"/>
  <c r="H423"/>
  <c r="G423"/>
  <c r="BT422"/>
  <c r="BS422"/>
  <c r="BR422"/>
  <c r="BQ422"/>
  <c r="BP422"/>
  <c r="BO422"/>
  <c r="BN422"/>
  <c r="BM422"/>
  <c r="BL422" s="1"/>
  <c r="BK422"/>
  <c r="BJ422"/>
  <c r="BI422"/>
  <c r="BH422"/>
  <c r="BG422"/>
  <c r="BF422"/>
  <c r="BE422"/>
  <c r="BD422"/>
  <c r="BC422"/>
  <c r="BB422"/>
  <c r="BA422" s="1"/>
  <c r="AX422"/>
  <c r="AW422"/>
  <c r="AV422"/>
  <c r="AC422"/>
  <c r="H422"/>
  <c r="G422" s="1"/>
  <c r="BT421"/>
  <c r="BS421"/>
  <c r="BR421"/>
  <c r="BQ421"/>
  <c r="BP421"/>
  <c r="BO421"/>
  <c r="BN421"/>
  <c r="BM421"/>
  <c r="BK421"/>
  <c r="BJ421"/>
  <c r="BI421"/>
  <c r="BH421"/>
  <c r="BG421"/>
  <c r="BF421"/>
  <c r="BE421"/>
  <c r="BD421"/>
  <c r="BC421"/>
  <c r="BB421"/>
  <c r="BA421"/>
  <c r="AX421"/>
  <c r="AW421"/>
  <c r="AV421"/>
  <c r="AC421"/>
  <c r="H42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BK419"/>
  <c r="BJ419"/>
  <c r="BI419"/>
  <c r="BH419"/>
  <c r="BG419"/>
  <c r="BF419"/>
  <c r="BE419"/>
  <c r="BD419"/>
  <c r="BC419"/>
  <c r="BB419"/>
  <c r="BA419" s="1"/>
  <c r="AX419"/>
  <c r="AW419"/>
  <c r="AV419"/>
  <c r="AC419"/>
  <c r="H419"/>
  <c r="G419" s="1"/>
  <c r="BT418"/>
  <c r="BS418"/>
  <c r="BR418"/>
  <c r="BQ418"/>
  <c r="BP418"/>
  <c r="BO418"/>
  <c r="BN418"/>
  <c r="BM418"/>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s="1"/>
  <c r="AX417"/>
  <c r="AW417"/>
  <c r="AV417"/>
  <c r="AC417"/>
  <c r="H417"/>
  <c r="G417" s="1"/>
  <c r="BT416"/>
  <c r="BS416"/>
  <c r="BR416"/>
  <c r="BQ416"/>
  <c r="BP416"/>
  <c r="BO416"/>
  <c r="BN416"/>
  <c r="BM416"/>
  <c r="BL416" s="1"/>
  <c r="BK416"/>
  <c r="BJ416"/>
  <c r="BI416"/>
  <c r="BH416"/>
  <c r="BG416"/>
  <c r="BF416"/>
  <c r="BE416"/>
  <c r="BD416"/>
  <c r="BC416"/>
  <c r="BB416"/>
  <c r="AX416"/>
  <c r="AW416"/>
  <c r="AV416"/>
  <c r="AC416"/>
  <c r="H416"/>
  <c r="G416" s="1"/>
  <c r="BT415"/>
  <c r="BS415"/>
  <c r="BR415"/>
  <c r="BQ415"/>
  <c r="BP415"/>
  <c r="BO415"/>
  <c r="BN415"/>
  <c r="BM415"/>
  <c r="BK415"/>
  <c r="BJ415"/>
  <c r="BI415"/>
  <c r="BH415"/>
  <c r="BG415"/>
  <c r="BF415"/>
  <c r="BE415"/>
  <c r="BD415"/>
  <c r="BC415"/>
  <c r="BB415"/>
  <c r="BA415"/>
  <c r="AX415"/>
  <c r="AW415"/>
  <c r="AV415"/>
  <c r="AC415"/>
  <c r="H415"/>
  <c r="BT414"/>
  <c r="BS414"/>
  <c r="BR414"/>
  <c r="BQ414"/>
  <c r="BP414"/>
  <c r="BO414"/>
  <c r="BN414"/>
  <c r="BM414"/>
  <c r="BL414"/>
  <c r="BK414"/>
  <c r="BJ414"/>
  <c r="BI414"/>
  <c r="BH414"/>
  <c r="BG414"/>
  <c r="BF414"/>
  <c r="BE414"/>
  <c r="BD414"/>
  <c r="BC414"/>
  <c r="BB414"/>
  <c r="BA414" s="1"/>
  <c r="AZ414" s="1"/>
  <c r="AX414"/>
  <c r="AW414"/>
  <c r="AV414"/>
  <c r="AC414"/>
  <c r="H414"/>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s="1"/>
  <c r="AX412"/>
  <c r="AW412"/>
  <c r="AV412"/>
  <c r="AC412"/>
  <c r="H412"/>
  <c r="G412" s="1"/>
  <c r="BT411"/>
  <c r="BS411"/>
  <c r="BR411"/>
  <c r="BQ411"/>
  <c r="BP411"/>
  <c r="BO411"/>
  <c r="BN411"/>
  <c r="BM411"/>
  <c r="BL411" s="1"/>
  <c r="BK411"/>
  <c r="BJ411"/>
  <c r="BI411"/>
  <c r="BH411"/>
  <c r="BG411"/>
  <c r="BF411"/>
  <c r="BE411"/>
  <c r="BD411"/>
  <c r="BC411"/>
  <c r="BB411"/>
  <c r="AX411"/>
  <c r="AW411"/>
  <c r="AV411"/>
  <c r="AC411"/>
  <c r="H411"/>
  <c r="G411" s="1"/>
  <c r="BT410"/>
  <c r="BS410"/>
  <c r="BR410"/>
  <c r="BQ410"/>
  <c r="BP410"/>
  <c r="BO410"/>
  <c r="BN410"/>
  <c r="BM410"/>
  <c r="BL410" s="1"/>
  <c r="BK410"/>
  <c r="BJ410"/>
  <c r="BI410"/>
  <c r="BH410"/>
  <c r="BG410"/>
  <c r="BF410"/>
  <c r="BE410"/>
  <c r="BD410"/>
  <c r="BC410"/>
  <c r="BB410"/>
  <c r="AX410"/>
  <c r="AW410"/>
  <c r="AV410"/>
  <c r="AC410"/>
  <c r="H410"/>
  <c r="G410" s="1"/>
  <c r="BT409"/>
  <c r="BS409"/>
  <c r="BR409"/>
  <c r="BQ409"/>
  <c r="BP409"/>
  <c r="BO409"/>
  <c r="BN409"/>
  <c r="BM409"/>
  <c r="BL409" s="1"/>
  <c r="BK409"/>
  <c r="BJ409"/>
  <c r="BI409"/>
  <c r="BH409"/>
  <c r="BG409"/>
  <c r="BF409"/>
  <c r="BE409"/>
  <c r="BD409"/>
  <c r="BC409"/>
  <c r="BB409"/>
  <c r="AX409"/>
  <c r="AW409"/>
  <c r="AV409"/>
  <c r="AC409"/>
  <c r="H409"/>
  <c r="G409" s="1"/>
  <c r="BT408"/>
  <c r="BS408"/>
  <c r="BR408"/>
  <c r="BQ408"/>
  <c r="BP408"/>
  <c r="BO408"/>
  <c r="BN408"/>
  <c r="BM408"/>
  <c r="BK408"/>
  <c r="BJ408"/>
  <c r="BI408"/>
  <c r="BH408"/>
  <c r="BG408"/>
  <c r="BF408"/>
  <c r="BE408"/>
  <c r="BD408"/>
  <c r="BC408"/>
  <c r="BB408"/>
  <c r="BA408"/>
  <c r="AX408"/>
  <c r="AW408"/>
  <c r="AV408"/>
  <c r="AC408"/>
  <c r="H408"/>
  <c r="BT407"/>
  <c r="BS407"/>
  <c r="BR407"/>
  <c r="BQ407"/>
  <c r="BP407"/>
  <c r="BO407"/>
  <c r="BN407"/>
  <c r="BM407"/>
  <c r="BL407"/>
  <c r="BK407"/>
  <c r="BJ407"/>
  <c r="BI407"/>
  <c r="BH407"/>
  <c r="BG407"/>
  <c r="BF407"/>
  <c r="BE407"/>
  <c r="BD407"/>
  <c r="BC407"/>
  <c r="BB407"/>
  <c r="BA407" s="1"/>
  <c r="AZ407" s="1"/>
  <c r="AX407"/>
  <c r="AW407"/>
  <c r="AV407"/>
  <c r="AC407"/>
  <c r="H407"/>
  <c r="G407"/>
  <c r="BT406"/>
  <c r="BS406"/>
  <c r="BR406"/>
  <c r="BQ406"/>
  <c r="BP406"/>
  <c r="BO406"/>
  <c r="BN406"/>
  <c r="BM406"/>
  <c r="BL406" s="1"/>
  <c r="BK406"/>
  <c r="BJ406"/>
  <c r="BI406"/>
  <c r="BH406"/>
  <c r="BG406"/>
  <c r="BF406"/>
  <c r="BE406"/>
  <c r="BD406"/>
  <c r="BC406"/>
  <c r="BB406"/>
  <c r="BA406" s="1"/>
  <c r="AX406"/>
  <c r="AW406"/>
  <c r="AV406"/>
  <c r="AC406"/>
  <c r="H406"/>
  <c r="G406" s="1"/>
  <c r="BT405"/>
  <c r="BS405"/>
  <c r="BR405"/>
  <c r="BQ405"/>
  <c r="BP405"/>
  <c r="BO405"/>
  <c r="BN405"/>
  <c r="BM405"/>
  <c r="BK405"/>
  <c r="BJ405"/>
  <c r="BI405"/>
  <c r="BH405"/>
  <c r="BG405"/>
  <c r="BF405"/>
  <c r="BE405"/>
  <c r="BD405"/>
  <c r="BC405"/>
  <c r="BB405"/>
  <c r="BA405"/>
  <c r="AX405"/>
  <c r="AW405"/>
  <c r="AV405"/>
  <c r="AC405"/>
  <c r="H405"/>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BK403"/>
  <c r="BJ403"/>
  <c r="BI403"/>
  <c r="BH403"/>
  <c r="BG403"/>
  <c r="BF403"/>
  <c r="BE403"/>
  <c r="BD403"/>
  <c r="BC403"/>
  <c r="BB403"/>
  <c r="BA403" s="1"/>
  <c r="AX403"/>
  <c r="AW403"/>
  <c r="AV403"/>
  <c r="AC403"/>
  <c r="H403"/>
  <c r="G403" s="1"/>
  <c r="BT402"/>
  <c r="BS402"/>
  <c r="BR402"/>
  <c r="BQ402"/>
  <c r="BP402"/>
  <c r="BO402"/>
  <c r="BN402"/>
  <c r="BM402"/>
  <c r="BK402"/>
  <c r="BJ402"/>
  <c r="BI402"/>
  <c r="BH402"/>
  <c r="BG402"/>
  <c r="BF402"/>
  <c r="BE402"/>
  <c r="BD402"/>
  <c r="BC402"/>
  <c r="BB402"/>
  <c r="BA402"/>
  <c r="AX402"/>
  <c r="AW402"/>
  <c r="AV402"/>
  <c r="AC402"/>
  <c r="H402"/>
  <c r="G402"/>
  <c r="BT401"/>
  <c r="BS401"/>
  <c r="BR401"/>
  <c r="BQ401"/>
  <c r="BP401"/>
  <c r="BO401"/>
  <c r="BN401"/>
  <c r="BM401"/>
  <c r="BL401" s="1"/>
  <c r="BK401"/>
  <c r="BJ401"/>
  <c r="BI401"/>
  <c r="BH401"/>
  <c r="BG401"/>
  <c r="BF401"/>
  <c r="BE401"/>
  <c r="BD401"/>
  <c r="BC401"/>
  <c r="BB401"/>
  <c r="BA401" s="1"/>
  <c r="AX401"/>
  <c r="AW401"/>
  <c r="AV401"/>
  <c r="AC401"/>
  <c r="H401"/>
  <c r="G401" s="1"/>
  <c r="BT400"/>
  <c r="BS400"/>
  <c r="BR400"/>
  <c r="BQ400"/>
  <c r="BP400"/>
  <c r="BO400"/>
  <c r="BN400"/>
  <c r="BM400"/>
  <c r="BL400" s="1"/>
  <c r="BK400"/>
  <c r="BJ400"/>
  <c r="BI400"/>
  <c r="BH400"/>
  <c r="BG400"/>
  <c r="BF400"/>
  <c r="BE400"/>
  <c r="BD400"/>
  <c r="BC400"/>
  <c r="BB400"/>
  <c r="AX400"/>
  <c r="AW400"/>
  <c r="AV400"/>
  <c r="AC400"/>
  <c r="H400"/>
  <c r="G400" s="1"/>
  <c r="BT399"/>
  <c r="BS399"/>
  <c r="BR399"/>
  <c r="BQ399"/>
  <c r="BP399"/>
  <c r="BO399"/>
  <c r="BN399"/>
  <c r="BM399"/>
  <c r="BK399"/>
  <c r="BJ399"/>
  <c r="BI399"/>
  <c r="BH399"/>
  <c r="BG399"/>
  <c r="BF399"/>
  <c r="BE399"/>
  <c r="BD399"/>
  <c r="BC399"/>
  <c r="BB399"/>
  <c r="BA399"/>
  <c r="AX399"/>
  <c r="AW399"/>
  <c r="AV399"/>
  <c r="AC399"/>
  <c r="H399"/>
  <c r="BT398"/>
  <c r="BS398"/>
  <c r="BR398"/>
  <c r="BQ398"/>
  <c r="BP398"/>
  <c r="BO398"/>
  <c r="BN398"/>
  <c r="BM398"/>
  <c r="BL398"/>
  <c r="BK398"/>
  <c r="BJ398"/>
  <c r="BI398"/>
  <c r="BH398"/>
  <c r="BG398"/>
  <c r="BF398"/>
  <c r="BE398"/>
  <c r="BD398"/>
  <c r="BC398"/>
  <c r="BB398"/>
  <c r="BA398" s="1"/>
  <c r="AZ398" s="1"/>
  <c r="AX398"/>
  <c r="AW398"/>
  <c r="AV398"/>
  <c r="AC398"/>
  <c r="H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37" i="48"/>
  <c r="B2" i="72" s="1"/>
  <c r="B13" i="53"/>
  <c r="B29" i="72" s="1"/>
  <c r="R35" i="4"/>
  <c r="Q35"/>
  <c r="P35"/>
  <c r="O35"/>
  <c r="N35"/>
  <c r="M35"/>
  <c r="L35"/>
  <c r="K34"/>
  <c r="T34" s="1"/>
  <c r="G13" i="1"/>
  <c r="G11"/>
  <c r="I15" i="4"/>
  <c r="H15"/>
  <c r="G15"/>
  <c r="E15"/>
  <c r="D15"/>
  <c r="F7" i="1" s="1"/>
  <c r="G7" s="1"/>
  <c r="L21" i="4"/>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M10" i="1"/>
  <c r="O10" s="1"/>
  <c r="B22"/>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E20"/>
  <c r="E21"/>
  <c r="K8" i="1" s="1"/>
  <c r="M8" s="1"/>
  <c r="F23" i="15"/>
  <c r="D24" s="1"/>
  <c r="O8" i="1"/>
  <c r="P8" s="1"/>
  <c r="M13"/>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G14" s="1"/>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s="1"/>
  <c r="K55"/>
  <c r="F59"/>
  <c r="N54"/>
  <c r="N53"/>
  <c r="E48"/>
  <c r="N52" s="1"/>
  <c r="O55"/>
  <c r="F56"/>
  <c r="O54" s="1"/>
  <c r="D101"/>
  <c r="C101"/>
  <c r="H104"/>
  <c r="D10" i="53" s="1"/>
  <c r="B26" i="72" s="1"/>
  <c r="C30" i="40"/>
  <c r="C28"/>
  <c r="C23" i="39"/>
  <c r="C19" i="40"/>
  <c r="D27" i="9"/>
  <c r="C25"/>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G550"/>
  <c r="BH550"/>
  <c r="BI550"/>
  <c r="BJ550"/>
  <c r="BK550"/>
  <c r="BM550"/>
  <c r="BN550"/>
  <c r="BO550"/>
  <c r="BP550"/>
  <c r="BQ550"/>
  <c r="BR550"/>
  <c r="BS550"/>
  <c r="BT550"/>
  <c r="H551"/>
  <c r="AC551"/>
  <c r="BB551"/>
  <c r="BC551"/>
  <c r="BD551"/>
  <c r="BE551"/>
  <c r="BF551"/>
  <c r="BG551"/>
  <c r="BH551"/>
  <c r="BI551"/>
  <c r="BJ551"/>
  <c r="BK551"/>
  <c r="BM551"/>
  <c r="BN551"/>
  <c r="BO551"/>
  <c r="BP551"/>
  <c r="BR551"/>
  <c r="BS551"/>
  <c r="BT551"/>
  <c r="H552"/>
  <c r="AC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s="1"/>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s="1"/>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s="1"/>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s="1"/>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F31"/>
  <c r="D87"/>
  <c r="E87" s="1"/>
  <c r="F87" s="1"/>
  <c r="G87" s="1"/>
  <c r="H87" s="1"/>
  <c r="I87" s="1"/>
  <c r="J87" s="1"/>
  <c r="K87" s="1"/>
  <c r="L87" s="1"/>
  <c r="M87" s="1"/>
  <c r="H34" i="37"/>
  <c r="D101"/>
  <c r="F34"/>
  <c r="D99"/>
  <c r="E99"/>
  <c r="F99" s="1"/>
  <c r="G99" s="1"/>
  <c r="H99" s="1"/>
  <c r="I99" s="1"/>
  <c r="J99" s="1"/>
  <c r="K99" s="1"/>
  <c r="L99" s="1"/>
  <c r="M99" s="1"/>
  <c r="H42" i="34"/>
  <c r="J42"/>
  <c r="W42" s="1"/>
  <c r="F42"/>
  <c r="J38"/>
  <c r="W38" s="1"/>
  <c r="D114"/>
  <c r="F38"/>
  <c r="S38" s="1"/>
  <c r="D112"/>
  <c r="E112" s="1"/>
  <c r="F112" s="1"/>
  <c r="G112" s="1"/>
  <c r="H112" s="1"/>
  <c r="I112" s="1"/>
  <c r="J112" s="1"/>
  <c r="K112" s="1"/>
  <c r="L112" s="1"/>
  <c r="M112" s="1"/>
  <c r="F40" i="33"/>
  <c r="J41"/>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B118"/>
  <c r="J39" s="1"/>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s="1"/>
  <c r="F88" s="1"/>
  <c r="G88" s="1"/>
  <c r="D86"/>
  <c r="E86" s="1"/>
  <c r="F86" s="1"/>
  <c r="G86" s="1"/>
  <c r="D84"/>
  <c r="E84" s="1"/>
  <c r="F84" s="1"/>
  <c r="G84" s="1"/>
  <c r="B81"/>
  <c r="B79"/>
  <c r="B77"/>
  <c r="J12" s="1"/>
  <c r="M74"/>
  <c r="L74"/>
  <c r="K74"/>
  <c r="J74"/>
  <c r="I74"/>
  <c r="H74"/>
  <c r="G74"/>
  <c r="F74"/>
  <c r="E74"/>
  <c r="D74"/>
  <c r="C74"/>
  <c r="P43"/>
  <c r="P42"/>
  <c r="V41"/>
  <c r="T41"/>
  <c r="R41"/>
  <c r="P41"/>
  <c r="Q40"/>
  <c r="Z40" s="1"/>
  <c r="J40"/>
  <c r="W40" s="1"/>
  <c r="H40"/>
  <c r="AB40" s="1"/>
  <c r="F40"/>
  <c r="AA40" s="1"/>
  <c r="Q39"/>
  <c r="Z39"/>
  <c r="Q38"/>
  <c r="Z38" s="1"/>
  <c r="J38"/>
  <c r="AC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D105"/>
  <c r="E105" s="1"/>
  <c r="F105" s="1"/>
  <c r="G105" s="1"/>
  <c r="H105" s="1"/>
  <c r="I105" s="1"/>
  <c r="J105" s="1"/>
  <c r="K105" s="1"/>
  <c r="L105" s="1"/>
  <c r="M105" s="1"/>
  <c r="D101"/>
  <c r="D99"/>
  <c r="E99" s="1"/>
  <c r="F99" s="1"/>
  <c r="G99" s="1"/>
  <c r="Q39"/>
  <c r="Z39" s="1"/>
  <c r="Q40"/>
  <c r="Z40" s="1"/>
  <c r="Q41"/>
  <c r="Z41" s="1"/>
  <c r="Q42"/>
  <c r="Z42" s="1"/>
  <c r="Q43"/>
  <c r="Z43" s="1"/>
  <c r="Q44"/>
  <c r="Z44"/>
  <c r="Q45"/>
  <c r="Z45"/>
  <c r="Q38"/>
  <c r="Z38"/>
  <c r="Q36"/>
  <c r="Z36" s="1"/>
  <c r="Q37"/>
  <c r="Z37" s="1"/>
  <c r="B131"/>
  <c r="H45"/>
  <c r="B129"/>
  <c r="H44"/>
  <c r="B127"/>
  <c r="J43"/>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F89" s="1"/>
  <c r="G89" s="1"/>
  <c r="B86"/>
  <c r="J14" s="1"/>
  <c r="B84"/>
  <c r="B82"/>
  <c r="J12" s="1"/>
  <c r="M79"/>
  <c r="L79"/>
  <c r="K79"/>
  <c r="J79"/>
  <c r="I79"/>
  <c r="H79"/>
  <c r="G79"/>
  <c r="F79"/>
  <c r="E79"/>
  <c r="D79"/>
  <c r="C79"/>
  <c r="P48"/>
  <c r="P47"/>
  <c r="V46"/>
  <c r="T46"/>
  <c r="R46"/>
  <c r="P46"/>
  <c r="F44"/>
  <c r="AA44" s="1"/>
  <c r="J40"/>
  <c r="AC40" s="1"/>
  <c r="Q35"/>
  <c r="Z35" s="1"/>
  <c r="Q34"/>
  <c r="Z34" s="1"/>
  <c r="Q32"/>
  <c r="Z32" s="1"/>
  <c r="Q31"/>
  <c r="Z31" s="1"/>
  <c r="Q27"/>
  <c r="Z27" s="1"/>
  <c r="Q25"/>
  <c r="Z25" s="1"/>
  <c r="Q23"/>
  <c r="Z23" s="1"/>
  <c r="Q21"/>
  <c r="Z2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s="1"/>
  <c r="Q33"/>
  <c r="Z33" s="1"/>
  <c r="Q32"/>
  <c r="Z32" s="1"/>
  <c r="Q31"/>
  <c r="Z31" s="1"/>
  <c r="J31"/>
  <c r="AC31" s="1"/>
  <c r="Q30"/>
  <c r="Z30" s="1"/>
  <c r="J30"/>
  <c r="AC30" s="1"/>
  <c r="H30"/>
  <c r="AB30" s="1"/>
  <c r="F30"/>
  <c r="AA30" s="1"/>
  <c r="Q29"/>
  <c r="Z29"/>
  <c r="H29"/>
  <c r="AB29" s="1"/>
  <c r="Q28"/>
  <c r="Z28" s="1"/>
  <c r="Q27"/>
  <c r="Z27" s="1"/>
  <c r="Q26"/>
  <c r="Z26" s="1"/>
  <c r="J26"/>
  <c r="AC26" s="1"/>
  <c r="H26"/>
  <c r="AB26" s="1"/>
  <c r="F26"/>
  <c r="AA26" s="1"/>
  <c r="Q25"/>
  <c r="Z25" s="1"/>
  <c r="J25"/>
  <c r="AC25" s="1"/>
  <c r="F25"/>
  <c r="AA25" s="1"/>
  <c r="Q23"/>
  <c r="Z23" s="1"/>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s="1"/>
  <c r="AC24" s="1"/>
  <c r="B71"/>
  <c r="H23" s="1"/>
  <c r="AB23" s="1"/>
  <c r="D70"/>
  <c r="H22"/>
  <c r="AB22" s="1"/>
  <c r="D68"/>
  <c r="E68" s="1"/>
  <c r="F68" s="1"/>
  <c r="G68" s="1"/>
  <c r="D64"/>
  <c r="E64" s="1"/>
  <c r="F64" s="1"/>
  <c r="G64" s="1"/>
  <c r="J16"/>
  <c r="W16" s="1"/>
  <c r="D62"/>
  <c r="E62" s="1"/>
  <c r="F62" s="1"/>
  <c r="G62" s="1"/>
  <c r="B59"/>
  <c r="B57"/>
  <c r="J12" s="1"/>
  <c r="B55"/>
  <c r="F54"/>
  <c r="G54" s="1"/>
  <c r="H54" s="1"/>
  <c r="I54" s="1"/>
  <c r="C51"/>
  <c r="H9" s="1"/>
  <c r="P37"/>
  <c r="P36"/>
  <c r="V35"/>
  <c r="T35"/>
  <c r="R35"/>
  <c r="P35"/>
  <c r="Q34"/>
  <c r="Z34" s="1"/>
  <c r="Q33"/>
  <c r="Z33" s="1"/>
  <c r="Q32"/>
  <c r="Z32" s="1"/>
  <c r="Q31"/>
  <c r="Z31" s="1"/>
  <c r="Q30"/>
  <c r="Z30" s="1"/>
  <c r="AC30"/>
  <c r="Q29"/>
  <c r="Z29" s="1"/>
  <c r="Q28"/>
  <c r="Z28" s="1"/>
  <c r="J28"/>
  <c r="AC28" s="1"/>
  <c r="Q27"/>
  <c r="Z27" s="1"/>
  <c r="Q26"/>
  <c r="Z26" s="1"/>
  <c r="H26"/>
  <c r="AB26" s="1"/>
  <c r="Q25"/>
  <c r="Z25" s="1"/>
  <c r="Q24"/>
  <c r="Z24" s="1"/>
  <c r="Q23"/>
  <c r="Z23" s="1"/>
  <c r="J23"/>
  <c r="AC23" s="1"/>
  <c r="F23"/>
  <c r="AA23" s="1"/>
  <c r="Q22"/>
  <c r="Z22" s="1"/>
  <c r="J22"/>
  <c r="AC22" s="1"/>
  <c r="Q20"/>
  <c r="Z20"/>
  <c r="Q16"/>
  <c r="Z16" s="1"/>
  <c r="Q14"/>
  <c r="Z14" s="1"/>
  <c r="Q13"/>
  <c r="Z13" s="1"/>
  <c r="Q12"/>
  <c r="Z12" s="1"/>
  <c r="Q11"/>
  <c r="Z11" s="1"/>
  <c r="Q10"/>
  <c r="Z10" s="1"/>
  <c r="F10"/>
  <c r="AA10" s="1"/>
  <c r="Q9"/>
  <c r="Z9" s="1"/>
  <c r="J9"/>
  <c r="AC9" s="1"/>
  <c r="F9"/>
  <c r="AA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H34" s="1"/>
  <c r="B77"/>
  <c r="B75"/>
  <c r="J24" s="1"/>
  <c r="AC24" s="1"/>
  <c r="B73"/>
  <c r="H23" s="1"/>
  <c r="U23" s="1"/>
  <c r="B57"/>
  <c r="B61"/>
  <c r="B59"/>
  <c r="H12" s="1"/>
  <c r="B131" i="34"/>
  <c r="B129"/>
  <c r="B127"/>
  <c r="B99"/>
  <c r="B97"/>
  <c r="B95"/>
  <c r="B93"/>
  <c r="B75"/>
  <c r="B73"/>
  <c r="B71"/>
  <c r="J12" s="1"/>
  <c r="B130" i="33"/>
  <c r="B128"/>
  <c r="B126"/>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J14"/>
  <c r="W14" s="1"/>
  <c r="F56"/>
  <c r="G56" s="1"/>
  <c r="H56" s="1"/>
  <c r="I56" s="1"/>
  <c r="C53"/>
  <c r="J9" s="1"/>
  <c r="P39"/>
  <c r="P38"/>
  <c r="V37"/>
  <c r="T37"/>
  <c r="R37"/>
  <c r="P37"/>
  <c r="Q36"/>
  <c r="Z36" s="1"/>
  <c r="Q35"/>
  <c r="Z35" s="1"/>
  <c r="Q34"/>
  <c r="Z34" s="1"/>
  <c r="J34"/>
  <c r="AC34" s="1"/>
  <c r="F34"/>
  <c r="AA34" s="1"/>
  <c r="Q33"/>
  <c r="Z33" s="1"/>
  <c r="Q32"/>
  <c r="Z32" s="1"/>
  <c r="H32"/>
  <c r="AB32" s="1"/>
  <c r="F32"/>
  <c r="AA32" s="1"/>
  <c r="Q31"/>
  <c r="Z31" s="1"/>
  <c r="AC31"/>
  <c r="AB31"/>
  <c r="AA31"/>
  <c r="Q30"/>
  <c r="Z30" s="1"/>
  <c r="Q29"/>
  <c r="Z29" s="1"/>
  <c r="Q28"/>
  <c r="Z28" s="1"/>
  <c r="J28"/>
  <c r="AC28" s="1"/>
  <c r="H28"/>
  <c r="AB28" s="1"/>
  <c r="F28"/>
  <c r="AA28" s="1"/>
  <c r="Q27"/>
  <c r="Z27" s="1"/>
  <c r="Q26"/>
  <c r="Z26" s="1"/>
  <c r="Q25"/>
  <c r="Z25" s="1"/>
  <c r="Q24"/>
  <c r="Z24" s="1"/>
  <c r="Q23"/>
  <c r="Z23"/>
  <c r="Q22"/>
  <c r="Z22" s="1"/>
  <c r="Q20"/>
  <c r="Z20" s="1"/>
  <c r="Q16"/>
  <c r="Z16" s="1"/>
  <c r="Q14"/>
  <c r="Z14" s="1"/>
  <c r="Q13"/>
  <c r="Z13" s="1"/>
  <c r="Q12"/>
  <c r="Z12" s="1"/>
  <c r="J12"/>
  <c r="W12" s="1"/>
  <c r="F12"/>
  <c r="S12" s="1"/>
  <c r="Q11"/>
  <c r="Z11" s="1"/>
  <c r="Q10"/>
  <c r="Z10" s="1"/>
  <c r="Q9"/>
  <c r="Z9" s="1"/>
  <c r="J8"/>
  <c r="W8" s="1"/>
  <c r="H8"/>
  <c r="AB8"/>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H9" s="1"/>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H12"/>
  <c r="Q11"/>
  <c r="Z11" s="1"/>
  <c r="Q10"/>
  <c r="Z10" s="1"/>
  <c r="F10"/>
  <c r="AA10" s="1"/>
  <c r="Q9"/>
  <c r="Z9" s="1"/>
  <c r="J9"/>
  <c r="AC9" s="1"/>
  <c r="F9"/>
  <c r="AA9" s="1"/>
  <c r="J8"/>
  <c r="AC8" s="1"/>
  <c r="H8"/>
  <c r="U8" s="1"/>
  <c r="F8"/>
  <c r="D121" i="33"/>
  <c r="E121" s="1"/>
  <c r="F109"/>
  <c r="E109"/>
  <c r="D109"/>
  <c r="C109"/>
  <c r="D91"/>
  <c r="E91" s="1"/>
  <c r="B88"/>
  <c r="J26" s="1"/>
  <c r="C23"/>
  <c r="C19"/>
  <c r="C17"/>
  <c r="C15"/>
  <c r="C15" i="21"/>
  <c r="D125" i="33"/>
  <c r="D123"/>
  <c r="D117"/>
  <c r="E117" s="1"/>
  <c r="F117" s="1"/>
  <c r="G117" s="1"/>
  <c r="D115"/>
  <c r="E115" s="1"/>
  <c r="F115" s="1"/>
  <c r="G115" s="1"/>
  <c r="H115" s="1"/>
  <c r="I115" s="1"/>
  <c r="J115" s="1"/>
  <c r="K115" s="1"/>
  <c r="L115" s="1"/>
  <c r="M115" s="1"/>
  <c r="D108"/>
  <c r="E108" s="1"/>
  <c r="F108" s="1"/>
  <c r="D106"/>
  <c r="E106" s="1"/>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9" s="1"/>
  <c r="AB9" s="1"/>
  <c r="H54"/>
  <c r="F54"/>
  <c r="P49"/>
  <c r="P48"/>
  <c r="V47"/>
  <c r="T47"/>
  <c r="R47"/>
  <c r="P47"/>
  <c r="Q46"/>
  <c r="Z46" s="1"/>
  <c r="Q45"/>
  <c r="Z45" s="1"/>
  <c r="Q44"/>
  <c r="Z44" s="1"/>
  <c r="Q43"/>
  <c r="Z43" s="1"/>
  <c r="Q42"/>
  <c r="Z42" s="1"/>
  <c r="J42"/>
  <c r="AC42" s="1"/>
  <c r="AC41"/>
  <c r="W41"/>
  <c r="Q41"/>
  <c r="Z41"/>
  <c r="Q40"/>
  <c r="Z40"/>
  <c r="J40"/>
  <c r="AC40" s="1"/>
  <c r="H40"/>
  <c r="AB40" s="1"/>
  <c r="AA40"/>
  <c r="Q39"/>
  <c r="Z39" s="1"/>
  <c r="J39"/>
  <c r="AC39" s="1"/>
  <c r="Q38"/>
  <c r="Z38" s="1"/>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s="1"/>
  <c r="Q15"/>
  <c r="Z15" s="1"/>
  <c r="F15"/>
  <c r="AA15" s="1"/>
  <c r="Q14"/>
  <c r="Z14" s="1"/>
  <c r="Q13"/>
  <c r="Z13" s="1"/>
  <c r="Q12"/>
  <c r="Z12" s="1"/>
  <c r="H12"/>
  <c r="U12" s="1"/>
  <c r="Q11"/>
  <c r="Z11" s="1"/>
  <c r="Q10"/>
  <c r="Z10" s="1"/>
  <c r="Q9"/>
  <c r="Z9" s="1"/>
  <c r="J9"/>
  <c r="AC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I4" i="6" s="1"/>
  <c r="G3" i="43" s="1"/>
  <c r="J5" i="3"/>
  <c r="BE10"/>
  <c r="BB585"/>
  <c r="BC585"/>
  <c r="BD585"/>
  <c r="BE585"/>
  <c r="BF585"/>
  <c r="BG585"/>
  <c r="BH585"/>
  <c r="BI585"/>
  <c r="BJ585"/>
  <c r="BK585"/>
  <c r="BM585"/>
  <c r="BN585"/>
  <c r="BO585"/>
  <c r="BP585"/>
  <c r="BQ585"/>
  <c r="BR585"/>
  <c r="BS585"/>
  <c r="BL585" s="1"/>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s="1"/>
  <c r="H586"/>
  <c r="G586" s="1"/>
  <c r="H587"/>
  <c r="G587" s="1"/>
  <c r="F5"/>
  <c r="G27" i="6"/>
  <c r="F34" i="21"/>
  <c r="AA34" s="1"/>
  <c r="H34"/>
  <c r="AB34" s="1"/>
  <c r="F43"/>
  <c r="S43" s="1"/>
  <c r="H38"/>
  <c r="U38" s="1"/>
  <c r="H43"/>
  <c r="AB43" s="1"/>
  <c r="F38"/>
  <c r="S38" s="1"/>
  <c r="F36"/>
  <c r="S36" s="1"/>
  <c r="F39"/>
  <c r="AA39" s="1"/>
  <c r="J40"/>
  <c r="W40" s="1"/>
  <c r="J8"/>
  <c r="AC8" s="1"/>
  <c r="H8"/>
  <c r="U8" s="1"/>
  <c r="H10"/>
  <c r="AB10" s="1"/>
  <c r="H39"/>
  <c r="U39" s="1"/>
  <c r="J34"/>
  <c r="W34" s="1"/>
  <c r="H36"/>
  <c r="U36" s="1"/>
  <c r="F35"/>
  <c r="AA35" s="1"/>
  <c r="H26"/>
  <c r="AB26" s="1"/>
  <c r="AB19"/>
  <c r="J19"/>
  <c r="W19" s="1"/>
  <c r="H12"/>
  <c r="AB12" s="1"/>
  <c r="J26"/>
  <c r="W26" s="1"/>
  <c r="F26"/>
  <c r="S26" s="1"/>
  <c r="AB41"/>
  <c r="S41"/>
  <c r="AA41"/>
  <c r="F45" i="39"/>
  <c r="S45" s="1"/>
  <c r="J45"/>
  <c r="W45" s="1"/>
  <c r="J44"/>
  <c r="AC44" s="1"/>
  <c r="F36"/>
  <c r="S36" s="1"/>
  <c r="H36"/>
  <c r="AB36" s="1"/>
  <c r="J35"/>
  <c r="AC35" s="1"/>
  <c r="F35"/>
  <c r="AA35" s="1"/>
  <c r="J36"/>
  <c r="AC36" s="1"/>
  <c r="U9"/>
  <c r="W40"/>
  <c r="W25" i="37"/>
  <c r="U30"/>
  <c r="W31"/>
  <c r="E103"/>
  <c r="F103" s="1"/>
  <c r="G103" s="1"/>
  <c r="H103" s="1"/>
  <c r="I103" s="1"/>
  <c r="J103" s="1"/>
  <c r="K103" s="1"/>
  <c r="L103" s="1"/>
  <c r="M103" s="1"/>
  <c r="F39"/>
  <c r="S39" s="1"/>
  <c r="U14"/>
  <c r="F29" i="36"/>
  <c r="AA29" s="1"/>
  <c r="W8"/>
  <c r="F16"/>
  <c r="AA16" s="1"/>
  <c r="W28"/>
  <c r="S30"/>
  <c r="AA31"/>
  <c r="AC31"/>
  <c r="W31"/>
  <c r="U31"/>
  <c r="J33"/>
  <c r="W33" s="1"/>
  <c r="H22" i="35"/>
  <c r="AB22" s="1"/>
  <c r="AC27"/>
  <c r="W28"/>
  <c r="U31"/>
  <c r="S34"/>
  <c r="W34"/>
  <c r="W22"/>
  <c r="S31"/>
  <c r="F36" i="34"/>
  <c r="J35"/>
  <c r="W9"/>
  <c r="S34"/>
  <c r="U34"/>
  <c r="H39" i="33"/>
  <c r="AB39" s="1"/>
  <c r="F26"/>
  <c r="AA26" s="1"/>
  <c r="S9"/>
  <c r="U33"/>
  <c r="U35"/>
  <c r="S40"/>
  <c r="W33"/>
  <c r="W39"/>
  <c r="H39" i="37"/>
  <c r="AB39" s="1"/>
  <c r="S27" i="35"/>
  <c r="F11" i="40"/>
  <c r="AA11" s="1"/>
  <c r="H11"/>
  <c r="AB11" s="1"/>
  <c r="W8"/>
  <c r="AC40"/>
  <c r="AA9"/>
  <c r="AC9"/>
  <c r="U9"/>
  <c r="S34"/>
  <c r="U38"/>
  <c r="S40"/>
  <c r="W31"/>
  <c r="U34"/>
  <c r="S38"/>
  <c r="U40"/>
  <c r="F42" i="39"/>
  <c r="AA42" s="1"/>
  <c r="F41"/>
  <c r="S41" s="1"/>
  <c r="H40"/>
  <c r="AB40" s="1"/>
  <c r="H39"/>
  <c r="U39" s="1"/>
  <c r="S38"/>
  <c r="H34"/>
  <c r="U34" s="1"/>
  <c r="E109"/>
  <c r="H31"/>
  <c r="AB31" s="1"/>
  <c r="F31"/>
  <c r="AA31" s="1"/>
  <c r="E101"/>
  <c r="H19"/>
  <c r="AB19" s="1"/>
  <c r="F19"/>
  <c r="AA19" s="1"/>
  <c r="H17"/>
  <c r="AB17" s="1"/>
  <c r="F17"/>
  <c r="AA17" s="1"/>
  <c r="J23" i="40"/>
  <c r="AC23" s="1"/>
  <c r="F21"/>
  <c r="AA21" s="1"/>
  <c r="J21"/>
  <c r="W21"/>
  <c r="H42" i="39"/>
  <c r="AB42" s="1"/>
  <c r="J34"/>
  <c r="AC34" s="1"/>
  <c r="F109"/>
  <c r="G109"/>
  <c r="H109" s="1"/>
  <c r="I109" s="1"/>
  <c r="J109" s="1"/>
  <c r="K109" s="1"/>
  <c r="L109" s="1"/>
  <c r="M109" s="1"/>
  <c r="J31"/>
  <c r="F101"/>
  <c r="H27"/>
  <c r="U27" s="1"/>
  <c r="J19"/>
  <c r="AC19" s="1"/>
  <c r="J17"/>
  <c r="J27"/>
  <c r="AC27" s="1"/>
  <c r="F27"/>
  <c r="F11" i="21"/>
  <c r="S11" s="1"/>
  <c r="S40"/>
  <c r="C25" i="39"/>
  <c r="C27"/>
  <c r="C21"/>
  <c r="C15"/>
  <c r="H32" i="33"/>
  <c r="AB32" s="1"/>
  <c r="H11" i="21"/>
  <c r="U11" s="1"/>
  <c r="J11"/>
  <c r="W11" s="1"/>
  <c r="H37" i="40"/>
  <c r="U37" s="1"/>
  <c r="H36"/>
  <c r="AB36" s="1"/>
  <c r="F35"/>
  <c r="AA35" s="1"/>
  <c r="H23"/>
  <c r="AB23" s="1"/>
  <c r="H17"/>
  <c r="U17" s="1"/>
  <c r="J15"/>
  <c r="W15" s="1"/>
  <c r="J11"/>
  <c r="W11" s="1"/>
  <c r="AB8" i="39"/>
  <c r="AB12" i="33"/>
  <c r="W32" i="40"/>
  <c r="S44" i="39"/>
  <c r="F37"/>
  <c r="AA37" s="1"/>
  <c r="J34" i="36"/>
  <c r="W34" s="1"/>
  <c r="U30"/>
  <c r="J30" i="35"/>
  <c r="W30" s="1"/>
  <c r="H30"/>
  <c r="AB30" s="1"/>
  <c r="F22"/>
  <c r="AA22" s="1"/>
  <c r="H10"/>
  <c r="U10" s="1"/>
  <c r="AC16" i="36"/>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A39"/>
  <c r="AB34"/>
  <c r="J33"/>
  <c r="AC33" s="1"/>
  <c r="U42" i="34"/>
  <c r="H40"/>
  <c r="U40" s="1"/>
  <c r="E114"/>
  <c r="H36"/>
  <c r="U36" s="1"/>
  <c r="F37"/>
  <c r="AA37" s="1"/>
  <c r="S35"/>
  <c r="F28"/>
  <c r="AA28" s="1"/>
  <c r="F27"/>
  <c r="AA27" s="1"/>
  <c r="F25"/>
  <c r="S25" s="1"/>
  <c r="H23"/>
  <c r="U23" s="1"/>
  <c r="J23"/>
  <c r="F19"/>
  <c r="H17"/>
  <c r="U17" s="1"/>
  <c r="F15"/>
  <c r="J15"/>
  <c r="H15"/>
  <c r="AB15" s="1"/>
  <c r="S9"/>
  <c r="W8"/>
  <c r="J28"/>
  <c r="W28" s="1"/>
  <c r="F41" i="33"/>
  <c r="AA41" s="1"/>
  <c r="S38"/>
  <c r="E113"/>
  <c r="F32"/>
  <c r="AA32" s="1"/>
  <c r="J19"/>
  <c r="AC19" s="1"/>
  <c r="J15"/>
  <c r="AC15" s="1"/>
  <c r="F11"/>
  <c r="AA11" s="1"/>
  <c r="S26"/>
  <c r="U40"/>
  <c r="W40"/>
  <c r="U8"/>
  <c r="S8"/>
  <c r="F37" i="40"/>
  <c r="AA37" s="1"/>
  <c r="F36"/>
  <c r="AA36" s="1"/>
  <c r="H28"/>
  <c r="U28" s="1"/>
  <c r="F23"/>
  <c r="AA23" s="1"/>
  <c r="F17"/>
  <c r="AA17" s="1"/>
  <c r="J17"/>
  <c r="W17" s="1"/>
  <c r="F15"/>
  <c r="S15" s="1"/>
  <c r="H15"/>
  <c r="AB15" s="1"/>
  <c r="AC11"/>
  <c r="S12" i="36"/>
  <c r="AA12"/>
  <c r="AB30"/>
  <c r="AC34"/>
  <c r="U30" i="35"/>
  <c r="U33"/>
  <c r="F29"/>
  <c r="S29" s="1"/>
  <c r="H29"/>
  <c r="AB29" s="1"/>
  <c r="H33" i="37"/>
  <c r="AB33" s="1"/>
  <c r="F33"/>
  <c r="AA33" s="1"/>
  <c r="U34"/>
  <c r="W33"/>
  <c r="S34"/>
  <c r="AA34"/>
  <c r="J43" i="34"/>
  <c r="AB42"/>
  <c r="J40"/>
  <c r="F114"/>
  <c r="G114" s="1"/>
  <c r="H114" s="1"/>
  <c r="I114" s="1"/>
  <c r="J114" s="1"/>
  <c r="K114" s="1"/>
  <c r="L114" s="1"/>
  <c r="M114" s="1"/>
  <c r="H38"/>
  <c r="AB38" s="1"/>
  <c r="J36"/>
  <c r="W36" s="1"/>
  <c r="H37"/>
  <c r="U37" s="1"/>
  <c r="H25"/>
  <c r="AB25" s="1"/>
  <c r="J25"/>
  <c r="AC25" s="1"/>
  <c r="AB23"/>
  <c r="F23"/>
  <c r="AA23" s="1"/>
  <c r="J19"/>
  <c r="AC19" s="1"/>
  <c r="F17"/>
  <c r="AA17" s="1"/>
  <c r="J17"/>
  <c r="W17" s="1"/>
  <c r="AB17"/>
  <c r="AA15"/>
  <c r="S15"/>
  <c r="S41" i="33"/>
  <c r="F113"/>
  <c r="G113" s="1"/>
  <c r="H113" s="1"/>
  <c r="I113" s="1"/>
  <c r="J113" s="1"/>
  <c r="K113" s="1"/>
  <c r="L113" s="1"/>
  <c r="M113" s="1"/>
  <c r="H37"/>
  <c r="AB37" s="1"/>
  <c r="H15"/>
  <c r="AB15" s="1"/>
  <c r="H11"/>
  <c r="AB11" s="1"/>
  <c r="F28" i="40"/>
  <c r="AA28" s="1"/>
  <c r="AA29" i="35"/>
  <c r="AA42" i="34"/>
  <c r="S42"/>
  <c r="AC38"/>
  <c r="AA38"/>
  <c r="J37"/>
  <c r="AC37" s="1"/>
  <c r="J11" i="33"/>
  <c r="W11" s="1"/>
  <c r="S28" i="34"/>
  <c r="U23" i="40"/>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s="1"/>
  <c r="J11"/>
  <c r="AC11" s="1"/>
  <c r="H11"/>
  <c r="U11" s="1"/>
  <c r="F11"/>
  <c r="AA11" s="1"/>
  <c r="H13"/>
  <c r="AB13" s="1"/>
  <c r="J13"/>
  <c r="F13"/>
  <c r="S13" s="1"/>
  <c r="E89" i="37"/>
  <c r="F89" s="1"/>
  <c r="G89" s="1"/>
  <c r="H89" s="1"/>
  <c r="I89" s="1"/>
  <c r="J89" s="1"/>
  <c r="K89" s="1"/>
  <c r="L89" s="1"/>
  <c r="M89" s="1"/>
  <c r="J29"/>
  <c r="W29" s="1"/>
  <c r="F29"/>
  <c r="S29" s="1"/>
  <c r="F105"/>
  <c r="H36"/>
  <c r="AB36" s="1"/>
  <c r="F107"/>
  <c r="J37"/>
  <c r="AC37" s="1"/>
  <c r="H37"/>
  <c r="U37" s="1"/>
  <c r="H40"/>
  <c r="U40" s="1"/>
  <c r="J40"/>
  <c r="AC40" s="1"/>
  <c r="F40"/>
  <c r="AA40" s="1"/>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F14"/>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13" i="35"/>
  <c r="U31" i="34"/>
  <c r="U46" i="33"/>
  <c r="AA14"/>
  <c r="J36" i="37"/>
  <c r="AC36" s="1"/>
  <c r="G105"/>
  <c r="AB11" i="36"/>
  <c r="AB11" i="35"/>
  <c r="J10" i="36"/>
  <c r="AC10" s="1"/>
  <c r="AB26" i="33"/>
  <c r="AB30" i="21"/>
  <c r="AA14" i="37"/>
  <c r="W31" i="34"/>
  <c r="AC13" i="36"/>
  <c r="W13"/>
  <c r="S11"/>
  <c r="W11"/>
  <c r="W11" i="35"/>
  <c r="AB46" i="34"/>
  <c r="AC30"/>
  <c r="AA14"/>
  <c r="S45" i="33"/>
  <c r="AB45"/>
  <c r="AB31"/>
  <c r="U31"/>
  <c r="W29"/>
  <c r="U13"/>
  <c r="AC28" i="21"/>
  <c r="S44" i="34"/>
  <c r="BA586" i="3"/>
  <c r="BA585"/>
  <c r="F17" i="21"/>
  <c r="AA17" s="1"/>
  <c r="H17"/>
  <c r="AB17" s="1"/>
  <c r="F15"/>
  <c r="S15" s="1"/>
  <c r="AB1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AZ584" s="1"/>
  <c r="BA582"/>
  <c r="BA580"/>
  <c r="AZ580" s="1"/>
  <c r="BA578"/>
  <c r="AZ578" s="1"/>
  <c r="BA576"/>
  <c r="AZ576" s="1"/>
  <c r="BA574"/>
  <c r="AZ574" s="1"/>
  <c r="BA572"/>
  <c r="AZ572" s="1"/>
  <c r="BA570"/>
  <c r="AZ570" s="1"/>
  <c r="BA568"/>
  <c r="AZ568" s="1"/>
  <c r="BA566"/>
  <c r="AZ566" s="1"/>
  <c r="BA564"/>
  <c r="AZ564" s="1"/>
  <c r="BA562"/>
  <c r="AZ562" s="1"/>
  <c r="BA560"/>
  <c r="AZ560" s="1"/>
  <c r="BA558"/>
  <c r="BA556"/>
  <c r="AZ556" s="1"/>
  <c r="BA554"/>
  <c r="BA552"/>
  <c r="AZ552" s="1"/>
  <c r="BA548"/>
  <c r="BA546"/>
  <c r="BA544"/>
  <c r="BA542"/>
  <c r="AZ542" s="1"/>
  <c r="BA540"/>
  <c r="AZ540" s="1"/>
  <c r="BA538"/>
  <c r="AZ538" s="1"/>
  <c r="BA536"/>
  <c r="BA534"/>
  <c r="AZ534" s="1"/>
  <c r="BA532"/>
  <c r="BA530"/>
  <c r="BA528"/>
  <c r="AZ528"/>
  <c r="BA526"/>
  <c r="AZ526"/>
  <c r="BA524"/>
  <c r="BA522"/>
  <c r="BA520"/>
  <c r="BA518"/>
  <c r="AZ518" s="1"/>
  <c r="BA516"/>
  <c r="BA514"/>
  <c r="BA512"/>
  <c r="AZ512"/>
  <c r="BA510"/>
  <c r="AZ510"/>
  <c r="BA508"/>
  <c r="BA506"/>
  <c r="BA504"/>
  <c r="AZ504"/>
  <c r="BA502"/>
  <c r="BA500"/>
  <c r="BA498"/>
  <c r="AZ498"/>
  <c r="BA496"/>
  <c r="BA494"/>
  <c r="BA587"/>
  <c r="AZ587"/>
  <c r="BA583"/>
  <c r="BA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G583"/>
  <c r="G581"/>
  <c r="G579"/>
  <c r="G577"/>
  <c r="G575"/>
  <c r="G573"/>
  <c r="G571"/>
  <c r="G569"/>
  <c r="G567"/>
  <c r="G565"/>
  <c r="G563"/>
  <c r="G561"/>
  <c r="BL558"/>
  <c r="BA557"/>
  <c r="AC557"/>
  <c r="G557" s="1"/>
  <c r="BQ557"/>
  <c r="BL557" s="1"/>
  <c r="BQ583"/>
  <c r="BL583" s="1"/>
  <c r="AZ583" s="1"/>
  <c r="BQ581"/>
  <c r="BL581"/>
  <c r="BQ579"/>
  <c r="BL579"/>
  <c r="AZ579" s="1"/>
  <c r="BQ577"/>
  <c r="BL577" s="1"/>
  <c r="BQ575"/>
  <c r="BL575" s="1"/>
  <c r="AZ575" s="1"/>
  <c r="BQ573"/>
  <c r="BL573" s="1"/>
  <c r="AZ573" s="1"/>
  <c r="BQ571"/>
  <c r="BL571"/>
  <c r="AZ571" s="1"/>
  <c r="BQ569"/>
  <c r="BL569" s="1"/>
  <c r="BQ567"/>
  <c r="BL567" s="1"/>
  <c r="AZ567" s="1"/>
  <c r="BQ565"/>
  <c r="BL565" s="1"/>
  <c r="AZ565" s="1"/>
  <c r="BQ563"/>
  <c r="BL563"/>
  <c r="BQ561"/>
  <c r="BL561"/>
  <c r="AZ561" s="1"/>
  <c r="BQ559"/>
  <c r="BL559" s="1"/>
  <c r="AZ559" s="1"/>
  <c r="G559"/>
  <c r="G555"/>
  <c r="G553"/>
  <c r="G549"/>
  <c r="G547"/>
  <c r="G545"/>
  <c r="G543"/>
  <c r="G541"/>
  <c r="G539"/>
  <c r="G537"/>
  <c r="BQ555"/>
  <c r="BL555" s="1"/>
  <c r="AZ555" s="1"/>
  <c r="BQ553"/>
  <c r="BL553" s="1"/>
  <c r="AZ553" s="1"/>
  <c r="BQ551"/>
  <c r="BL551" s="1"/>
  <c r="BQ549"/>
  <c r="BQ547"/>
  <c r="BL547" s="1"/>
  <c r="AZ547" s="1"/>
  <c r="BQ545"/>
  <c r="BL545" s="1"/>
  <c r="AZ545" s="1"/>
  <c r="BQ543"/>
  <c r="BL543" s="1"/>
  <c r="AZ543" s="1"/>
  <c r="BQ541"/>
  <c r="BL541" s="1"/>
  <c r="AZ541" s="1"/>
  <c r="BQ539"/>
  <c r="BL539" s="1"/>
  <c r="AZ539" s="1"/>
  <c r="BQ537"/>
  <c r="BL537" s="1"/>
  <c r="AZ537" s="1"/>
  <c r="BQ535"/>
  <c r="BL535" s="1"/>
  <c r="AZ535" s="1"/>
  <c r="BQ533"/>
  <c r="BL533" s="1"/>
  <c r="AZ533" s="1"/>
  <c r="BQ531"/>
  <c r="BL531" s="1"/>
  <c r="AZ531" s="1"/>
  <c r="BQ529"/>
  <c r="BL529" s="1"/>
  <c r="AZ529" s="1"/>
  <c r="BQ527"/>
  <c r="BL527" s="1"/>
  <c r="AZ527" s="1"/>
  <c r="BQ525"/>
  <c r="BL525" s="1"/>
  <c r="AZ525" s="1"/>
  <c r="BQ523"/>
  <c r="BL523" s="1"/>
  <c r="AZ523" s="1"/>
  <c r="BA521"/>
  <c r="AC521"/>
  <c r="G521"/>
  <c r="BQ521"/>
  <c r="BL521"/>
  <c r="BL520"/>
  <c r="AZ520" s="1"/>
  <c r="G519"/>
  <c r="G517"/>
  <c r="G515"/>
  <c r="G513"/>
  <c r="G511"/>
  <c r="BQ519"/>
  <c r="BL519"/>
  <c r="AZ519" s="1"/>
  <c r="BQ517"/>
  <c r="BL517" s="1"/>
  <c r="AZ517" s="1"/>
  <c r="BQ515"/>
  <c r="BL515" s="1"/>
  <c r="AZ515" s="1"/>
  <c r="BQ513"/>
  <c r="BL513" s="1"/>
  <c r="AZ513" s="1"/>
  <c r="BQ511"/>
  <c r="BL511"/>
  <c r="AZ511" s="1"/>
  <c r="BA509"/>
  <c r="AC509"/>
  <c r="BQ509"/>
  <c r="BL509"/>
  <c r="BL508"/>
  <c r="AZ508"/>
  <c r="G507"/>
  <c r="G505"/>
  <c r="G503"/>
  <c r="G501"/>
  <c r="G499"/>
  <c r="G497"/>
  <c r="G495"/>
  <c r="BQ507"/>
  <c r="BL507" s="1"/>
  <c r="AZ507" s="1"/>
  <c r="BQ505"/>
  <c r="BL505"/>
  <c r="AZ505" s="1"/>
  <c r="BQ503"/>
  <c r="BL503" s="1"/>
  <c r="AZ503" s="1"/>
  <c r="BQ501"/>
  <c r="BL501" s="1"/>
  <c r="BQ499"/>
  <c r="BL499" s="1"/>
  <c r="BQ497"/>
  <c r="BL497" s="1"/>
  <c r="AZ497" s="1"/>
  <c r="BQ495"/>
  <c r="BL495" s="1"/>
  <c r="AZ495" s="1"/>
  <c r="BQ493"/>
  <c r="S505" i="31"/>
  <c r="S503"/>
  <c r="S501"/>
  <c r="S499"/>
  <c r="O27"/>
  <c r="O28"/>
  <c r="O26"/>
  <c r="M27"/>
  <c r="M28"/>
  <c r="M26"/>
  <c r="I26"/>
  <c r="I25"/>
  <c r="S25"/>
  <c r="Q26"/>
  <c r="K26"/>
  <c r="I27"/>
  <c r="Q27"/>
  <c r="K27"/>
  <c r="I28"/>
  <c r="Q28"/>
  <c r="K28"/>
  <c r="AC28" i="34"/>
  <c r="S21" i="40"/>
  <c r="H25" i="21"/>
  <c r="U25" s="1"/>
  <c r="F25"/>
  <c r="S25" s="1"/>
  <c r="J25"/>
  <c r="AC25" s="1"/>
  <c r="E125" i="33"/>
  <c r="F125"/>
  <c r="H43"/>
  <c r="AB43" s="1"/>
  <c r="H17" i="37"/>
  <c r="U17" s="1"/>
  <c r="AB27"/>
  <c r="U32" i="33"/>
  <c r="AA36" i="39"/>
  <c r="F39" i="33"/>
  <c r="AA39" s="1"/>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s="1"/>
  <c r="F123" i="33"/>
  <c r="G123" s="1"/>
  <c r="H123" s="1"/>
  <c r="I123" s="1"/>
  <c r="J123" s="1"/>
  <c r="K123" s="1"/>
  <c r="L123" s="1"/>
  <c r="M123" s="1"/>
  <c r="H42"/>
  <c r="AB42" s="1"/>
  <c r="G125"/>
  <c r="J43"/>
  <c r="AC43" s="1"/>
  <c r="U43"/>
  <c r="S28" i="31"/>
  <c r="S27"/>
  <c r="S26"/>
  <c r="U14" i="40"/>
  <c r="AC32" i="36"/>
  <c r="AC33"/>
  <c r="U35" i="35"/>
  <c r="AA12"/>
  <c r="W14" i="37"/>
  <c r="AB28"/>
  <c r="U33"/>
  <c r="U39"/>
  <c r="W26"/>
  <c r="AC8"/>
  <c r="U26"/>
  <c r="W47" i="34"/>
  <c r="AB13"/>
  <c r="W37"/>
  <c r="AB37"/>
  <c r="AC36"/>
  <c r="AA13" i="33"/>
  <c r="AC31"/>
  <c r="AC45"/>
  <c r="W44"/>
  <c r="U11"/>
  <c r="U19" i="21"/>
  <c r="W44"/>
  <c r="U26"/>
  <c r="AC46"/>
  <c r="U12"/>
  <c r="F43" i="33"/>
  <c r="AA43" s="1"/>
  <c r="W15" i="34"/>
  <c r="AC15"/>
  <c r="W16" i="35"/>
  <c r="W40" i="37"/>
  <c r="G107"/>
  <c r="H107" s="1"/>
  <c r="I107" s="1"/>
  <c r="J107" s="1"/>
  <c r="K107" s="1"/>
  <c r="L107" s="1"/>
  <c r="M107" s="1"/>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H5"/>
  <c r="AA25" i="21"/>
  <c r="C12" i="43"/>
  <c r="H19" i="40"/>
  <c r="U19" s="1"/>
  <c r="F19"/>
  <c r="S19" s="1"/>
  <c r="S14"/>
  <c r="AC13"/>
  <c r="AB33"/>
  <c r="W23" i="39"/>
  <c r="AC43"/>
  <c r="W43"/>
  <c r="U45"/>
  <c r="AB45"/>
  <c r="AB44"/>
  <c r="U44"/>
  <c r="G101"/>
  <c r="H37"/>
  <c r="AB37" s="1"/>
  <c r="H25"/>
  <c r="AB25" s="1"/>
  <c r="J25"/>
  <c r="F25"/>
  <c r="AA25" s="1"/>
  <c r="F15"/>
  <c r="AA15" s="1"/>
  <c r="H15"/>
  <c r="U15" s="1"/>
  <c r="J15"/>
  <c r="W15" s="1"/>
  <c r="H41"/>
  <c r="S42"/>
  <c r="W9"/>
  <c r="W8"/>
  <c r="J19" i="40"/>
  <c r="AC19" s="1"/>
  <c r="J50"/>
  <c r="B54" i="72"/>
  <c r="H103" i="9"/>
  <c r="D8" i="53" s="1"/>
  <c r="B16"/>
  <c r="B33" i="72" s="1"/>
  <c r="C7" i="37"/>
  <c r="C7" i="34"/>
  <c r="C7" i="36"/>
  <c r="W35" i="40"/>
  <c r="A118" i="9"/>
  <c r="A4" i="52"/>
  <c r="B41" i="72" s="1"/>
  <c r="A12" i="52"/>
  <c r="B56" i="72" s="1"/>
  <c r="G4" i="4"/>
  <c r="I4"/>
  <c r="K5"/>
  <c r="B47" i="48" s="1"/>
  <c r="A2" i="9"/>
  <c r="N2" i="43"/>
  <c r="F59" s="1"/>
  <c r="AZ20" i="3"/>
  <c r="AZ28"/>
  <c r="BL549"/>
  <c r="AZ494"/>
  <c r="AZ502"/>
  <c r="AZ514"/>
  <c r="AZ522"/>
  <c r="AZ530"/>
  <c r="AZ546"/>
  <c r="G546"/>
  <c r="G524"/>
  <c r="G303"/>
  <c r="BL304"/>
  <c r="G305"/>
  <c r="BL306"/>
  <c r="BA308"/>
  <c r="AZ308" s="1"/>
  <c r="BA309"/>
  <c r="BL309"/>
  <c r="G310"/>
  <c r="BA311"/>
  <c r="G319"/>
  <c r="BL320"/>
  <c r="G321"/>
  <c r="BL322"/>
  <c r="BA324"/>
  <c r="AZ324" s="1"/>
  <c r="BA325"/>
  <c r="BL325"/>
  <c r="G326"/>
  <c r="BA327"/>
  <c r="G335"/>
  <c r="BL336"/>
  <c r="G337"/>
  <c r="BL338"/>
  <c r="BA340"/>
  <c r="AZ340" s="1"/>
  <c r="BA341"/>
  <c r="BL341"/>
  <c r="BA343"/>
  <c r="BA345"/>
  <c r="BL355"/>
  <c r="G356"/>
  <c r="BL357"/>
  <c r="BA359"/>
  <c r="AZ359"/>
  <c r="BA360"/>
  <c r="BL360"/>
  <c r="G361"/>
  <c r="BA362"/>
  <c r="G370"/>
  <c r="BL371"/>
  <c r="G372"/>
  <c r="BL373"/>
  <c r="BA375"/>
  <c r="BA376"/>
  <c r="BL376"/>
  <c r="G377"/>
  <c r="BA378"/>
  <c r="AZ378"/>
  <c r="BL378"/>
  <c r="G379"/>
  <c r="BA380"/>
  <c r="G388"/>
  <c r="BL389"/>
  <c r="G390"/>
  <c r="BL391"/>
  <c r="BA393"/>
  <c r="BA394"/>
  <c r="BL394"/>
  <c r="G113"/>
  <c r="BA115"/>
  <c r="AZ115" s="1"/>
  <c r="BL116"/>
  <c r="AZ116" s="1"/>
  <c r="G117"/>
  <c r="BA119"/>
  <c r="BL120"/>
  <c r="AZ120" s="1"/>
  <c r="G121"/>
  <c r="BA123"/>
  <c r="AZ123" s="1"/>
  <c r="BL124"/>
  <c r="AZ124" s="1"/>
  <c r="G125"/>
  <c r="BA127"/>
  <c r="AZ127"/>
  <c r="BL128"/>
  <c r="G129"/>
  <c r="BA131"/>
  <c r="AZ131"/>
  <c r="BL132"/>
  <c r="AZ132"/>
  <c r="G133"/>
  <c r="BA135"/>
  <c r="BL136"/>
  <c r="G137"/>
  <c r="BA139"/>
  <c r="BL140"/>
  <c r="AZ140" s="1"/>
  <c r="G141"/>
  <c r="BA143"/>
  <c r="BL144"/>
  <c r="G145"/>
  <c r="BA147"/>
  <c r="AZ147" s="1"/>
  <c r="BL148"/>
  <c r="G149"/>
  <c r="BA151"/>
  <c r="AZ151" s="1"/>
  <c r="BL152"/>
  <c r="AZ152" s="1"/>
  <c r="G153"/>
  <c r="BA155"/>
  <c r="AZ155" s="1"/>
  <c r="BL156"/>
  <c r="G157"/>
  <c r="BA159"/>
  <c r="AZ159"/>
  <c r="BL160"/>
  <c r="G161"/>
  <c r="BA163"/>
  <c r="AZ163"/>
  <c r="BL164"/>
  <c r="G165"/>
  <c r="BA167"/>
  <c r="AZ167" s="1"/>
  <c r="BL168"/>
  <c r="G169"/>
  <c r="BA171"/>
  <c r="AZ171" s="1"/>
  <c r="BL172"/>
  <c r="G173"/>
  <c r="BA175"/>
  <c r="AZ175" s="1"/>
  <c r="BL176"/>
  <c r="G177"/>
  <c r="BA179"/>
  <c r="AZ179" s="1"/>
  <c r="BL180"/>
  <c r="G181"/>
  <c r="BA183"/>
  <c r="AZ183" s="1"/>
  <c r="BL184"/>
  <c r="AZ184" s="1"/>
  <c r="G185"/>
  <c r="BA187"/>
  <c r="AZ187" s="1"/>
  <c r="BL188"/>
  <c r="G189"/>
  <c r="BA191"/>
  <c r="AZ191"/>
  <c r="BL192"/>
  <c r="G193"/>
  <c r="BA195"/>
  <c r="AZ195"/>
  <c r="BL196"/>
  <c r="G197"/>
  <c r="BA199"/>
  <c r="AZ199" s="1"/>
  <c r="BL200"/>
  <c r="G201"/>
  <c r="BA203"/>
  <c r="AZ203" s="1"/>
  <c r="BL204"/>
  <c r="AZ43"/>
  <c r="AZ47"/>
  <c r="AZ59"/>
  <c r="AZ67"/>
  <c r="AZ71"/>
  <c r="AZ79"/>
  <c r="AZ83"/>
  <c r="AZ136"/>
  <c r="AZ144"/>
  <c r="AZ160"/>
  <c r="AZ168"/>
  <c r="AZ176"/>
  <c r="AZ192"/>
  <c r="AZ200"/>
  <c r="AZ85"/>
  <c r="AZ89"/>
  <c r="AZ97"/>
  <c r="AZ105"/>
  <c r="AZ128"/>
  <c r="G534"/>
  <c r="G530"/>
  <c r="G522"/>
  <c r="G516"/>
  <c r="G512"/>
  <c r="G506"/>
  <c r="G498"/>
  <c r="G494"/>
  <c r="G16"/>
  <c r="G15"/>
  <c r="BA304"/>
  <c r="BA305"/>
  <c r="AZ305" s="1"/>
  <c r="BL305"/>
  <c r="G306"/>
  <c r="G309"/>
  <c r="BL310"/>
  <c r="BA312"/>
  <c r="AZ312"/>
  <c r="BA313"/>
  <c r="BL313"/>
  <c r="AZ313" s="1"/>
  <c r="G314"/>
  <c r="G317"/>
  <c r="BL318"/>
  <c r="BA320"/>
  <c r="AZ320" s="1"/>
  <c r="BA321"/>
  <c r="BL321"/>
  <c r="G322"/>
  <c r="G325"/>
  <c r="BL326"/>
  <c r="BA328"/>
  <c r="AZ328" s="1"/>
  <c r="BA329"/>
  <c r="BL329"/>
  <c r="G330"/>
  <c r="G333"/>
  <c r="BL334"/>
  <c r="BA336"/>
  <c r="BA337"/>
  <c r="AZ337" s="1"/>
  <c r="BL337"/>
  <c r="G338"/>
  <c r="G341"/>
  <c r="BA342"/>
  <c r="BL342"/>
  <c r="AZ342"/>
  <c r="BA344"/>
  <c r="BL344"/>
  <c r="AZ344" s="1"/>
  <c r="BA346"/>
  <c r="AZ346" s="1"/>
  <c r="BA347"/>
  <c r="AZ347" s="1"/>
  <c r="BL347"/>
  <c r="G350"/>
  <c r="BA351"/>
  <c r="AZ351"/>
  <c r="BL351"/>
  <c r="G352"/>
  <c r="G354"/>
  <c r="BA355"/>
  <c r="AZ355" s="1"/>
  <c r="BA356"/>
  <c r="BL356"/>
  <c r="G357"/>
  <c r="G360"/>
  <c r="BL361"/>
  <c r="BA363"/>
  <c r="AZ363" s="1"/>
  <c r="BA364"/>
  <c r="BL364"/>
  <c r="G365"/>
  <c r="G368"/>
  <c r="BL369"/>
  <c r="BA371"/>
  <c r="BA372"/>
  <c r="AZ372" s="1"/>
  <c r="BL372"/>
  <c r="G373"/>
  <c r="G376"/>
  <c r="BL377"/>
  <c r="BL379"/>
  <c r="BA381"/>
  <c r="BA382"/>
  <c r="BL382"/>
  <c r="G383"/>
  <c r="G386"/>
  <c r="BL387"/>
  <c r="BA389"/>
  <c r="AZ389" s="1"/>
  <c r="BA390"/>
  <c r="BL390"/>
  <c r="G391"/>
  <c r="G394"/>
  <c r="AZ150"/>
  <c r="AZ158"/>
  <c r="AZ166"/>
  <c r="AZ174"/>
  <c r="AZ182"/>
  <c r="AZ190"/>
  <c r="AZ198"/>
  <c r="AZ500"/>
  <c r="BA16"/>
  <c r="AZ16" s="1"/>
  <c r="BL303"/>
  <c r="AZ303" s="1"/>
  <c r="G304"/>
  <c r="BA306"/>
  <c r="AZ306" s="1"/>
  <c r="BL307"/>
  <c r="AZ307" s="1"/>
  <c r="G308"/>
  <c r="BA310"/>
  <c r="BL311"/>
  <c r="AZ311" s="1"/>
  <c r="G312"/>
  <c r="BA314"/>
  <c r="AZ314" s="1"/>
  <c r="BL315"/>
  <c r="AZ315" s="1"/>
  <c r="G316"/>
  <c r="BA318"/>
  <c r="AZ318"/>
  <c r="BL319"/>
  <c r="G320"/>
  <c r="BA322"/>
  <c r="AZ322"/>
  <c r="BL323"/>
  <c r="AZ323"/>
  <c r="G324"/>
  <c r="BA326"/>
  <c r="AZ326" s="1"/>
  <c r="BL327"/>
  <c r="G328"/>
  <c r="BA330"/>
  <c r="AZ330" s="1"/>
  <c r="BL331"/>
  <c r="AZ331" s="1"/>
  <c r="G332"/>
  <c r="BA334"/>
  <c r="AZ334" s="1"/>
  <c r="BL335"/>
  <c r="AZ335" s="1"/>
  <c r="G336"/>
  <c r="BA338"/>
  <c r="AZ338" s="1"/>
  <c r="BL339"/>
  <c r="AZ339" s="1"/>
  <c r="G340"/>
  <c r="BL343"/>
  <c r="G344"/>
  <c r="G348"/>
  <c r="G355"/>
  <c r="AZ214"/>
  <c r="AZ222"/>
  <c r="AZ319"/>
  <c r="G342"/>
  <c r="BL345"/>
  <c r="AZ345" s="1"/>
  <c r="G346"/>
  <c r="BL349"/>
  <c r="BL352"/>
  <c r="G353"/>
  <c r="BA357"/>
  <c r="AZ357"/>
  <c r="BL358"/>
  <c r="AZ358"/>
  <c r="G359"/>
  <c r="BA361"/>
  <c r="AZ361" s="1"/>
  <c r="BL362"/>
  <c r="G363"/>
  <c r="BA365"/>
  <c r="AZ365" s="1"/>
  <c r="BL366"/>
  <c r="G367"/>
  <c r="BA369"/>
  <c r="AZ369" s="1"/>
  <c r="BL370"/>
  <c r="G371"/>
  <c r="BA373"/>
  <c r="AZ373" s="1"/>
  <c r="BL374"/>
  <c r="AZ374" s="1"/>
  <c r="G375"/>
  <c r="BA377"/>
  <c r="AZ377" s="1"/>
  <c r="AZ233"/>
  <c r="AZ237"/>
  <c r="AZ249"/>
  <c r="AZ257"/>
  <c r="AZ261"/>
  <c r="AZ265"/>
  <c r="AZ370"/>
  <c r="BA379"/>
  <c r="AZ379"/>
  <c r="BL380"/>
  <c r="G381"/>
  <c r="BA383"/>
  <c r="AZ383"/>
  <c r="BL384"/>
  <c r="G385"/>
  <c r="BA387"/>
  <c r="AZ387"/>
  <c r="BL388"/>
  <c r="G389"/>
  <c r="BA391"/>
  <c r="AZ391"/>
  <c r="BL392"/>
  <c r="G393"/>
  <c r="AZ263"/>
  <c r="AZ279"/>
  <c r="AZ287"/>
  <c r="AZ295"/>
  <c r="BO5"/>
  <c r="BM5"/>
  <c r="BJ5"/>
  <c r="BH5"/>
  <c r="BF5"/>
  <c r="BD5"/>
  <c r="AZ309"/>
  <c r="AZ325"/>
  <c r="AZ341"/>
  <c r="BQ5"/>
  <c r="AC5"/>
  <c r="AZ549"/>
  <c r="AZ506"/>
  <c r="AZ496"/>
  <c r="G548"/>
  <c r="G538"/>
  <c r="G520"/>
  <c r="G502"/>
  <c r="BS5"/>
  <c r="BP5"/>
  <c r="BN5"/>
  <c r="AZ343"/>
  <c r="BK5"/>
  <c r="BI5"/>
  <c r="BG5"/>
  <c r="BE5"/>
  <c r="BC5"/>
  <c r="G17"/>
  <c r="BA17"/>
  <c r="BT5"/>
  <c r="AZ350"/>
  <c r="AZ352"/>
  <c r="AZ356"/>
  <c r="AZ360"/>
  <c r="AZ364"/>
  <c r="AZ368"/>
  <c r="BA15"/>
  <c r="BB5"/>
  <c r="BR5"/>
  <c r="G28" i="6" s="1"/>
  <c r="AZ380" i="3"/>
  <c r="AZ384"/>
  <c r="AZ388"/>
  <c r="AZ392"/>
  <c r="AZ394"/>
  <c r="AZ499"/>
  <c r="AZ509"/>
  <c r="E8" i="6"/>
  <c r="F27" s="1"/>
  <c r="G509" i="3"/>
  <c r="BL493"/>
  <c r="AZ493" s="1"/>
  <c r="AZ491"/>
  <c r="AZ376"/>
  <c r="AZ390"/>
  <c r="AZ382"/>
  <c r="U36" i="40"/>
  <c r="N4" i="43"/>
  <c r="F36"/>
  <c r="F81"/>
  <c r="H83" s="1"/>
  <c r="H113"/>
  <c r="F48"/>
  <c r="H52" s="1"/>
  <c r="N7"/>
  <c r="F70"/>
  <c r="H73" s="1"/>
  <c r="M6"/>
  <c r="M11"/>
  <c r="E17"/>
  <c r="F39"/>
  <c r="I17"/>
  <c r="F35"/>
  <c r="J17"/>
  <c r="F6" i="1"/>
  <c r="U17" i="39"/>
  <c r="S14" i="35"/>
  <c r="U43" i="21"/>
  <c r="U10"/>
  <c r="G8" i="1"/>
  <c r="G9"/>
  <c r="G10"/>
  <c r="F48" i="9"/>
  <c r="O52" s="1"/>
  <c r="AZ563" i="3"/>
  <c r="AZ501"/>
  <c r="W37" i="37"/>
  <c r="W44" i="34"/>
  <c r="AC44"/>
  <c r="S15" i="37"/>
  <c r="U13"/>
  <c r="U12" i="40"/>
  <c r="AA12"/>
  <c r="J37" i="33"/>
  <c r="W37" s="1"/>
  <c r="AC17" i="34"/>
  <c r="F106" i="33"/>
  <c r="G106" s="1"/>
  <c r="H106" s="1"/>
  <c r="I106" s="1"/>
  <c r="J106" s="1"/>
  <c r="K106" s="1"/>
  <c r="L106" s="1"/>
  <c r="M106" s="1"/>
  <c r="J34"/>
  <c r="W34" s="1"/>
  <c r="F33" i="34"/>
  <c r="S33" s="1"/>
  <c r="W12" i="36"/>
  <c r="AC12"/>
  <c r="H20"/>
  <c r="U20" s="1"/>
  <c r="J20"/>
  <c r="W20" s="1"/>
  <c r="W24"/>
  <c r="J27"/>
  <c r="W27" s="1"/>
  <c r="AB25" i="37"/>
  <c r="AC33" i="40"/>
  <c r="F111"/>
  <c r="G111"/>
  <c r="H111" s="1"/>
  <c r="I111" s="1"/>
  <c r="J111" s="1"/>
  <c r="K111" s="1"/>
  <c r="L111" s="1"/>
  <c r="M111" s="1"/>
  <c r="H35"/>
  <c r="AB35" s="1"/>
  <c r="AC29" i="35"/>
  <c r="W29"/>
  <c r="H35" i="37"/>
  <c r="U35" s="1"/>
  <c r="AC14" i="35"/>
  <c r="H20"/>
  <c r="U20" s="1"/>
  <c r="F20"/>
  <c r="AA20" s="1"/>
  <c r="AB23"/>
  <c r="AB29" i="36"/>
  <c r="U29"/>
  <c r="H32" i="37"/>
  <c r="AB32" s="1"/>
  <c r="F96"/>
  <c r="H27" i="40"/>
  <c r="U27" s="1"/>
  <c r="J27"/>
  <c r="AC27" s="1"/>
  <c r="F27"/>
  <c r="S27" s="1"/>
  <c r="J30"/>
  <c r="AC30" s="1"/>
  <c r="F30"/>
  <c r="AA30" s="1"/>
  <c r="AC21"/>
  <c r="S31" i="39"/>
  <c r="S11" i="40"/>
  <c r="E98"/>
  <c r="F98" s="1"/>
  <c r="G98" s="1"/>
  <c r="H98" s="1"/>
  <c r="I98" s="1"/>
  <c r="J98" s="1"/>
  <c r="K98" s="1"/>
  <c r="L98" s="1"/>
  <c r="M98" s="1"/>
  <c r="F10" i="33"/>
  <c r="S10" s="1"/>
  <c r="F34"/>
  <c r="S34" s="1"/>
  <c r="H34"/>
  <c r="U34" s="1"/>
  <c r="F35"/>
  <c r="S35" s="1"/>
  <c r="F39" i="34"/>
  <c r="S39" s="1"/>
  <c r="J39"/>
  <c r="W39" s="1"/>
  <c r="F40"/>
  <c r="S40" s="1"/>
  <c r="F43"/>
  <c r="AA43" s="1"/>
  <c r="H44"/>
  <c r="AB44" s="1"/>
  <c r="F39" i="39"/>
  <c r="S39" s="1"/>
  <c r="J39"/>
  <c r="AC39" s="1"/>
  <c r="E97"/>
  <c r="F97" s="1"/>
  <c r="G97" s="1"/>
  <c r="AZ353" i="3"/>
  <c r="C40" i="11"/>
  <c r="AZ223" i="3"/>
  <c r="AZ232"/>
  <c r="AZ235"/>
  <c r="AZ248"/>
  <c r="AZ251"/>
  <c r="AZ256"/>
  <c r="AZ259"/>
  <c r="AZ280"/>
  <c r="AZ296"/>
  <c r="AZ114"/>
  <c r="AZ130"/>
  <c r="AZ29"/>
  <c r="AZ31"/>
  <c r="AZ33"/>
  <c r="AZ45"/>
  <c r="AZ50"/>
  <c r="AZ61"/>
  <c r="AZ69"/>
  <c r="AZ82"/>
  <c r="AZ102"/>
  <c r="H75" i="43"/>
  <c r="H74"/>
  <c r="H50"/>
  <c r="H49"/>
  <c r="H48"/>
  <c r="I20"/>
  <c r="F23" i="39"/>
  <c r="AA23" s="1"/>
  <c r="H27" i="36"/>
  <c r="U27" s="1"/>
  <c r="F27"/>
  <c r="AA27" s="1"/>
  <c r="H33" i="34"/>
  <c r="U33" s="1"/>
  <c r="F32" i="37"/>
  <c r="AA32" s="1"/>
  <c r="G96"/>
  <c r="H96" s="1"/>
  <c r="I96" s="1"/>
  <c r="J96" s="1"/>
  <c r="K96" s="1"/>
  <c r="L96" s="1"/>
  <c r="M96" s="1"/>
  <c r="F20" i="36"/>
  <c r="AA20" s="1"/>
  <c r="J33" i="34"/>
  <c r="AC33" s="1"/>
  <c r="H23" i="39"/>
  <c r="U23" s="1"/>
  <c r="D48" i="9"/>
  <c r="M52" s="1"/>
  <c r="H86" i="43"/>
  <c r="H82"/>
  <c r="H87"/>
  <c r="K9" i="1"/>
  <c r="M9" s="1"/>
  <c r="O9" s="1"/>
  <c r="P9" s="1"/>
  <c r="AE9"/>
  <c r="W12" i="34" l="1"/>
  <c r="AC12"/>
  <c r="U12" i="35"/>
  <c r="AB12"/>
  <c r="AB34"/>
  <c r="U34"/>
  <c r="W37" i="39"/>
  <c r="AC37"/>
  <c r="W12" i="40"/>
  <c r="AC12"/>
  <c r="AZ362" i="3"/>
  <c r="S12" i="21"/>
  <c r="AA12"/>
  <c r="AB9" i="36"/>
  <c r="U9"/>
  <c r="AZ521" i="3"/>
  <c r="AZ581"/>
  <c r="BL586"/>
  <c r="AZ585"/>
  <c r="G398"/>
  <c r="G399"/>
  <c r="BL399"/>
  <c r="BA400"/>
  <c r="AZ400" s="1"/>
  <c r="BL402"/>
  <c r="AZ402" s="1"/>
  <c r="G405"/>
  <c r="BL405"/>
  <c r="G408"/>
  <c r="BL408"/>
  <c r="BA409"/>
  <c r="AZ409" s="1"/>
  <c r="BA410"/>
  <c r="AZ410" s="1"/>
  <c r="BA411"/>
  <c r="AZ411" s="1"/>
  <c r="G414"/>
  <c r="G415"/>
  <c r="BL415"/>
  <c r="BA416"/>
  <c r="AZ416" s="1"/>
  <c r="BL418"/>
  <c r="AZ418" s="1"/>
  <c r="G421"/>
  <c r="BL421"/>
  <c r="G424"/>
  <c r="G425"/>
  <c r="BL425"/>
  <c r="BA426"/>
  <c r="AZ426" s="1"/>
  <c r="BA427"/>
  <c r="AZ427" s="1"/>
  <c r="G430"/>
  <c r="G431"/>
  <c r="BL431"/>
  <c r="BA432"/>
  <c r="AZ432" s="1"/>
  <c r="BL434"/>
  <c r="AZ434" s="1"/>
  <c r="G437"/>
  <c r="BL437"/>
  <c r="G440"/>
  <c r="G441"/>
  <c r="BL441"/>
  <c r="BL443"/>
  <c r="AZ443" s="1"/>
  <c r="BA444"/>
  <c r="AZ444" s="1"/>
  <c r="BL446"/>
  <c r="AZ446" s="1"/>
  <c r="BA447"/>
  <c r="AZ447" s="1"/>
  <c r="BA448"/>
  <c r="AZ448" s="1"/>
  <c r="BL450"/>
  <c r="AZ450" s="1"/>
  <c r="G453"/>
  <c r="BL453"/>
  <c r="G456"/>
  <c r="G457"/>
  <c r="BL457"/>
  <c r="BL459"/>
  <c r="AZ459" s="1"/>
  <c r="BA460"/>
  <c r="AZ460" s="1"/>
  <c r="BL462"/>
  <c r="AZ462" s="1"/>
  <c r="BA463"/>
  <c r="AZ463" s="1"/>
  <c r="BA464"/>
  <c r="AZ464" s="1"/>
  <c r="G467"/>
  <c r="G468"/>
  <c r="BL468"/>
  <c r="G471"/>
  <c r="G472"/>
  <c r="G473"/>
  <c r="BL473"/>
  <c r="BA474"/>
  <c r="AZ474" s="1"/>
  <c r="BA475"/>
  <c r="AZ475" s="1"/>
  <c r="BL477"/>
  <c r="AZ477" s="1"/>
  <c r="BA478"/>
  <c r="AZ478" s="1"/>
  <c r="BA479"/>
  <c r="AZ479" s="1"/>
  <c r="BL481"/>
  <c r="AZ481" s="1"/>
  <c r="BA482"/>
  <c r="AZ482" s="1"/>
  <c r="BA483"/>
  <c r="AZ483" s="1"/>
  <c r="G485"/>
  <c r="G486"/>
  <c r="BL486"/>
  <c r="G489"/>
  <c r="G490"/>
  <c r="BL490"/>
  <c r="G311"/>
  <c r="G315"/>
  <c r="BA317"/>
  <c r="AZ317" s="1"/>
  <c r="G327"/>
  <c r="G331"/>
  <c r="BA333"/>
  <c r="AZ333" s="1"/>
  <c r="G343"/>
  <c r="BA348"/>
  <c r="AZ348" s="1"/>
  <c r="BA349"/>
  <c r="AZ349" s="1"/>
  <c r="G351"/>
  <c r="BA354"/>
  <c r="AZ354" s="1"/>
  <c r="G364"/>
  <c r="BA366"/>
  <c r="AZ366" s="1"/>
  <c r="BL367"/>
  <c r="G369"/>
  <c r="BL381"/>
  <c r="AZ381" s="1"/>
  <c r="BL386"/>
  <c r="AZ386" s="1"/>
  <c r="G392"/>
  <c r="BL393"/>
  <c r="AZ393" s="1"/>
  <c r="BL396"/>
  <c r="AZ396" s="1"/>
  <c r="BA397"/>
  <c r="AZ397" s="1"/>
  <c r="BL209"/>
  <c r="AZ209" s="1"/>
  <c r="BA210"/>
  <c r="AZ210" s="1"/>
  <c r="G213"/>
  <c r="BL213"/>
  <c r="BL215"/>
  <c r="AZ215" s="1"/>
  <c r="BA216"/>
  <c r="AZ216" s="1"/>
  <c r="BL218"/>
  <c r="AZ218" s="1"/>
  <c r="BA219"/>
  <c r="AZ219" s="1"/>
  <c r="G222"/>
  <c r="G223"/>
  <c r="G224"/>
  <c r="BL224"/>
  <c r="BA225"/>
  <c r="AZ225" s="1"/>
  <c r="BL227"/>
  <c r="AZ227" s="1"/>
  <c r="BA228"/>
  <c r="AZ228" s="1"/>
  <c r="BA229"/>
  <c r="AZ229" s="1"/>
  <c r="G232"/>
  <c r="G233"/>
  <c r="G234"/>
  <c r="BL234"/>
  <c r="G237"/>
  <c r="G238"/>
  <c r="BL238"/>
  <c r="BA239"/>
  <c r="AZ239" s="1"/>
  <c r="BA240"/>
  <c r="AZ240" s="1"/>
  <c r="BA241"/>
  <c r="AZ241" s="1"/>
  <c r="BL243"/>
  <c r="AZ243" s="1"/>
  <c r="BA244"/>
  <c r="AZ244" s="1"/>
  <c r="BA245"/>
  <c r="AZ245" s="1"/>
  <c r="G248"/>
  <c r="G249"/>
  <c r="G250"/>
  <c r="BL250"/>
  <c r="AZ327"/>
  <c r="AZ310"/>
  <c r="AZ371"/>
  <c r="AZ336"/>
  <c r="AZ329"/>
  <c r="AZ321"/>
  <c r="AZ304"/>
  <c r="AZ375"/>
  <c r="AZ569"/>
  <c r="AZ577"/>
  <c r="AZ557"/>
  <c r="AZ516"/>
  <c r="AZ524"/>
  <c r="AZ532"/>
  <c r="AZ536"/>
  <c r="AZ544"/>
  <c r="AZ554"/>
  <c r="AZ558"/>
  <c r="AZ582"/>
  <c r="AA44" i="33"/>
  <c r="J12" i="21"/>
  <c r="AC12" s="1"/>
  <c r="J10"/>
  <c r="AC10" s="1"/>
  <c r="H35"/>
  <c r="AB35" s="1"/>
  <c r="J35"/>
  <c r="F12" i="34"/>
  <c r="J23" i="35"/>
  <c r="J36"/>
  <c r="H12" i="36"/>
  <c r="H24"/>
  <c r="AB24" s="1"/>
  <c r="F40" i="39"/>
  <c r="H39" i="40"/>
  <c r="G582" i="3"/>
  <c r="G566"/>
  <c r="G552"/>
  <c r="BA551"/>
  <c r="G551"/>
  <c r="BL550"/>
  <c r="BA550"/>
  <c r="BL548"/>
  <c r="AZ548" s="1"/>
  <c r="G526"/>
  <c r="BL15"/>
  <c r="AZ15" s="1"/>
  <c r="AZ399"/>
  <c r="AZ403"/>
  <c r="AZ405"/>
  <c r="AZ406"/>
  <c r="AZ415"/>
  <c r="AZ419"/>
  <c r="AZ421"/>
  <c r="AZ422"/>
  <c r="AZ425"/>
  <c r="AZ431"/>
  <c r="AZ435"/>
  <c r="AZ438"/>
  <c r="AZ442"/>
  <c r="AZ451"/>
  <c r="AZ453"/>
  <c r="AZ454"/>
  <c r="AZ458"/>
  <c r="AZ468"/>
  <c r="AZ469"/>
  <c r="AZ486"/>
  <c r="AZ487"/>
  <c r="BA253"/>
  <c r="AZ253" s="1"/>
  <c r="G256"/>
  <c r="G257"/>
  <c r="G258"/>
  <c r="BL258"/>
  <c r="G261"/>
  <c r="G262"/>
  <c r="BL262"/>
  <c r="AZ262" s="1"/>
  <c r="G265"/>
  <c r="G266"/>
  <c r="BL266"/>
  <c r="BA267"/>
  <c r="AZ267" s="1"/>
  <c r="BA268"/>
  <c r="AZ268" s="1"/>
  <c r="BA269"/>
  <c r="AZ269" s="1"/>
  <c r="BL271"/>
  <c r="AZ271" s="1"/>
  <c r="BA272"/>
  <c r="AZ272" s="1"/>
  <c r="BA273"/>
  <c r="AZ273" s="1"/>
  <c r="BL275"/>
  <c r="AZ275" s="1"/>
  <c r="BA276"/>
  <c r="AZ276" s="1"/>
  <c r="G279"/>
  <c r="G280"/>
  <c r="G281"/>
  <c r="BL281"/>
  <c r="BA282"/>
  <c r="AZ282" s="1"/>
  <c r="BA283"/>
  <c r="AZ283" s="1"/>
  <c r="G286"/>
  <c r="BL286"/>
  <c r="BL288"/>
  <c r="AZ288" s="1"/>
  <c r="BA289"/>
  <c r="AZ289" s="1"/>
  <c r="BL291"/>
  <c r="AZ291" s="1"/>
  <c r="BA292"/>
  <c r="AZ292" s="1"/>
  <c r="G295"/>
  <c r="G296"/>
  <c r="G297"/>
  <c r="BL297"/>
  <c r="BA298"/>
  <c r="AZ298" s="1"/>
  <c r="BA299"/>
  <c r="AZ299" s="1"/>
  <c r="G302"/>
  <c r="G114"/>
  <c r="G115"/>
  <c r="BL117"/>
  <c r="AZ117" s="1"/>
  <c r="BA118"/>
  <c r="AZ118" s="1"/>
  <c r="BL119"/>
  <c r="AZ119" s="1"/>
  <c r="BA121"/>
  <c r="AZ121" s="1"/>
  <c r="G124"/>
  <c r="G127"/>
  <c r="G130"/>
  <c r="G131"/>
  <c r="BL133"/>
  <c r="AZ133" s="1"/>
  <c r="BA134"/>
  <c r="AZ134" s="1"/>
  <c r="BL135"/>
  <c r="AZ135" s="1"/>
  <c r="BA137"/>
  <c r="AZ137" s="1"/>
  <c r="BA138"/>
  <c r="AZ138" s="1"/>
  <c r="BL139"/>
  <c r="AZ139" s="1"/>
  <c r="BA141"/>
  <c r="AZ141" s="1"/>
  <c r="BA142"/>
  <c r="AZ142" s="1"/>
  <c r="BL143"/>
  <c r="AZ143" s="1"/>
  <c r="BA145"/>
  <c r="AZ145" s="1"/>
  <c r="BA146"/>
  <c r="AZ146" s="1"/>
  <c r="BA148"/>
  <c r="AZ148" s="1"/>
  <c r="BL149"/>
  <c r="G152"/>
  <c r="BL154"/>
  <c r="AZ154" s="1"/>
  <c r="BA156"/>
  <c r="AZ156" s="1"/>
  <c r="BL157"/>
  <c r="G160"/>
  <c r="BL162"/>
  <c r="AZ162" s="1"/>
  <c r="BA164"/>
  <c r="AZ164" s="1"/>
  <c r="BL165"/>
  <c r="G168"/>
  <c r="BL170"/>
  <c r="AZ170" s="1"/>
  <c r="BA172"/>
  <c r="AZ172" s="1"/>
  <c r="BL173"/>
  <c r="G176"/>
  <c r="BL178"/>
  <c r="AZ178" s="1"/>
  <c r="BA180"/>
  <c r="AZ180" s="1"/>
  <c r="BL181"/>
  <c r="G184"/>
  <c r="BL186"/>
  <c r="AZ186" s="1"/>
  <c r="BA188"/>
  <c r="AZ188" s="1"/>
  <c r="BL189"/>
  <c r="G192"/>
  <c r="BL194"/>
  <c r="AZ194" s="1"/>
  <c r="AZ258"/>
  <c r="AZ30"/>
  <c r="AZ49"/>
  <c r="AZ98"/>
  <c r="BA196"/>
  <c r="AZ196" s="1"/>
  <c r="BL197"/>
  <c r="G200"/>
  <c r="BL202"/>
  <c r="AZ202" s="1"/>
  <c r="BA204"/>
  <c r="AZ204" s="1"/>
  <c r="BA205"/>
  <c r="AZ205" s="1"/>
  <c r="BA206"/>
  <c r="AZ206" s="1"/>
  <c r="G19"/>
  <c r="BL19"/>
  <c r="BL21"/>
  <c r="AZ21" s="1"/>
  <c r="BA22"/>
  <c r="AZ22" s="1"/>
  <c r="BL24"/>
  <c r="AZ24" s="1"/>
  <c r="BA25"/>
  <c r="AZ25" s="1"/>
  <c r="G28"/>
  <c r="G29"/>
  <c r="G30"/>
  <c r="BL30"/>
  <c r="BL32"/>
  <c r="AZ32" s="1"/>
  <c r="BA34"/>
  <c r="AZ34" s="1"/>
  <c r="BA36"/>
  <c r="AZ36" s="1"/>
  <c r="BA37"/>
  <c r="AZ37" s="1"/>
  <c r="BL39"/>
  <c r="AZ39" s="1"/>
  <c r="BA40"/>
  <c r="AZ40" s="1"/>
  <c r="BL42"/>
  <c r="AZ42" s="1"/>
  <c r="G45"/>
  <c r="G46"/>
  <c r="BL46"/>
  <c r="AZ46" s="1"/>
  <c r="G49"/>
  <c r="BL49"/>
  <c r="BL51"/>
  <c r="AZ51" s="1"/>
  <c r="BA52"/>
  <c r="AZ52" s="1"/>
  <c r="BA53"/>
  <c r="AZ53" s="1"/>
  <c r="BL55"/>
  <c r="AZ55" s="1"/>
  <c r="BA56"/>
  <c r="AZ56" s="1"/>
  <c r="BL58"/>
  <c r="AZ58" s="1"/>
  <c r="G61"/>
  <c r="AZ104"/>
  <c r="BL63"/>
  <c r="AZ63" s="1"/>
  <c r="BA64"/>
  <c r="AZ64" s="1"/>
  <c r="BL66"/>
  <c r="AZ66" s="1"/>
  <c r="G69"/>
  <c r="G70"/>
  <c r="BL70"/>
  <c r="AZ70" s="1"/>
  <c r="BL72"/>
  <c r="AZ72" s="1"/>
  <c r="BA73"/>
  <c r="AZ73" s="1"/>
  <c r="BA74"/>
  <c r="AZ74" s="1"/>
  <c r="BA75"/>
  <c r="AZ75" s="1"/>
  <c r="BL77"/>
  <c r="AZ77" s="1"/>
  <c r="G79"/>
  <c r="G80"/>
  <c r="BL80"/>
  <c r="G82"/>
  <c r="G83"/>
  <c r="G84"/>
  <c r="BL84"/>
  <c r="BL86"/>
  <c r="AZ86" s="1"/>
  <c r="G88"/>
  <c r="BL88"/>
  <c r="G91"/>
  <c r="BL91"/>
  <c r="AZ91" s="1"/>
  <c r="BA92"/>
  <c r="AZ92" s="1"/>
  <c r="BA93"/>
  <c r="AZ93" s="1"/>
  <c r="BA94"/>
  <c r="AZ94" s="1"/>
  <c r="G97"/>
  <c r="G98"/>
  <c r="BL98"/>
  <c r="BA99"/>
  <c r="AZ99" s="1"/>
  <c r="BL101"/>
  <c r="AZ101" s="1"/>
  <c r="G104"/>
  <c r="BL104"/>
  <c r="BA106"/>
  <c r="AZ106" s="1"/>
  <c r="BA108"/>
  <c r="AZ108" s="1"/>
  <c r="BA109"/>
  <c r="AZ109" s="1"/>
  <c r="BA110"/>
  <c r="AZ110" s="1"/>
  <c r="BA112"/>
  <c r="AZ112" s="1"/>
  <c r="M100" i="43"/>
  <c r="I100"/>
  <c r="E100"/>
  <c r="I20" i="66"/>
  <c r="A15" i="62"/>
  <c r="B61" i="72" s="1"/>
  <c r="U34" i="21"/>
  <c r="S34"/>
  <c r="U35"/>
  <c r="AB38"/>
  <c r="AA41" i="39"/>
  <c r="U40"/>
  <c r="AC14"/>
  <c r="W14"/>
  <c r="H14"/>
  <c r="AB14" s="1"/>
  <c r="AC38"/>
  <c r="F3" i="35"/>
  <c r="AB34" i="39"/>
  <c r="S34"/>
  <c r="W27"/>
  <c r="F29" i="6"/>
  <c r="D93" i="9"/>
  <c r="E12" i="6"/>
  <c r="E15"/>
  <c r="E60" i="40" s="1"/>
  <c r="K6" i="1"/>
  <c r="E13" i="6"/>
  <c r="E58" i="40" s="1"/>
  <c r="G29" i="6"/>
  <c r="E29" s="1"/>
  <c r="AC26" i="33"/>
  <c r="W26"/>
  <c r="W27" i="34"/>
  <c r="AC27"/>
  <c r="AB34" i="36"/>
  <c r="U34"/>
  <c r="AB33"/>
  <c r="U33"/>
  <c r="AC12" i="39"/>
  <c r="W12"/>
  <c r="AC39" i="40"/>
  <c r="W39"/>
  <c r="AZ401" i="3"/>
  <c r="AZ412"/>
  <c r="AZ417"/>
  <c r="AZ428"/>
  <c r="AZ433"/>
  <c r="AZ465"/>
  <c r="AZ586"/>
  <c r="F22" i="43"/>
  <c r="B113"/>
  <c r="B115" s="1"/>
  <c r="C115" s="1"/>
  <c r="K101"/>
  <c r="K103" s="1"/>
  <c r="F101"/>
  <c r="F104" s="1"/>
  <c r="N101"/>
  <c r="N102" s="1"/>
  <c r="E22"/>
  <c r="G101"/>
  <c r="G105" s="1"/>
  <c r="C101"/>
  <c r="C104" s="1"/>
  <c r="J101"/>
  <c r="J104" s="1"/>
  <c r="N104" i="46"/>
  <c r="W12" i="33"/>
  <c r="AC12"/>
  <c r="AA32" i="36"/>
  <c r="S32"/>
  <c r="AZ551" i="3"/>
  <c r="AZ550"/>
  <c r="AZ408"/>
  <c r="AZ437"/>
  <c r="AZ441"/>
  <c r="AZ457"/>
  <c r="AZ473"/>
  <c r="AZ490"/>
  <c r="AA39" i="34"/>
  <c r="F28" i="6"/>
  <c r="E28" s="1"/>
  <c r="BL14" i="3"/>
  <c r="AZ266"/>
  <c r="U30" i="33"/>
  <c r="AC13" i="34"/>
  <c r="AA47"/>
  <c r="W28" i="37"/>
  <c r="S19" i="39"/>
  <c r="F12" i="33"/>
  <c r="H12" i="39"/>
  <c r="AB12" s="1"/>
  <c r="F39" i="40"/>
  <c r="BA14" i="3"/>
  <c r="AZ14" s="1"/>
  <c r="AZ367"/>
  <c r="AZ213"/>
  <c r="AZ224"/>
  <c r="AZ234"/>
  <c r="AZ238"/>
  <c r="AZ250"/>
  <c r="AZ254"/>
  <c r="AZ281"/>
  <c r="AZ286"/>
  <c r="AZ297"/>
  <c r="AZ149"/>
  <c r="AZ157"/>
  <c r="AZ165"/>
  <c r="AZ173"/>
  <c r="AZ181"/>
  <c r="AZ189"/>
  <c r="AZ197"/>
  <c r="AZ19"/>
  <c r="AZ26"/>
  <c r="AZ35"/>
  <c r="AZ41"/>
  <c r="S12" i="1"/>
  <c r="R12"/>
  <c r="B12"/>
  <c r="E12" s="1"/>
  <c r="S10"/>
  <c r="AQ10" s="1"/>
  <c r="R10"/>
  <c r="B10"/>
  <c r="E10" s="1"/>
  <c r="D1" i="66"/>
  <c r="E10" s="1"/>
  <c r="AZ80" i="3"/>
  <c r="AZ84"/>
  <c r="AZ88"/>
  <c r="AZ107"/>
  <c r="AZ111"/>
  <c r="K12" i="1"/>
  <c r="M12" s="1"/>
  <c r="O12" s="1"/>
  <c r="P12" s="1"/>
  <c r="S13"/>
  <c r="AR13" s="1"/>
  <c r="R13"/>
  <c r="S11"/>
  <c r="AQ11" s="1"/>
  <c r="R11"/>
  <c r="S9"/>
  <c r="AR9" s="1"/>
  <c r="R9"/>
  <c r="J51" i="67"/>
  <c r="C42" i="1"/>
  <c r="H100" i="43"/>
  <c r="C30" i="66"/>
  <c r="E26" s="1"/>
  <c r="AC34" i="33"/>
  <c r="AA34"/>
  <c r="D117" i="43"/>
  <c r="E117" s="1"/>
  <c r="F117" s="1"/>
  <c r="G117" s="1"/>
  <c r="H117" s="1"/>
  <c r="B41" i="1"/>
  <c r="F53" i="9" s="1"/>
  <c r="S22" i="3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E10" i="6"/>
  <c r="BA5" i="3"/>
  <c r="E27" i="6" s="1"/>
  <c r="E11"/>
  <c r="E61" i="39" s="1"/>
  <c r="BL17" i="3"/>
  <c r="AZ17" s="1"/>
  <c r="BL13"/>
  <c r="G30" i="6"/>
  <c r="G31" s="1"/>
  <c r="J56" i="9"/>
  <c r="J57" s="1"/>
  <c r="A24" i="51"/>
  <c r="B18" i="72" s="1"/>
  <c r="U29" i="34"/>
  <c r="C106" i="43"/>
  <c r="E14" i="6"/>
  <c r="E64" i="39" s="1"/>
  <c r="E5" i="6"/>
  <c r="D9" i="11" s="1"/>
  <c r="C9" s="1"/>
  <c r="J105" i="43"/>
  <c r="I115"/>
  <c r="J115" s="1"/>
  <c r="K115" s="1"/>
  <c r="L115" s="1"/>
  <c r="M115" s="1"/>
  <c r="G102"/>
  <c r="P10" i="1"/>
  <c r="H22" i="43"/>
  <c r="L101"/>
  <c r="L109" s="1"/>
  <c r="H101"/>
  <c r="D101"/>
  <c r="D109" s="1"/>
  <c r="M101"/>
  <c r="M109" s="1"/>
  <c r="I101"/>
  <c r="I109" s="1"/>
  <c r="E101"/>
  <c r="G22"/>
  <c r="E32" i="6"/>
  <c r="L19" s="1"/>
  <c r="G1" i="68"/>
  <c r="K1" i="12"/>
  <c r="N103" i="43"/>
  <c r="N105"/>
  <c r="N106"/>
  <c r="J107"/>
  <c r="J103"/>
  <c r="J102"/>
  <c r="F107"/>
  <c r="F106"/>
  <c r="C105"/>
  <c r="K107"/>
  <c r="K102"/>
  <c r="K104"/>
  <c r="G107"/>
  <c r="G103"/>
  <c r="G104"/>
  <c r="I118"/>
  <c r="J118" s="1"/>
  <c r="K118" s="1"/>
  <c r="L118" s="1"/>
  <c r="M118" s="1"/>
  <c r="D118"/>
  <c r="E118" s="1"/>
  <c r="F118" s="1"/>
  <c r="B116"/>
  <c r="C116" s="1"/>
  <c r="I117"/>
  <c r="J117" s="1"/>
  <c r="K117" s="1"/>
  <c r="L117" s="1"/>
  <c r="M117" s="1"/>
  <c r="E57" i="40"/>
  <c r="B117" i="43"/>
  <c r="C117" s="1"/>
  <c r="D115"/>
  <c r="E115" s="1"/>
  <c r="F115" s="1"/>
  <c r="G115" s="1"/>
  <c r="H115" s="1"/>
  <c r="G106"/>
  <c r="K106"/>
  <c r="K105"/>
  <c r="C102"/>
  <c r="S2" s="1"/>
  <c r="F105"/>
  <c r="J106"/>
  <c r="N104"/>
  <c r="N107"/>
  <c r="AR12" i="1"/>
  <c r="AQ12"/>
  <c r="T12"/>
  <c r="AR10"/>
  <c r="E19" i="69"/>
  <c r="E19" i="68"/>
  <c r="E19" i="11"/>
  <c r="E1" i="73"/>
  <c r="K1" s="1"/>
  <c r="G41" i="69"/>
  <c r="G22"/>
  <c r="G41" i="68"/>
  <c r="G22"/>
  <c r="G27" i="12"/>
  <c r="G26"/>
  <c r="G41" i="11"/>
  <c r="G22"/>
  <c r="G25" i="12"/>
  <c r="J109" i="43"/>
  <c r="C100"/>
  <c r="K109"/>
  <c r="E11"/>
  <c r="E10"/>
  <c r="E9"/>
  <c r="E8"/>
  <c r="E81"/>
  <c r="B79" s="1"/>
  <c r="F109"/>
  <c r="AJ11"/>
  <c r="AJ13" s="1"/>
  <c r="AH11"/>
  <c r="AH13" s="1"/>
  <c r="AF11"/>
  <c r="AF13" s="1"/>
  <c r="AD11"/>
  <c r="AD13" s="1"/>
  <c r="AB11"/>
  <c r="AB13" s="1"/>
  <c r="Z11"/>
  <c r="Z13" s="1"/>
  <c r="Z7"/>
  <c r="S5"/>
  <c r="AI11"/>
  <c r="AI13" s="1"/>
  <c r="AG11"/>
  <c r="AG13" s="1"/>
  <c r="AE11"/>
  <c r="AE13" s="1"/>
  <c r="AC11"/>
  <c r="AC13" s="1"/>
  <c r="AA11"/>
  <c r="AA13" s="1"/>
  <c r="Y11"/>
  <c r="Y13" s="1"/>
  <c r="E48"/>
  <c r="B46" s="1"/>
  <c r="E70"/>
  <c r="B68" s="1"/>
  <c r="G109"/>
  <c r="N109"/>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48" s="1"/>
  <c r="D48" s="1"/>
  <c r="C7" i="33"/>
  <c r="C58" s="1"/>
  <c r="D58" s="1"/>
  <c r="E58" s="1"/>
  <c r="F58" s="1"/>
  <c r="G58" s="1"/>
  <c r="H58" s="1"/>
  <c r="I58" s="1"/>
  <c r="J58" s="1"/>
  <c r="K58" s="1"/>
  <c r="L58" s="1"/>
  <c r="M58" s="1"/>
  <c r="N58" s="1"/>
  <c r="O58" s="1"/>
  <c r="C7" i="21"/>
  <c r="C58" s="1"/>
  <c r="D58" s="1"/>
  <c r="C7" i="40"/>
  <c r="C63" s="1"/>
  <c r="M47" i="9"/>
  <c r="G19" i="43"/>
  <c r="M20" s="1"/>
  <c r="T35" i="4"/>
  <c r="A19" i="51" s="1"/>
  <c r="B14" i="72" s="1"/>
  <c r="C46" i="36"/>
  <c r="D46" s="1"/>
  <c r="E46" s="1"/>
  <c r="C59" i="34"/>
  <c r="D59" s="1"/>
  <c r="C52" i="37"/>
  <c r="D52" s="1"/>
  <c r="A4" i="51"/>
  <c r="B6" i="72" s="1"/>
  <c r="C94" i="9"/>
  <c r="C92"/>
  <c r="H62" i="43"/>
  <c r="H66"/>
  <c r="H61"/>
  <c r="H65"/>
  <c r="H60"/>
  <c r="H64"/>
  <c r="H59"/>
  <c r="H63"/>
  <c r="H67"/>
  <c r="H55"/>
  <c r="H51"/>
  <c r="H56"/>
  <c r="H76"/>
  <c r="H72"/>
  <c r="H77"/>
  <c r="L20" i="6"/>
  <c r="E62" i="39"/>
  <c r="E56"/>
  <c r="E51" i="40"/>
  <c r="B6" i="1"/>
  <c r="E6" s="1"/>
  <c r="S8"/>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s="1"/>
  <c r="K101" s="1"/>
  <c r="L101" s="1"/>
  <c r="M101" s="1"/>
  <c r="F37"/>
  <c r="AA37" s="1"/>
  <c r="AA26"/>
  <c r="AB14"/>
  <c r="AB46"/>
  <c r="U40"/>
  <c r="AB31"/>
  <c r="U31"/>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25"/>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B9"/>
  <c r="B13"/>
  <c r="E16"/>
  <c r="B11"/>
  <c r="E8"/>
  <c r="E21"/>
  <c r="E10"/>
  <c r="E9"/>
  <c r="E5"/>
  <c r="B6"/>
  <c r="B4"/>
  <c r="B8"/>
  <c r="E4"/>
  <c r="E11"/>
  <c r="M6" i="15"/>
  <c r="F38" i="67"/>
  <c r="M9" i="15"/>
  <c r="M9" i="67"/>
  <c r="F6" i="15"/>
  <c r="F9"/>
  <c r="C76"/>
  <c r="L47" i="67"/>
  <c r="F16" i="15"/>
  <c r="M26"/>
  <c r="F37" i="67"/>
  <c r="F43"/>
  <c r="L48"/>
  <c r="F13" i="15"/>
  <c r="F43"/>
  <c r="F16" i="67"/>
  <c r="F13"/>
  <c r="L48" i="15"/>
  <c r="F36" i="67"/>
  <c r="M28" i="15"/>
  <c r="F37"/>
  <c r="M23"/>
  <c r="F26"/>
  <c r="M29" i="67"/>
  <c r="M8" i="15"/>
  <c r="G1" i="73"/>
  <c r="F42" i="67"/>
  <c r="F6"/>
  <c r="J15"/>
  <c r="M29" i="15"/>
  <c r="M22"/>
  <c r="F38"/>
  <c r="M24" i="67"/>
  <c r="F8" i="15"/>
  <c r="F8" i="67"/>
  <c r="M6"/>
  <c r="F42" i="15"/>
  <c r="F40"/>
  <c r="F40" i="67"/>
  <c r="M24" i="15"/>
  <c r="M26" i="67"/>
  <c r="M8"/>
  <c r="F9"/>
  <c r="M22"/>
  <c r="F36" i="15"/>
  <c r="F7" i="67"/>
  <c r="C76"/>
  <c r="M23"/>
  <c r="L47" i="15"/>
  <c r="M28" i="67"/>
  <c r="J15" i="15"/>
  <c r="F26" i="67"/>
  <c r="F7" i="15"/>
  <c r="W17" i="21" l="1"/>
  <c r="C7" i="43"/>
  <c r="E56" i="40"/>
  <c r="AA40" i="39"/>
  <c r="S40"/>
  <c r="U12" i="36"/>
  <c r="AB12"/>
  <c r="AC23" i="35"/>
  <c r="W23"/>
  <c r="W35" i="21"/>
  <c r="AC35"/>
  <c r="D3" i="39"/>
  <c r="C33" i="21"/>
  <c r="U39" i="40"/>
  <c r="AB39"/>
  <c r="AC36" i="35"/>
  <c r="W36"/>
  <c r="S12" i="34"/>
  <c r="AA12"/>
  <c r="F30" i="6"/>
  <c r="F31" s="1"/>
  <c r="E4" i="4"/>
  <c r="C4"/>
  <c r="G7" i="21"/>
  <c r="I7"/>
  <c r="E7"/>
  <c r="C109" i="43"/>
  <c r="T10" i="1"/>
  <c r="F103" i="43"/>
  <c r="I116"/>
  <c r="J116" s="1"/>
  <c r="K116" s="1"/>
  <c r="L116" s="1"/>
  <c r="M116" s="1"/>
  <c r="B118"/>
  <c r="C118" s="1"/>
  <c r="G118"/>
  <c r="H118" s="1"/>
  <c r="D116"/>
  <c r="E116" s="1"/>
  <c r="F116" s="1"/>
  <c r="G116" s="1"/>
  <c r="H116" s="1"/>
  <c r="C103"/>
  <c r="C107"/>
  <c r="F102"/>
  <c r="E65" i="39"/>
  <c r="AA29" i="21"/>
  <c r="AC15"/>
  <c r="D22" i="43"/>
  <c r="L58" i="67"/>
  <c r="L58" i="15"/>
  <c r="Q73" s="1"/>
  <c r="N59" i="67"/>
  <c r="L59" s="1"/>
  <c r="M59"/>
  <c r="M59" i="15"/>
  <c r="J53" i="67"/>
  <c r="I54"/>
  <c r="N59" i="15"/>
  <c r="I54"/>
  <c r="J53"/>
  <c r="L56" s="1"/>
  <c r="AQ13" i="1"/>
  <c r="AZ13" i="3"/>
  <c r="M6" i="1"/>
  <c r="O6" s="1"/>
  <c r="P6" s="1"/>
  <c r="F30" i="68"/>
  <c r="C30" s="1"/>
  <c r="F30" i="11"/>
  <c r="C48" s="1"/>
  <c r="F28" i="67"/>
  <c r="C28" s="1"/>
  <c r="F31" i="12"/>
  <c r="F52" i="9"/>
  <c r="M18" i="67"/>
  <c r="F32"/>
  <c r="F60" s="1"/>
  <c r="F30" i="69"/>
  <c r="C48" s="1"/>
  <c r="F32" i="15"/>
  <c r="F60" s="1"/>
  <c r="M18"/>
  <c r="F28"/>
  <c r="C28" s="1"/>
  <c r="E63" i="39"/>
  <c r="T11" i="1"/>
  <c r="D9" i="69"/>
  <c r="C9" s="1"/>
  <c r="D19" i="12"/>
  <c r="C19" s="1"/>
  <c r="AQ9" i="1"/>
  <c r="AR11"/>
  <c r="E59" i="40"/>
  <c r="D68" i="39"/>
  <c r="D70" s="1"/>
  <c r="E30" i="6"/>
  <c r="K15" i="1"/>
  <c r="T9"/>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77" i="9"/>
  <c r="C74" s="1"/>
  <c r="E66" i="39"/>
  <c r="C30" i="69"/>
  <c r="D9" i="68"/>
  <c r="C9" s="1"/>
  <c r="K20" i="6"/>
  <c r="S7" i="1" s="1"/>
  <c r="E7" i="70" s="1"/>
  <c r="C24" i="12"/>
  <c r="AA39" i="40"/>
  <c r="S39"/>
  <c r="S12" i="33"/>
  <c r="AA12"/>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S37"/>
  <c r="AA23"/>
  <c r="AB15"/>
  <c r="J23"/>
  <c r="F85"/>
  <c r="G85" s="1"/>
  <c r="H23"/>
  <c r="S13"/>
  <c r="D6" i="52"/>
  <c r="D121" i="9"/>
  <c r="D7" i="52" s="1"/>
  <c r="K120" i="9"/>
  <c r="S6" i="43"/>
  <c r="C23"/>
  <c r="C21" s="1"/>
  <c r="S4"/>
  <c r="S3"/>
  <c r="S7"/>
  <c r="D113"/>
  <c r="J22" s="1"/>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S24" s="1"/>
  <c r="K14" i="1"/>
  <c r="M14" s="1"/>
  <c r="O14" s="1"/>
  <c r="P14" s="1"/>
  <c r="BL5" i="3"/>
  <c r="C19" i="43"/>
  <c r="J59" i="9"/>
  <c r="J61" s="1"/>
  <c r="K21" i="6"/>
  <c r="M21" s="1"/>
  <c r="I2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K22"/>
  <c r="M22" s="1"/>
  <c r="I22" s="1"/>
  <c r="E102" i="43"/>
  <c r="E104"/>
  <c r="E106"/>
  <c r="E107"/>
  <c r="E103"/>
  <c r="E105"/>
  <c r="M102"/>
  <c r="M104"/>
  <c r="M106"/>
  <c r="M107"/>
  <c r="M103"/>
  <c r="M105"/>
  <c r="H102"/>
  <c r="H107"/>
  <c r="H103"/>
  <c r="H106"/>
  <c r="H104"/>
  <c r="H105"/>
  <c r="K19" i="6"/>
  <c r="S6" i="1" s="1"/>
  <c r="AQ6" s="1"/>
  <c r="K25" i="6"/>
  <c r="M25" s="1"/>
  <c r="I25" s="1"/>
  <c r="S25" s="1"/>
  <c r="K23"/>
  <c r="M23" s="1"/>
  <c r="I23" s="1"/>
  <c r="S23" s="1"/>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3" i="6"/>
  <c r="E286" i="3"/>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8" i="1"/>
  <c r="AQ8"/>
  <c r="T8"/>
  <c r="R22" i="31"/>
  <c r="B21" s="1"/>
  <c r="B40" i="1"/>
  <c r="O19" i="43"/>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5" i="62"/>
  <c r="C10" i="15"/>
  <c r="M19" i="6"/>
  <c r="S21"/>
  <c r="L27"/>
  <c r="S22"/>
  <c r="M20"/>
  <c r="I20" s="1"/>
  <c r="G16" i="1"/>
  <c r="H10" i="40" s="1"/>
  <c r="U10" s="1"/>
  <c r="C27" i="67"/>
  <c r="L56"/>
  <c r="J57"/>
  <c r="J55" s="1"/>
  <c r="J58" s="1"/>
  <c r="Q50" s="1"/>
  <c r="F70"/>
  <c r="F51"/>
  <c r="F68"/>
  <c r="F71"/>
  <c r="F66"/>
  <c r="F50"/>
  <c r="M7"/>
  <c r="Q71"/>
  <c r="F64"/>
  <c r="C6"/>
  <c r="F65"/>
  <c r="F71" i="15"/>
  <c r="C27"/>
  <c r="Q71"/>
  <c r="F64"/>
  <c r="F51"/>
  <c r="F65"/>
  <c r="J57"/>
  <c r="J55" s="1"/>
  <c r="J58" s="1"/>
  <c r="Q50" s="1"/>
  <c r="F68"/>
  <c r="M7"/>
  <c r="F50"/>
  <c r="F66"/>
  <c r="C6"/>
  <c r="C10" i="67"/>
  <c r="AP7" i="1"/>
  <c r="M7"/>
  <c r="O7" s="1"/>
  <c r="Q16"/>
  <c r="F27" i="69" s="1"/>
  <c r="H16" i="1"/>
  <c r="K16"/>
  <c r="AB45" i="21"/>
  <c r="W32"/>
  <c r="AC32"/>
  <c r="AB9"/>
  <c r="U9"/>
  <c r="AA32"/>
  <c r="S32"/>
  <c r="W9"/>
  <c r="AC9"/>
  <c r="AB32"/>
  <c r="U32"/>
  <c r="AA10"/>
  <c r="S10"/>
  <c r="C36" i="69"/>
  <c r="M17" i="67"/>
  <c r="M17" i="15"/>
  <c r="F59" i="67"/>
  <c r="F31" i="15"/>
  <c r="F31" i="67"/>
  <c r="F59" i="15"/>
  <c r="C16"/>
  <c r="C17"/>
  <c r="C16" i="67"/>
  <c r="AQ7" i="1" l="1"/>
  <c r="C48" i="68"/>
  <c r="J33" i="21"/>
  <c r="F33"/>
  <c r="H33"/>
  <c r="K4" i="4"/>
  <c r="B46" i="48" s="1"/>
  <c r="B4" i="72" s="1"/>
  <c r="B73"/>
  <c r="B4" i="62"/>
  <c r="AR6" i="1"/>
  <c r="T7"/>
  <c r="AR7"/>
  <c r="L59" i="15"/>
  <c r="Q74" s="1"/>
  <c r="C30" i="11"/>
  <c r="E6" i="70"/>
  <c r="K27" i="6"/>
  <c r="A18" i="62"/>
  <c r="B64" i="72" s="1"/>
  <c r="D3" i="34"/>
  <c r="D3" i="21"/>
  <c r="D3" i="33"/>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T6" i="1"/>
  <c r="F7" i="36"/>
  <c r="S7" s="1"/>
  <c r="H7" i="37"/>
  <c r="U7" s="1"/>
  <c r="J10" i="15"/>
  <c r="H6" i="3"/>
  <c r="AC6"/>
  <c r="C5" i="15"/>
  <c r="C32" s="1"/>
  <c r="E6" i="6"/>
  <c r="D19" i="11"/>
  <c r="C19" s="1"/>
  <c r="C20" s="1"/>
  <c r="C17" i="4"/>
  <c r="B4" i="52" s="1"/>
  <c r="B43" i="72" s="1"/>
  <c r="D37" i="11"/>
  <c r="L18" i="9"/>
  <c r="D14" i="12"/>
  <c r="D17" s="1"/>
  <c r="C17" s="1"/>
  <c r="D3" i="37"/>
  <c r="M18" i="9"/>
  <c r="B118" s="1"/>
  <c r="B14" i="74" s="1"/>
  <c r="B1"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C29" i="43"/>
  <c r="T11"/>
  <c r="V11" s="1"/>
  <c r="T16"/>
  <c r="V16" s="1"/>
  <c r="T14"/>
  <c r="V14" s="1"/>
  <c r="T12"/>
  <c r="V12" s="1"/>
  <c r="T9"/>
  <c r="V9" s="1"/>
  <c r="T3"/>
  <c r="V3" s="1"/>
  <c r="T7"/>
  <c r="V7" s="1"/>
  <c r="T2"/>
  <c r="V2" s="1"/>
  <c r="T8"/>
  <c r="V8" s="1"/>
  <c r="T15"/>
  <c r="V15" s="1"/>
  <c r="T13"/>
  <c r="V13" s="1"/>
  <c r="T10"/>
  <c r="V10" s="1"/>
  <c r="T5"/>
  <c r="V5" s="1"/>
  <c r="T6"/>
  <c r="V6" s="1"/>
  <c r="T4"/>
  <c r="V4" s="1"/>
  <c r="F1" i="15"/>
  <c r="Q52"/>
  <c r="C39" i="43"/>
  <c r="E39" s="1"/>
  <c r="C37"/>
  <c r="G37" s="1"/>
  <c r="I37" s="1"/>
  <c r="H7" i="35"/>
  <c r="F7" i="37"/>
  <c r="AB10" i="40"/>
  <c r="S10" i="39"/>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3" i="15"/>
  <c r="J10" i="67"/>
  <c r="C53"/>
  <c r="C5"/>
  <c r="C32" s="1"/>
  <c r="F10" i="40"/>
  <c r="AA10" s="1"/>
  <c r="S20" i="6"/>
  <c r="I19"/>
  <c r="M27"/>
  <c r="C49" i="15"/>
  <c r="Q60"/>
  <c r="M16" i="1"/>
  <c r="N16" s="1"/>
  <c r="Q60" i="67"/>
  <c r="Q73"/>
  <c r="F27" i="11"/>
  <c r="Q61" i="67"/>
  <c r="Q74"/>
  <c r="C49"/>
  <c r="F1"/>
  <c r="Q52"/>
  <c r="AB33" i="21" l="1"/>
  <c r="U33"/>
  <c r="W33"/>
  <c r="AC33"/>
  <c r="AA33"/>
  <c r="S33"/>
  <c r="B71" i="72"/>
  <c r="Q61" i="15"/>
  <c r="E37" i="43"/>
  <c r="AA7" i="36"/>
  <c r="R36" s="1"/>
  <c r="E36" s="1"/>
  <c r="E40" s="1"/>
  <c r="F40" s="1"/>
  <c r="AC11" i="37"/>
  <c r="W11"/>
  <c r="AB7"/>
  <c r="T42" s="1"/>
  <c r="G42" s="1"/>
  <c r="G46" s="1"/>
  <c r="H46" s="1"/>
  <c r="W11" i="34"/>
  <c r="AC11"/>
  <c r="J5" i="67"/>
  <c r="J5" i="15"/>
  <c r="H20" i="6"/>
  <c r="AB7" i="36"/>
  <c r="T36" s="1"/>
  <c r="C38" i="15"/>
  <c r="E38" i="43"/>
  <c r="E6" i="3"/>
  <c r="C47" i="68"/>
  <c r="D45" s="1"/>
  <c r="AA10" i="39"/>
  <c r="D10" i="68"/>
  <c r="D10" i="11"/>
  <c r="C10" s="1"/>
  <c r="D20" i="12"/>
  <c r="C20" s="1"/>
  <c r="C18" s="1"/>
  <c r="M19" i="9"/>
  <c r="C118" s="1"/>
  <c r="C14" i="74" s="1"/>
  <c r="B2" s="1"/>
  <c r="D19" i="6"/>
  <c r="D25"/>
  <c r="D26"/>
  <c r="D15"/>
  <c r="C18" i="4"/>
  <c r="D22" i="6"/>
  <c r="D8"/>
  <c r="D21"/>
  <c r="D23"/>
  <c r="D24"/>
  <c r="D14"/>
  <c r="D20"/>
  <c r="R20" s="1"/>
  <c r="R7" i="1" s="1"/>
  <c r="D5" i="6"/>
  <c r="D6"/>
  <c r="D12"/>
  <c r="D9"/>
  <c r="D11"/>
  <c r="D10"/>
  <c r="D13"/>
  <c r="L19" i="9"/>
  <c r="D28" i="6"/>
  <c r="D29"/>
  <c r="E61" i="40"/>
  <c r="H25" i="6"/>
  <c r="R25" s="1"/>
  <c r="H22"/>
  <c r="H23"/>
  <c r="H21"/>
  <c r="H26"/>
  <c r="H24"/>
  <c r="C13" i="12"/>
  <c r="P16" i="1"/>
  <c r="C11" i="12" s="1"/>
  <c r="C26"/>
  <c r="D25" s="1"/>
  <c r="F34" i="11"/>
  <c r="C37" s="1"/>
  <c r="F11" i="12"/>
  <c r="F34" i="68"/>
  <c r="C36" s="1"/>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S10" i="40"/>
  <c r="C38" i="67"/>
  <c r="H19" i="6"/>
  <c r="S19"/>
  <c r="S27" s="1"/>
  <c r="I27"/>
  <c r="W10" i="39"/>
  <c r="AC10"/>
  <c r="U10"/>
  <c r="AB10"/>
  <c r="F50" i="11"/>
  <c r="F50" i="69"/>
  <c r="F50" i="68"/>
  <c r="C47" i="11"/>
  <c r="D45" s="1"/>
  <c r="C29"/>
  <c r="D27" s="1"/>
  <c r="C28"/>
  <c r="C27" s="1"/>
  <c r="L16" i="1"/>
  <c r="C34" i="11"/>
  <c r="C36" l="1"/>
  <c r="J24" i="67"/>
  <c r="J18"/>
  <c r="J24" i="15"/>
  <c r="J18"/>
  <c r="G36" i="36"/>
  <c r="R37"/>
  <c r="AB7" i="34"/>
  <c r="T49" s="1"/>
  <c r="G49" s="1"/>
  <c r="G53" s="1"/>
  <c r="H53" s="1"/>
  <c r="W7" i="21"/>
  <c r="AA7"/>
  <c r="R48" s="1"/>
  <c r="E48" s="1"/>
  <c r="E52" s="1"/>
  <c r="F52" s="1"/>
  <c r="R26" i="6"/>
  <c r="R23"/>
  <c r="R24"/>
  <c r="R21"/>
  <c r="R8" i="1" s="1"/>
  <c r="R22" i="6"/>
  <c r="D30"/>
  <c r="D16"/>
  <c r="A7" i="51"/>
  <c r="B7" i="72" s="1"/>
  <c r="C4" i="52"/>
  <c r="B45" i="72" s="1"/>
  <c r="A10" i="51"/>
  <c r="B9" i="72" s="1"/>
  <c r="D27" i="6"/>
  <c r="D19" i="68"/>
  <c r="C10"/>
  <c r="C12" i="12"/>
  <c r="C15"/>
  <c r="C34" i="68"/>
  <c r="U7" i="21"/>
  <c r="C22" i="11"/>
  <c r="C31" s="1"/>
  <c r="C26" i="43"/>
  <c r="C27"/>
  <c r="I52" i="21"/>
  <c r="J52" s="1"/>
  <c r="I40" i="36"/>
  <c r="J40" s="1"/>
  <c r="R43" i="37"/>
  <c r="E42"/>
  <c r="I47" s="1"/>
  <c r="J47" s="1"/>
  <c r="G43" i="35"/>
  <c r="H43" s="1"/>
  <c r="I42"/>
  <c r="J42" s="1"/>
  <c r="R39"/>
  <c r="E38"/>
  <c r="I43" s="1"/>
  <c r="J43" s="1"/>
  <c r="G47" i="37"/>
  <c r="H47" s="1"/>
  <c r="I46"/>
  <c r="J46" s="1"/>
  <c r="G63" i="40"/>
  <c r="F65"/>
  <c r="G48" i="21"/>
  <c r="R50" i="34"/>
  <c r="E49"/>
  <c r="G70" i="39"/>
  <c r="H27" i="6"/>
  <c r="R19"/>
  <c r="C35" i="11"/>
  <c r="C38"/>
  <c r="C14" i="12"/>
  <c r="E6" i="76"/>
  <c r="D31" i="6" l="1"/>
  <c r="I6" s="1"/>
  <c r="C11" i="39" s="1"/>
  <c r="E2" i="76"/>
  <c r="B2" i="43"/>
  <c r="R49" i="21"/>
  <c r="C48" s="1"/>
  <c r="G54" i="34"/>
  <c r="H54" s="1"/>
  <c r="I53" i="21"/>
  <c r="J53" s="1"/>
  <c r="C37" i="36"/>
  <c r="C36"/>
  <c r="G40"/>
  <c r="H40" s="1"/>
  <c r="E41"/>
  <c r="F41" s="1"/>
  <c r="G41"/>
  <c r="H41" s="1"/>
  <c r="C19" i="68"/>
  <c r="D37"/>
  <c r="C37" s="1"/>
  <c r="R27" i="6"/>
  <c r="R6" i="1"/>
  <c r="C16" i="12"/>
  <c r="C21" s="1"/>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C33" i="11"/>
  <c r="C42" s="1"/>
  <c r="F35" i="67"/>
  <c r="F35" i="15"/>
  <c r="M21"/>
  <c r="M21" i="67"/>
  <c r="B6" i="76"/>
  <c r="J11" i="39" l="1"/>
  <c r="H11"/>
  <c r="F11"/>
  <c r="I5" i="6"/>
  <c r="B2" i="76"/>
  <c r="B3" s="1"/>
  <c r="B3" i="43"/>
  <c r="C49" i="21"/>
  <c r="F63" i="67"/>
  <c r="C62" s="1"/>
  <c r="C34"/>
  <c r="J20"/>
  <c r="C24" i="68"/>
  <c r="J20" i="15"/>
  <c r="F63"/>
  <c r="C62" s="1"/>
  <c r="C34"/>
  <c r="R16" i="1"/>
  <c r="C22" i="12"/>
  <c r="C33" i="68"/>
  <c r="I63" i="40"/>
  <c r="H65"/>
  <c r="C39" i="11"/>
  <c r="C43" s="1"/>
  <c r="C41" s="1"/>
  <c r="I70" i="39"/>
  <c r="AA11" l="1"/>
  <c r="S11"/>
  <c r="W11"/>
  <c r="AC11"/>
  <c r="AB11"/>
  <c r="U11"/>
  <c r="C39" i="68"/>
  <c r="C43" s="1"/>
  <c r="C42"/>
  <c r="J63" i="40"/>
  <c r="I65"/>
  <c r="C46" i="11"/>
  <c r="C45" s="1"/>
  <c r="C49" s="1"/>
  <c r="C51" s="1"/>
  <c r="C52" s="1"/>
  <c r="B2" s="1"/>
  <c r="B3" s="1"/>
  <c r="J70" i="39"/>
  <c r="C41" i="68" l="1"/>
  <c r="C46"/>
  <c r="C45" s="1"/>
  <c r="K63" i="40"/>
  <c r="J65"/>
  <c r="K70" i="39"/>
  <c r="C56" i="11"/>
  <c r="C57" s="1"/>
  <c r="C49" i="68" l="1"/>
  <c r="C51" s="1"/>
  <c r="L63" i="40"/>
  <c r="K65"/>
  <c r="L70" i="39"/>
  <c r="E2" i="70"/>
  <c r="C34" i="69"/>
  <c r="C17" i="67"/>
  <c r="M63" i="40" l="1"/>
  <c r="L65"/>
  <c r="M70" i="39"/>
  <c r="C35" i="69"/>
  <c r="C38"/>
  <c r="D10"/>
  <c r="N63" i="40" l="1"/>
  <c r="M65"/>
  <c r="O70" i="39"/>
  <c r="N70"/>
  <c r="D19" i="69"/>
  <c r="C10"/>
  <c r="C8" s="1"/>
  <c r="O63" i="40" l="1"/>
  <c r="O65" s="1"/>
  <c r="N65"/>
  <c r="C19" i="69"/>
  <c r="C24" s="1"/>
  <c r="D37"/>
  <c r="C37" s="1"/>
  <c r="C33" s="1"/>
  <c r="C14" i="67"/>
  <c r="F7" i="40" l="1"/>
  <c r="H7"/>
  <c r="J7"/>
  <c r="C15" i="67"/>
  <c r="C18"/>
  <c r="C42" i="69"/>
  <c r="C39"/>
  <c r="C43" s="1"/>
  <c r="W7" i="40" l="1"/>
  <c r="AC7"/>
  <c r="V42" s="1"/>
  <c r="I42" s="1"/>
  <c r="AB7"/>
  <c r="T42" s="1"/>
  <c r="G42" s="1"/>
  <c r="U7"/>
  <c r="AA7"/>
  <c r="R42" s="1"/>
  <c r="S7"/>
  <c r="C19" i="67"/>
  <c r="C46" i="69"/>
  <c r="C45" s="1"/>
  <c r="C41"/>
  <c r="C20" i="67" l="1"/>
  <c r="C23" s="1"/>
  <c r="C49" i="69"/>
  <c r="C51" s="1"/>
  <c r="I46" i="40"/>
  <c r="J46" s="1"/>
  <c r="E42"/>
  <c r="I47" s="1"/>
  <c r="J47" s="1"/>
  <c r="R43"/>
  <c r="G47"/>
  <c r="H47" s="1"/>
  <c r="G46"/>
  <c r="H46" s="1"/>
  <c r="C26" i="67" l="1"/>
  <c r="C29" s="1"/>
  <c r="J59" s="1"/>
  <c r="J60" s="1"/>
  <c r="C42" i="40"/>
  <c r="C43"/>
  <c r="E46"/>
  <c r="F46" s="1"/>
  <c r="E47"/>
  <c r="F47" s="1"/>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S16" i="1"/>
  <c r="C64" i="67" l="1"/>
  <c r="C56"/>
  <c r="C65" s="1"/>
  <c r="J22"/>
  <c r="J16" s="1"/>
  <c r="J25" s="1"/>
  <c r="C75"/>
  <c r="C37"/>
  <c r="C30" s="1"/>
  <c r="C39" s="1"/>
  <c r="C48"/>
  <c r="C60" s="1"/>
  <c r="AE7" i="1"/>
  <c r="C14" i="15"/>
  <c r="L51" i="67"/>
  <c r="L5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AE6"/>
  <c r="L51" i="15"/>
  <c r="C66" l="1"/>
  <c r="C60"/>
  <c r="C59" s="1"/>
  <c r="AG6" i="1"/>
  <c r="C80" i="15"/>
  <c r="C79" s="1"/>
  <c r="C65"/>
  <c r="Q68"/>
  <c r="L57"/>
  <c r="L60" s="1"/>
  <c r="Q67"/>
  <c r="F41" i="67"/>
  <c r="M27"/>
  <c r="M27" i="15"/>
  <c r="F41"/>
  <c r="J26" l="1"/>
  <c r="J29" s="1"/>
  <c r="J26" i="67"/>
  <c r="J29" s="1"/>
  <c r="C58" i="15"/>
  <c r="C67" s="1"/>
  <c r="F69"/>
  <c r="C40"/>
  <c r="C43" s="1"/>
  <c r="L46"/>
  <c r="Q57"/>
  <c r="Q66"/>
  <c r="F69" i="67"/>
  <c r="C68" s="1"/>
  <c r="C71" s="1"/>
  <c r="C40"/>
  <c r="C83" s="1"/>
  <c r="C82" s="1"/>
  <c r="C68" i="15" l="1"/>
  <c r="C71" s="1"/>
  <c r="C83"/>
  <c r="C82" s="1"/>
  <c r="Q65"/>
  <c r="Q75" s="1"/>
  <c r="Q47"/>
  <c r="Q53" s="1"/>
  <c r="Q56"/>
  <c r="Q62" s="1"/>
  <c r="B2"/>
  <c r="B3" s="1"/>
  <c r="C43" i="67"/>
  <c r="C45"/>
  <c r="C46" s="1"/>
  <c r="Q65"/>
  <c r="Q75" s="1"/>
  <c r="Q56"/>
  <c r="Q62" s="1"/>
  <c r="Q47"/>
  <c r="Q53" s="1"/>
  <c r="D2"/>
  <c r="B2" s="1"/>
  <c r="AO8" i="1"/>
  <c r="E2" i="69"/>
  <c r="AO6" i="1"/>
  <c r="AO7"/>
  <c r="B8" i="70" l="1"/>
  <c r="B7"/>
  <c r="B6"/>
  <c r="C46" i="15"/>
  <c r="B3" i="67"/>
  <c r="E2" i="68"/>
  <c r="F20" i="31"/>
  <c r="D2" i="35"/>
  <c r="D2" i="37"/>
  <c r="D2" i="21"/>
  <c r="D2" i="34"/>
  <c r="D2" i="33"/>
  <c r="D2" i="36"/>
  <c r="B20" i="31" l="1"/>
  <c r="B2" i="36"/>
  <c r="B3" s="1"/>
  <c r="B2" i="35"/>
  <c r="B3" s="1"/>
  <c r="B2" i="37"/>
  <c r="B3" s="1"/>
  <c r="B2" i="34"/>
  <c r="B3" s="1"/>
  <c r="B2" i="21"/>
  <c r="B2" i="70"/>
  <c r="B3" s="1"/>
  <c r="B3" i="21" l="1"/>
  <c r="C8" i="12"/>
  <c r="C4" s="1"/>
  <c r="C31" l="1"/>
  <c r="C23"/>
  <c r="C30" l="1"/>
  <c r="C28" s="1"/>
  <c r="C27"/>
  <c r="C25" s="1"/>
  <c r="H109" i="9"/>
  <c r="C32" i="12" l="1"/>
  <c r="B2" s="1"/>
  <c r="H110" i="9"/>
  <c r="D18" i="53" s="1"/>
  <c r="B35" i="72" s="1"/>
  <c r="D124" i="9"/>
  <c r="D16" i="53"/>
  <c r="B34" i="72" s="1"/>
  <c r="D19" i="9"/>
  <c r="D102" l="1"/>
  <c r="D21"/>
  <c r="B3" i="12"/>
  <c r="D10" i="52"/>
  <c r="H14" i="74"/>
  <c r="D17" i="53"/>
  <c r="B36" i="72" s="1"/>
  <c r="D125" i="9"/>
  <c r="D11" i="52" s="1"/>
  <c r="D20" i="9"/>
  <c r="D103" l="1"/>
  <c r="B7" i="74"/>
  <c r="D7" s="1"/>
  <c r="C7" l="1"/>
  <c r="J7" i="33" l="1"/>
  <c r="W7" s="1"/>
  <c r="F7"/>
  <c r="S7" s="1"/>
  <c r="H7"/>
  <c r="AB7" s="1"/>
  <c r="T48" s="1"/>
  <c r="G48" s="1"/>
  <c r="G52" l="1"/>
  <c r="H52" s="1"/>
  <c r="AA7"/>
  <c r="R48" s="1"/>
  <c r="U7"/>
  <c r="AC7"/>
  <c r="V48" s="1"/>
  <c r="I48" s="1"/>
  <c r="I52" l="1"/>
  <c r="J52" s="1"/>
  <c r="R49"/>
  <c r="E48"/>
  <c r="G53"/>
  <c r="H53" s="1"/>
  <c r="E53" l="1"/>
  <c r="F53" s="1"/>
  <c r="E52"/>
  <c r="F52" s="1"/>
  <c r="I53"/>
  <c r="J53" s="1"/>
  <c r="C48"/>
  <c r="C49"/>
  <c r="B2" s="1"/>
  <c r="B3"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F57" s="1"/>
  <c r="B63"/>
  <c r="F63" s="1"/>
  <c r="B62"/>
  <c r="F62" s="1"/>
  <c r="F66" l="1"/>
  <c r="B2" s="1"/>
  <c r="C6" i="69" s="1"/>
  <c r="C7" l="1"/>
  <c r="C5" s="1"/>
  <c r="B3" i="39"/>
  <c r="C6" i="68"/>
  <c r="C23" i="69" l="1"/>
  <c r="C20"/>
  <c r="C25" s="1"/>
  <c r="C7" i="68"/>
  <c r="C5" s="1"/>
  <c r="C28" i="69" l="1"/>
  <c r="C27" s="1"/>
  <c r="C22"/>
  <c r="C23" i="68"/>
  <c r="C20"/>
  <c r="H112" i="9"/>
  <c r="D21" i="53" s="1"/>
  <c r="B39" i="72" s="1"/>
  <c r="H111" i="9"/>
  <c r="D126" s="1"/>
  <c r="D19" i="53"/>
  <c r="D59" i="9"/>
  <c r="M55"/>
  <c r="C31" i="69" l="1"/>
  <c r="C52" s="1"/>
  <c r="C57" s="1"/>
  <c r="C56" s="1"/>
  <c r="C28" i="68"/>
  <c r="C27" s="1"/>
  <c r="C25"/>
  <c r="C22" s="1"/>
  <c r="B38" i="72"/>
  <c r="D20" i="53"/>
  <c r="B40" i="72" s="1"/>
  <c r="I14" i="74"/>
  <c r="B8" s="1"/>
  <c r="D127" i="9"/>
  <c r="D13" i="52" s="1"/>
  <c r="D12"/>
  <c r="B2" i="69" l="1"/>
  <c r="B3" s="1"/>
  <c r="C31" i="68"/>
  <c r="C52" s="1"/>
  <c r="C57" s="1"/>
  <c r="C56" s="1"/>
  <c r="D8" i="74"/>
  <c r="C8"/>
  <c r="B2" i="68" l="1"/>
  <c r="C19" i="9"/>
  <c r="B3" i="68" l="1"/>
  <c r="C21" i="9"/>
  <c r="D22"/>
  <c r="C102"/>
  <c r="G19"/>
  <c r="C32" s="1"/>
  <c r="D35"/>
  <c r="C20"/>
  <c r="D34"/>
  <c r="C103" l="1"/>
  <c r="G20"/>
  <c r="G21"/>
  <c r="J22" s="1"/>
  <c r="C35"/>
  <c r="F118" s="1"/>
  <c r="H118"/>
  <c r="C104" l="1"/>
  <c r="I118"/>
  <c r="D14" i="74"/>
  <c r="H101" i="9"/>
  <c r="H119"/>
  <c r="H5" i="52" s="1"/>
  <c r="H4"/>
  <c r="G118" i="9"/>
  <c r="G4" i="52" s="1"/>
  <c r="F4"/>
  <c r="F119" i="9"/>
  <c r="F5" i="52" s="1"/>
  <c r="C34" i="9"/>
  <c r="D118" s="1"/>
  <c r="B53" i="72" l="1"/>
  <c r="B52"/>
  <c r="B51"/>
  <c r="B5" i="74"/>
  <c r="E14"/>
  <c r="F14"/>
  <c r="D119" i="9"/>
  <c r="D5" i="52" s="1"/>
  <c r="D4"/>
  <c r="M48" i="9"/>
  <c r="H107"/>
  <c r="M49" s="1"/>
  <c r="D45"/>
  <c r="D5" i="53"/>
  <c r="C105" i="9"/>
  <c r="I4" i="52"/>
  <c r="H102" i="9"/>
  <c r="D7" i="53" s="1"/>
  <c r="E118" i="9"/>
  <c r="E4" i="52" s="1"/>
  <c r="B47" i="72" l="1"/>
  <c r="B48"/>
  <c r="B21"/>
  <c r="B49"/>
  <c r="L68" i="9"/>
  <c r="M68" s="1"/>
  <c r="L66"/>
  <c r="M66" s="1"/>
  <c r="L63"/>
  <c r="M63" s="1"/>
  <c r="L65"/>
  <c r="M65" s="1"/>
  <c r="L64"/>
  <c r="M64" s="1"/>
  <c r="L67"/>
  <c r="M67" s="1"/>
  <c r="B20" i="72"/>
  <c r="D6" i="53"/>
  <c r="H108" i="9"/>
  <c r="D15" i="53" s="1"/>
  <c r="D122" i="9"/>
  <c r="D13" i="53"/>
  <c r="D5" i="74"/>
  <c r="C5"/>
  <c r="D53" i="9"/>
  <c r="C93"/>
  <c r="C86" s="1"/>
  <c r="C78"/>
  <c r="C73" s="1"/>
  <c r="C72"/>
  <c r="C64"/>
  <c r="C63" s="1"/>
  <c r="C67" s="1"/>
  <c r="C68" s="1"/>
  <c r="D54" s="1"/>
  <c r="D52"/>
  <c r="C85"/>
  <c r="D55"/>
  <c r="M53" s="1"/>
  <c r="AD3" i="71"/>
  <c r="P21" i="43" s="1"/>
  <c r="B31" i="72" l="1"/>
  <c r="B22"/>
  <c r="M69" i="9"/>
  <c r="N69" s="1"/>
  <c r="C79"/>
  <c r="C80" s="1"/>
  <c r="E80" s="1"/>
  <c r="E81" s="1"/>
  <c r="D14" i="53"/>
  <c r="B30" i="72"/>
  <c r="D8" i="52"/>
  <c r="D123" i="9"/>
  <c r="D9" i="52" s="1"/>
  <c r="G14" i="74"/>
  <c r="B6" s="1"/>
  <c r="C95" i="9"/>
  <c r="P22" i="43"/>
  <c r="P23"/>
  <c r="B71" i="39" s="1"/>
  <c r="P24" i="43"/>
  <c r="B66" i="40" s="1"/>
  <c r="P25" i="43"/>
  <c r="B32" i="72" l="1"/>
  <c r="D6" i="74"/>
  <c r="C6"/>
  <c r="C96" i="9"/>
  <c r="E96" s="1"/>
  <c r="E97" s="1"/>
  <c r="C81"/>
  <c r="C97" l="1"/>
  <c r="D58" s="1"/>
  <c r="D56" s="1"/>
  <c r="M54" s="1"/>
  <c r="N57" s="1"/>
  <c r="N58" s="1"/>
  <c r="P57" l="1"/>
  <c r="N59"/>
  <c r="N60" s="1"/>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<sst xmlns="http://schemas.openxmlformats.org/spreadsheetml/2006/main" count="7627" uniqueCount="3192">
  <si>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</si>
  <si>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</si>
  <si>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</si>
  <si>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</si>
  <si>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</si>
  <si>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</si>
  <si>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</si>
  <si>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</si>
  <si>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</si>
  <si>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</si>
  <si>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</si>
  <si>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</si>
  <si>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</si>
  <si>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</si>
  <si>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</si>
  <si>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</si>
  <si>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</si>
  <si>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</si>
  <si>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</si>
  <si>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</si>
  <si>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</si>
  <si>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</si>
  <si>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</si>
  <si>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</si>
  <si>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</si>
  <si>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</si>
  <si>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</si>
  <si>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</si>
  <si>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</si>
  <si>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</si>
  <si>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</si>
  <si>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</si>
  <si>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</si>
  <si>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</si>
  <si>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</si>
  <si>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</si>
  <si>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</si>
  <si>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</si>
  <si>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</si>
  <si>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</si>
  <si>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</si>
  <si>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</si>
  <si>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</si>
  <si>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</si>
  <si>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</si>
  <si>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</si>
  <si>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</si>
  <si>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</si>
  <si>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</si>
  <si>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</si>
  <si>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</si>
  <si>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</si>
  <si>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</si>
  <si>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</si>
  <si>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</si>
  <si>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</si>
  <si>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</si>
  <si>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</si>
  <si>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</si>
  <si>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</si>
  <si>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</si>
  <si>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</si>
  <si>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</si>
  <si>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</si>
  <si>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</si>
  <si>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</si>
  <si>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</si>
  <si>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</si>
  <si>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</si>
  <si>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</si>
  <si>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</si>
  <si>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</si>
  <si>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</si>
  <si>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</si>
  <si>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</si>
  <si>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</si>
  <si>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</si>
  <si>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</si>
  <si>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</si>
  <si>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</si>
  <si>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</si>
  <si>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</si>
  <si>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</si>
  <si>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</si>
  <si>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</si>
  <si>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</si>
  <si>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</si>
  <si>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</si>
  <si>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</si>
  <si>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</si>
  <si>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</si>
  <si>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</si>
  <si>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</si>
  <si>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</si>
  <si>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</si>
  <si>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</si>
  <si>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</si>
  <si>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</si>
  <si>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</si>
  <si>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</si>
  <si>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</si>
  <si>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</si>
  <si>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</si>
  <si>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</si>
  <si>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</si>
  <si>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</si>
  <si>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</si>
  <si>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</si>
  <si>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</si>
  <si>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</si>
  <si>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</si>
  <si>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</si>
  <si>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</si>
  <si>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</si>
  <si>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</si>
  <si>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</si>
  <si>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</si>
  <si>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</si>
  <si>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</si>
  <si>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</si>
  <si>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</si>
  <si>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</si>
  <si>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</si>
  <si>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</si>
  <si>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</si>
  <si>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</si>
  <si>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</si>
  <si>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</si>
  <si>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</si>
  <si>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</si>
  <si>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</si>
  <si>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</si>
  <si>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</si>
  <si>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</si>
  <si>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</si>
  <si>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</si>
  <si>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</si>
  <si>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</si>
  <si>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</si>
  <si>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</si>
  <si>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</si>
  <si>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</si>
  <si>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</si>
  <si>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</si>
  <si>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</si>
  <si>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</si>
  <si>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</si>
  <si>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</si>
  <si>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</si>
  <si>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</si>
  <si>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</si>
  <si>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</si>
  <si>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</si>
  <si>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</si>
  <si>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</si>
  <si>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</si>
  <si>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</si>
  <si>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</si>
  <si>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</si>
  <si>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</si>
  <si>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</si>
  <si>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</si>
  <si>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</si>
  <si>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</si>
  <si>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</si>
  <si>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</si>
  <si>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</si>
  <si>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</si>
  <si>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</si>
  <si>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</si>
  <si>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</si>
  <si>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</si>
  <si>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</si>
  <si>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</si>
  <si>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</si>
  <si>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</si>
  <si>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</si>
  <si>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</si>
  <si>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</si>
  <si>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</si>
  <si>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</si>
  <si>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</si>
  <si>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</si>
  <si>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</si>
  <si>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</si>
  <si>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</si>
  <si>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</si>
  <si>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</si>
  <si>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</si>
  <si>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</si>
  <si>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</si>
  <si>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</si>
  <si>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</si>
  <si>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</si>
  <si>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</si>
  <si>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</si>
  <si>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</si>
  <si>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</si>
  <si>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</si>
  <si>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</si>
  <si>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</si>
  <si>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</si>
  <si>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</si>
  <si>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</si>
  <si>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</si>
  <si>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</si>
  <si>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</si>
  <si>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</si>
  <si>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</si>
  <si>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</si>
  <si>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</si>
  <si>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</si>
  <si>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</si>
  <si>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</si>
  <si>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</si>
  <si>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</si>
  <si>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</si>
  <si>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</si>
  <si>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</si>
  <si>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</si>
  <si>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</si>
  <si>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</si>
  <si>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</si>
  <si>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</si>
  <si>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</si>
  <si>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</si>
  <si>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</si>
  <si>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</si>
  <si>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</si>
  <si>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</si>
  <si>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</si>
  <si>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</si>
  <si>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</si>
  <si>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</si>
  <si>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</si>
  <si>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</si>
  <si>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</si>
  <si>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</si>
  <si>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</si>
  <si>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</si>
  <si>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</si>
  <si>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</si>
  <si>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</si>
  <si>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</si>
  <si>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</si>
  <si>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</si>
  <si>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</si>
  <si>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</si>
  <si>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</si>
  <si>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</si>
  <si>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</si>
  <si>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</si>
  <si>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</si>
  <si>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</si>
  <si>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</si>
  <si>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</si>
  <si>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</si>
  <si>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</si>
  <si>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</si>
  <si>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</si>
  <si>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</si>
  <si>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</si>
  <si>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</si>
  <si>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</si>
  <si>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</si>
  <si>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</si>
  <si>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</si>
  <si>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</si>
  <si>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</si>
  <si>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</si>
  <si>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</si>
  <si>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</si>
  <si>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</si>
  <si>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</si>
  <si>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</si>
  <si>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</si>
  <si>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</si>
  <si>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</si>
  <si>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</si>
  <si>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</si>
  <si>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</si>
  <si>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</si>
  <si>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</si>
  <si>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</si>
  <si>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</si>
  <si>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</si>
  <si>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</si>
  <si>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</si>
  <si>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</si>
  <si>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</si>
  <si>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</si>
  <si>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</si>
  <si>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</si>
  <si>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</si>
  <si>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</si>
  <si>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</si>
  <si>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</si>
  <si>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</si>
  <si>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</si>
  <si>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</si>
  <si>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</si>
  <si>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</si>
  <si>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</si>
  <si>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</si>
  <si>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</si>
  <si>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</si>
  <si>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</si>
  <si>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</si>
  <si>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</si>
  <si>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</si>
  <si>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</si>
  <si>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</si>
  <si>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</si>
  <si>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</si>
  <si>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</si>
  <si>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</si>
  <si>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</si>
  <si>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</si>
  <si>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</si>
  <si>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</si>
  <si>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</si>
  <si>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</si>
  <si>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</si>
  <si>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</si>
  <si>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</si>
  <si>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</si>
  <si>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</si>
  <si>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</si>
  <si>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</si>
  <si>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</si>
  <si>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</si>
  <si>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</si>
  <si>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</si>
  <si>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</si>
  <si>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</si>
  <si>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</si>
  <si>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</si>
  <si>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</si>
  <si>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</si>
  <si>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</si>
  <si>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</si>
  <si>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</si>
  <si>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</si>
  <si>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</si>
  <si>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</si>
  <si>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</si>
  <si>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</si>
  <si>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</si>
  <si>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</si>
  <si>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</si>
  <si>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</si>
  <si>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</si>
  <si>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</si>
  <si>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</si>
  <si>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</si>
  <si>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</si>
  <si>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</si>
  <si>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</si>
  <si>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</si>
  <si>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</si>
  <si>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</si>
  <si>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</si>
  <si>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</si>
  <si>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</si>
  <si>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</si>
  <si>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</si>
  <si>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</si>
  <si>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</si>
  <si>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</si>
  <si>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</si>
  <si>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</si>
  <si>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</si>
  <si>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</si>
  <si>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</si>
  <si>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</si>
  <si>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</si>
  <si>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</si>
  <si>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</si>
  <si>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</si>
  <si>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</si>
  <si>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</si>
  <si>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</si>
  <si>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</si>
  <si>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</si>
  <si>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</si>
  <si>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</si>
  <si>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</si>
  <si>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</si>
  <si>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</si>
  <si>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</si>
  <si>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</si>
  <si>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</si>
  <si>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</si>
  <si>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</si>
  <si>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</si>
  <si>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</si>
  <si>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</si>
  <si>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</si>
  <si>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</si>
  <si>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</si>
  <si>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</si>
  <si>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</si>
  <si>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</si>
  <si>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</si>
  <si>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</si>
  <si>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</si>
  <si>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</si>
  <si>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</si>
  <si>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</si>
  <si>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</si>
  <si>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</si>
  <si>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</si>
  <si>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</si>
  <si>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</si>
  <si>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</si>
  <si>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</si>
  <si>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</si>
  <si>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</si>
  <si>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</si>
  <si>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</si>
  <si>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</si>
  <si>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</si>
  <si>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</si>
  <si>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</si>
  <si>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</si>
  <si>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</si>
  <si>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</si>
  <si>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</si>
  <si>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</si>
  <si>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</si>
  <si>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</si>
  <si>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</si>
  <si>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</si>
  <si>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</si>
  <si>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</si>
  <si>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</si>
  <si>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</si>
  <si>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</si>
  <si>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</si>
  <si>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</si>
  <si>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</si>
  <si>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</si>
  <si>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</si>
  <si>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</si>
  <si>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</si>
  <si>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</si>
  <si>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</si>
  <si>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</si>
  <si>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</si>
  <si>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</si>
  <si>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</si>
  <si>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</si>
  <si>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</si>
  <si>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</si>
  <si>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</si>
  <si>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</si>
  <si>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</si>
  <si>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</si>
  <si>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</si>
  <si>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</si>
  <si>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</si>
  <si>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</si>
  <si>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</si>
  <si>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</si>
  <si>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</si>
  <si>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</si>
  <si>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</si>
  <si>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</si>
  <si>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</si>
  <si>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</si>
  <si>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</si>
  <si>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</si>
  <si>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</si>
  <si>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</si>
  <si>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</si>
  <si>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</si>
  <si>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</si>
  <si>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</si>
  <si>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</si>
  <si>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</si>
  <si>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</si>
  <si>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</si>
  <si>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</si>
  <si>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</si>
  <si>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</si>
  <si>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</si>
  <si>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</si>
  <si>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</si>
  <si>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</si>
  <si>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</si>
  <si>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</si>
  <si>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</si>
  <si>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</si>
  <si>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</si>
  <si>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</si>
  <si>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</si>
  <si>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</si>
  <si>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</si>
  <si>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</si>
  <si>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</si>
  <si>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</si>
  <si>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</si>
  <si>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</si>
  <si>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</si>
  <si>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</si>
  <si>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</si>
  <si>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</si>
  <si>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</si>
  <si>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</si>
  <si>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</si>
  <si>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</si>
  <si>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</si>
  <si>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</si>
  <si>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</si>
  <si>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</si>
  <si>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</si>
  <si>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</si>
  <si>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</si>
  <si>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</si>
  <si>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</si>
  <si>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</si>
  <si>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</si>
  <si>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</si>
  <si>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</si>
  <si>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</si>
  <si>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</si>
  <si>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</si>
  <si>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</si>
  <si>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</si>
  <si>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</si>
  <si>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</si>
  <si>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</si>
  <si>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</si>
  <si>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</si>
  <si>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</si>
  <si>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</si>
  <si>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</si>
  <si>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</si>
  <si>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</si>
  <si>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</si>
  <si>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</si>
  <si>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</si>
  <si>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</si>
  <si>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</si>
  <si>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</si>
  <si>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</si>
  <si>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</si>
  <si>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</si>
  <si>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</si>
  <si>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</si>
  <si>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</si>
  <si>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</si>
  <si>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</si>
  <si>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</si>
  <si>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</si>
  <si>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</si>
  <si>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</si>
  <si>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</si>
  <si>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</si>
  <si>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</si>
  <si>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</si>
  <si>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</si>
  <si>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</si>
  <si>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</si>
  <si>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</si>
  <si>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</si>
  <si>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</si>
  <si>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</si>
  <si>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</si>
  <si>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</si>
  <si>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</si>
  <si>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</si>
  <si>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</si>
  <si>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</si>
  <si>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</si>
  <si>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</si>
  <si>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</si>
  <si>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</si>
  <si>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</si>
  <si>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</si>
  <si>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</si>
  <si>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</si>
  <si>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</si>
  <si>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</si>
  <si>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</si>
  <si>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</si>
  <si>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</si>
  <si>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</si>
  <si>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</si>
  <si>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</si>
  <si>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</si>
  <si>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</si>
  <si>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</si>
  <si>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</si>
  <si>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</si>
  <si>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</si>
  <si>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</si>
  <si>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</si>
  <si>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</si>
  <si>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</si>
  <si>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</si>
  <si>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</si>
  <si>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</si>
  <si>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</si>
  <si>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</si>
  <si>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</si>
  <si>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</si>
  <si>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</si>
  <si>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</si>
  <si>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</si>
  <si>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</si>
  <si>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</si>
  <si>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</si>
  <si>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</si>
  <si>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</si>
  <si>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</si>
  <si>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</si>
  <si>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</si>
  <si>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</si>
  <si>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</si>
  <si>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</si>
  <si>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</si>
  <si>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</si>
  <si>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</si>
  <si>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</si>
  <si>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</si>
  <si>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</si>
  <si>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</si>
  <si>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</si>
  <si>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</si>
  <si>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</si>
  <si>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</si>
  <si>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</si>
  <si>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</si>
  <si>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</si>
  <si>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</si>
  <si>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</si>
  <si>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</si>
  <si>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</si>
  <si>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</si>
  <si>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</si>
  <si>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</si>
  <si>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</si>
  <si>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</si>
  <si>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</si>
  <si>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</si>
  <si>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</si>
  <si>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</si>
  <si>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</si>
  <si>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</si>
  <si>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</si>
  <si>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</si>
  <si>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</si>
  <si>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</si>
  <si>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</si>
  <si>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</si>
  <si>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</si>
  <si>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</si>
  <si>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</si>
  <si>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</si>
  <si>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</si>
  <si>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</si>
  <si>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</si>
  <si>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</si>
  <si>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</si>
  <si>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</si>
  <si>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</si>
  <si>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</si>
  <si>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</si>
  <si>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</si>
  <si>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</si>
  <si>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</si>
  <si>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</si>
  <si>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</si>
  <si>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</si>
  <si>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</si>
  <si>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</si>
  <si>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</si>
  <si>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</si>
  <si>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</si>
  <si>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</si>
  <si>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</si>
  <si>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</si>
  <si>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</si>
  <si>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</si>
  <si>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</si>
  <si>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</si>
  <si>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</si>
  <si>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</si>
  <si>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</si>
  <si>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</si>
  <si>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</si>
  <si>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</si>
  <si>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</si>
  <si>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</si>
  <si>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</si>
  <si>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</si>
  <si>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</si>
  <si>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</si>
  <si>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</si>
  <si>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</si>
  <si>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</si>
  <si>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</si>
  <si>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</si>
  <si>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</si>
  <si>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</si>
  <si>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</si>
  <si>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</si>
  <si>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</si>
  <si>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</si>
  <si>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</si>
  <si>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</si>
  <si>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</si>
  <si>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</si>
  <si>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</si>
  <si>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</si>
  <si>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</si>
  <si>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</si>
  <si>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</si>
  <si>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</si>
  <si>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</si>
  <si>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</si>
  <si>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</si>
  <si>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</si>
  <si>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</si>
  <si>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</si>
  <si>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</si>
  <si>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</si>
  <si>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</si>
  <si>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</si>
  <si>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</si>
  <si>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</si>
  <si>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</si>
  <si>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</si>
  <si>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</si>
  <si>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</si>
  <si>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</si>
  <si>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</si>
  <si>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</si>
  <si>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</si>
  <si>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</si>
  <si>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</si>
  <si>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</si>
  <si>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</si>
  <si>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</si>
  <si>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</si>
  <si>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</si>
  <si>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</si>
  <si>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</si>
  <si>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</si>
  <si>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</si>
  <si>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</si>
  <si>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</si>
  <si>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</si>
  <si>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</si>
  <si>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</si>
  <si>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</si>
  <si>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</si>
  <si>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</si>
  <si>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</si>
  <si>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</si>
  <si>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</si>
  <si>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</si>
  <si>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</si>
  <si>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</si>
  <si>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</si>
  <si>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</si>
  <si>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</si>
  <si>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</si>
  <si>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</si>
  <si>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</si>
  <si>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</si>
  <si>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</si>
  <si>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</si>
  <si>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</si>
  <si>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</si>
  <si>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</si>
  <si>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</si>
  <si>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</si>
  <si>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</si>
  <si>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</si>
  <si>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</si>
  <si>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</si>
  <si>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</si>
  <si>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</si>
  <si>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</si>
  <si>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</si>
  <si>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</si>
  <si>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</si>
  <si>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</si>
  <si>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</si>
  <si>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</si>
  <si>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</si>
  <si>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</si>
  <si>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</si>
  <si>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</si>
  <si>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</si>
  <si>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</si>
  <si>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</si>
  <si>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</si>
  <si>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</si>
  <si>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</si>
  <si>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</si>
  <si>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</si>
  <si>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</si>
  <si>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</si>
  <si>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</si>
  <si>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</si>
  <si>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</si>
  <si>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</si>
  <si>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</si>
  <si>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</si>
  <si>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</si>
  <si>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</si>
  <si>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</si>
  <si>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</si>
  <si>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</si>
  <si>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</si>
  <si>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</si>
  <si>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</si>
  <si>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</si>
  <si>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</si>
  <si>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</si>
  <si>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</si>
  <si>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</si>
  <si>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</si>
  <si>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</si>
  <si>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</si>
  <si>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</si>
  <si>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</si>
  <si>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</si>
  <si>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</si>
  <si>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</si>
  <si>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</si>
  <si>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</si>
  <si>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</si>
  <si>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</si>
  <si>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</si>
  <si>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</si>
  <si>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</si>
  <si>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</si>
  <si>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</si>
  <si>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</si>
  <si>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</si>
  <si>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</si>
  <si>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</si>
  <si>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</si>
  <si>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</si>
  <si>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</si>
  <si>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</si>
  <si>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</si>
  <si>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</si>
  <si>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</si>
  <si>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</si>
  <si>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</si>
  <si>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</si>
  <si>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</si>
  <si>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</si>
  <si>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</si>
  <si>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</si>
  <si>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</si>
  <si>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</si>
  <si>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</si>
  <si>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</si>
  <si>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</si>
  <si>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</si>
  <si>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</si>
  <si>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</si>
  <si>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</si>
  <si>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</si>
  <si>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</si>
  <si>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</si>
  <si>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</si>
  <si>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</si>
  <si>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</si>
  <si>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</si>
  <si>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</si>
  <si>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</si>
  <si>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</si>
  <si>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</si>
  <si>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</si>
  <si>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</si>
  <si>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</si>
  <si>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</si>
  <si>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</si>
  <si>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</si>
  <si>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</si>
  <si>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</si>
  <si>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</si>
  <si>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</si>
  <si>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</si>
  <si>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</si>
  <si>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</si>
  <si>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</si>
  <si>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</si>
  <si>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</si>
  <si>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</si>
  <si>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</si>
  <si>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</si>
  <si>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</si>
  <si>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</si>
  <si>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</si>
  <si>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</si>
  <si>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</si>
  <si>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</si>
  <si>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</si>
  <si>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</si>
  <si>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</si>
  <si>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</si>
  <si>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</si>
  <si>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</si>
  <si>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</si>
  <si>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</si>
  <si>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</si>
  <si>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</si>
  <si>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</si>
  <si>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</si>
  <si>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</si>
  <si>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</si>
  <si>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</si>
  <si>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</si>
  <si>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</si>
  <si>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</si>
  <si>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</si>
  <si>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</si>
  <si>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</si>
  <si>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</si>
  <si>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</si>
  <si>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</si>
  <si>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</si>
  <si>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</si>
  <si>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</si>
  <si>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</si>
  <si>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</si>
  <si>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</si>
  <si>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</si>
  <si>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</si>
  <si>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</si>
  <si>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</si>
  <si>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</si>
  <si>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</si>
  <si>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</si>
  <si>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</si>
  <si>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</si>
  <si>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</si>
  <si>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</si>
  <si>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</si>
  <si>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</si>
  <si>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</si>
  <si>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</si>
  <si>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</si>
  <si>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</si>
  <si>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</si>
  <si>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</si>
  <si>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</si>
  <si>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</si>
  <si>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</si>
  <si>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</si>
  <si>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</si>
  <si>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</si>
  <si>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</si>
  <si>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</si>
  <si>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</si>
  <si>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</si>
  <si>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</si>
  <si>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</si>
  <si>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</si>
  <si>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</si>
  <si>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</si>
  <si>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</si>
  <si>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</si>
  <si>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</si>
  <si>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</si>
  <si>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</si>
  <si>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</si>
  <si>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</si>
  <si>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</si>
  <si>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</si>
  <si>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</si>
  <si>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</si>
  <si>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</si>
  <si>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</si>
  <si>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</si>
  <si>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</si>
  <si>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</si>
  <si>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</si>
  <si>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</si>
  <si>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</si>
  <si>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</si>
  <si>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</si>
  <si>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</si>
  <si>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</si>
  <si>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</si>
  <si>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</si>
  <si>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</si>
  <si>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</si>
  <si>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</si>
  <si>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</si>
  <si>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</si>
  <si>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</si>
  <si>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</si>
  <si>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</si>
  <si>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</si>
  <si>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</si>
  <si>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</si>
  <si>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</si>
  <si>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</si>
  <si>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</si>
  <si>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</si>
  <si>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</si>
  <si>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</si>
  <si>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</si>
  <si>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</si>
  <si>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</si>
  <si>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</si>
  <si>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</si>
  <si>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</si>
  <si>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</si>
  <si>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</si>
  <si>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</si>
  <si>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</si>
  <si>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</si>
  <si>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</si>
  <si>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</si>
  <si>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</si>
  <si>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</si>
  <si>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</si>
  <si>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</si>
  <si>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</si>
  <si>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</si>
  <si>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</si>
  <si>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</si>
  <si>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</si>
  <si>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</si>
  <si>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</si>
  <si>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</si>
  <si>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</si>
  <si>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</si>
  <si>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</si>
  <si>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</si>
  <si>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</si>
  <si>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</si>
  <si>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</si>
  <si>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</si>
  <si>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</si>
  <si>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</si>
  <si>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</si>
  <si>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</si>
  <si>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</si>
  <si>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</si>
  <si>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</si>
  <si>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</si>
  <si>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</si>
  <si>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</si>
  <si>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</si>
  <si>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</si>
  <si>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</si>
  <si>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</si>
  <si>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</si>
  <si>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</si>
  <si>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</si>
  <si>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</si>
  <si>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</si>
  <si>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</si>
  <si>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</si>
  <si>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</si>
  <si>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</si>
  <si>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</si>
  <si>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</si>
  <si>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</si>
  <si>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</si>
  <si>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</si>
  <si>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</si>
  <si>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</si>
  <si>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</si>
  <si>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</si>
  <si>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</si>
  <si>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</si>
  <si>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</si>
  <si>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</si>
  <si>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</si>
  <si>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</si>
  <si>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</si>
  <si>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</si>
  <si>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</si>
  <si>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</si>
  <si>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</si>
  <si>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</si>
  <si>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</si>
  <si>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</si>
  <si>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</si>
  <si>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</si>
  <si>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</si>
  <si>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</si>
  <si>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</si>
  <si>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</si>
  <si>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</si>
  <si>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</si>
  <si>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</si>
  <si>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</si>
  <si>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</si>
  <si>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</si>
  <si>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</si>
  <si>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</si>
  <si>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</si>
  <si>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</si>
  <si>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</si>
  <si>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</si>
  <si>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</si>
  <si>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</si>
  <si>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</si>
  <si>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</si>
  <si>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</si>
  <si>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</si>
  <si>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</si>
  <si>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</si>
  <si>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</si>
  <si>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</si>
  <si>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</si>
  <si>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</si>
  <si>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</si>
  <si>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</si>
  <si>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</si>
  <si>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</si>
  <si>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</si>
  <si>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</si>
  <si>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</si>
  <si>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</si>
  <si>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</si>
  <si>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</si>
  <si>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</si>
  <si>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</si>
  <si>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</si>
  <si>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</si>
  <si>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</si>
  <si>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</si>
  <si>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</si>
  <si>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</si>
  <si>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</si>
  <si>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</si>
  <si>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</si>
  <si>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</si>
  <si>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</si>
  <si>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</si>
  <si>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</si>
  <si>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</si>
  <si>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</si>
  <si>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</si>
  <si>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</si>
  <si>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</si>
  <si>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</si>
  <si>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</si>
  <si>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</si>
  <si>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</si>
  <si>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</si>
  <si>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</si>
  <si>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</si>
  <si>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</si>
  <si>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</si>
  <si>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</si>
  <si>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</si>
  <si>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</si>
  <si>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</si>
  <si>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</si>
  <si>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</si>
  <si>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</si>
  <si>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</si>
  <si>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</si>
  <si>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</si>
  <si>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</si>
  <si>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</si>
  <si>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</si>
  <si>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</si>
  <si>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</si>
  <si>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</si>
  <si>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</si>
  <si>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</si>
  <si>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</si>
  <si>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</si>
  <si>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</si>
  <si>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</si>
  <si>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</si>
  <si>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</si>
  <si>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</si>
  <si>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</si>
  <si>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</si>
  <si>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</si>
  <si>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</si>
  <si>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</si>
  <si>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</si>
  <si>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</si>
  <si>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</si>
  <si>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</si>
  <si>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</si>
  <si>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</si>
  <si>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</si>
  <si>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</si>
  <si>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</si>
  <si>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</si>
  <si>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</si>
  <si>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</si>
  <si>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</si>
  <si>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</si>
  <si>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</si>
  <si>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</si>
  <si>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</si>
  <si>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</si>
  <si>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</si>
  <si>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</si>
  <si>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</si>
  <si>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</si>
  <si>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</si>
  <si>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</si>
  <si>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</si>
  <si>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</si>
  <si>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</si>
  <si>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</si>
  <si>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</si>
  <si>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</si>
  <si>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</si>
  <si>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</si>
  <si>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</si>
  <si>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</si>
  <si>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</si>
  <si>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</si>
  <si>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</si>
  <si>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</si>
  <si>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</si>
  <si>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</si>
  <si>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</si>
  <si>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</si>
  <si>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</si>
  <si>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</si>
  <si>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</si>
  <si>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</si>
  <si>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</si>
  <si>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</si>
  <si>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</si>
  <si>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</si>
  <si>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</si>
  <si>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</si>
  <si>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</si>
  <si>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</si>
  <si>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</si>
  <si>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</si>
  <si>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</si>
  <si>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</si>
  <si>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</si>
  <si>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</si>
  <si>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</si>
  <si>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</si>
  <si>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</si>
  <si>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</si>
  <si>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</si>
  <si>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</si>
  <si>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</si>
  <si>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</si>
  <si>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</si>
  <si>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</si>
  <si>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</si>
  <si>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</si>
  <si>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</si>
  <si>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</si>
  <si>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</si>
  <si>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</si>
  <si>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</si>
  <si>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</si>
  <si>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</si>
  <si>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</si>
  <si>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</si>
  <si>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</si>
  <si>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</si>
  <si>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</si>
  <si>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</si>
  <si>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</si>
  <si>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</si>
  <si>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</si>
  <si>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</si>
  <si>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</si>
  <si>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</si>
  <si>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</si>
  <si>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</si>
  <si>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</si>
  <si>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</si>
  <si>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</si>
  <si>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</si>
  <si>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</si>
  <si>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</si>
  <si>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</si>
  <si>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</si>
  <si>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</si>
  <si>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</si>
  <si>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</si>
  <si>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</si>
  <si>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</si>
  <si>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</si>
  <si>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</si>
  <si>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</si>
  <si>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</si>
  <si>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</si>
  <si>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</si>
  <si>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</si>
  <si>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</si>
  <si>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</si>
  <si>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</si>
  <si>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</si>
  <si>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</si>
  <si>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</si>
  <si>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</si>
  <si>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</si>
  <si>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</si>
  <si>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</si>
  <si>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</si>
  <si>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</si>
  <si>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</si>
  <si>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</si>
  <si>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</si>
  <si>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</si>
  <si>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</si>
  <si>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</si>
  <si>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</si>
  <si>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</si>
  <si>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</si>
  <si>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</si>
  <si>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</si>
  <si>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</si>
  <si>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</si>
  <si>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</si>
  <si>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</si>
  <si>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</si>
  <si>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</si>
  <si>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</si>
  <si>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</si>
  <si>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</si>
  <si>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</si>
  <si>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</si>
  <si>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</si>
  <si>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</si>
  <si>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</si>
  <si>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</si>
  <si>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</si>
  <si>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</si>
  <si>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</si>
  <si>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</si>
  <si>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</si>
  <si>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</si>
  <si>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</si>
  <si>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</si>
  <si>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</si>
  <si>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</si>
  <si>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</si>
  <si>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</si>
  <si>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</si>
  <si>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</si>
  <si>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</si>
  <si>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</si>
  <si>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</si>
  <si>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</si>
  <si>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</si>
  <si>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</si>
  <si>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</si>
  <si>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</si>
  <si>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</si>
  <si>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</si>
  <si>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</si>
  <si>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</si>
  <si>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</si>
  <si>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</si>
  <si>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</si>
  <si>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</si>
  <si>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</si>
  <si>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</si>
  <si>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</si>
  <si>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</si>
  <si>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</si>
  <si>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</si>
  <si>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</si>
  <si>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</si>
  <si>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</si>
  <si>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</si>
  <si>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</si>
  <si>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</si>
  <si>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</si>
  <si>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</si>
  <si>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</si>
  <si>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</si>
  <si>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</si>
  <si>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</si>
  <si>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</si>
  <si>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</si>
  <si>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</si>
  <si>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</si>
  <si>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</si>
  <si>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</si>
  <si>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</si>
  <si>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</si>
  <si>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</si>
  <si>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</si>
  <si>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</si>
  <si>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</si>
  <si>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</si>
  <si>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</si>
  <si>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</si>
  <si>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</si>
  <si>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</si>
  <si>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</si>
  <si>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</si>
  <si>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</si>
  <si>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</si>
  <si>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</si>
  <si>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</si>
  <si>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</si>
  <si>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</si>
  <si>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</si>
  <si>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</si>
  <si>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</si>
  <si>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</si>
  <si>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</si>
  <si>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</si>
  <si>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</si>
  <si>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</si>
  <si>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</si>
  <si>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</si>
  <si>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</si>
  <si>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</si>
  <si>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</si>
  <si>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</si>
  <si>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</si>
  <si>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</si>
  <si>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</si>
  <si>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</si>
  <si>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</si>
  <si>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</si>
  <si>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</si>
  <si>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</si>
  <si>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</si>
  <si>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</si>
  <si>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</si>
  <si>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</si>
  <si>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</si>
  <si>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</si>
  <si>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</si>
  <si>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</si>
  <si>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</si>
  <si>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</si>
  <si>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</si>
  <si>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</si>
  <si>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</si>
  <si>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</si>
  <si>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</si>
  <si>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</si>
  <si>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</si>
  <si>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</si>
  <si>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</si>
  <si>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</si>
  <si>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</si>
  <si>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</si>
  <si>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</si>
  <si>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</si>
  <si>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</si>
  <si>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</si>
  <si>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</si>
  <si>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</si>
  <si>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</si>
  <si>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</si>
  <si>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</si>
  <si>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</si>
  <si>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</si>
  <si>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</si>
  <si>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</si>
  <si>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</si>
  <si>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</si>
  <si>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</si>
  <si>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</si>
  <si>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</si>
  <si>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</si>
  <si>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</si>
  <si>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</si>
  <si>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</si>
  <si>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</si>
  <si>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</si>
  <si>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</si>
  <si>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</si>
  <si>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</si>
  <si>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</si>
  <si>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</si>
  <si>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</si>
  <si>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</si>
  <si>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</si>
  <si>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</si>
  <si>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</si>
  <si>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</si>
  <si>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</si>
  <si>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</si>
  <si>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</si>
  <si>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</si>
  <si>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</si>
  <si>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</si>
  <si>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</si>
  <si>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</si>
  <si>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</si>
  <si>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</si>
  <si>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</si>
  <si>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</si>
  <si>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</si>
  <si>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</si>
  <si>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</si>
  <si>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</si>
  <si>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</si>
  <si>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</si>
  <si>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</si>
  <si>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</si>
  <si>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</si>
  <si>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</si>
  <si>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</si>
  <si>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</si>
  <si>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</si>
  <si>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</si>
  <si>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</si>
  <si>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</si>
  <si>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</si>
  <si>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</si>
  <si>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</si>
  <si>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</si>
  <si>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</si>
  <si>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</si>
  <si>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</si>
  <si>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</si>
  <si>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</si>
  <si>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</si>
  <si>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</si>
  <si>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</si>
  <si>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</si>
  <si>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</si>
  <si>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</si>
  <si>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</si>
  <si>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</si>
  <si>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</si>
  <si>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</si>
  <si>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</si>
  <si>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</si>
  <si>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</si>
  <si>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</si>
  <si>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</si>
  <si>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</si>
  <si>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</si>
  <si>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</si>
  <si>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</si>
  <si>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</si>
  <si>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</si>
  <si>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</si>
  <si>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</si>
  <si>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</si>
  <si>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</si>
  <si>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</si>
  <si>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</si>
  <si>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</si>
  <si>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</si>
  <si>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</si>
  <si>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</si>
  <si>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</si>
  <si>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</si>
  <si>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</si>
  <si>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</si>
  <si>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</si>
  <si>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</si>
  <si>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</si>
  <si>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</si>
  <si>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</si>
  <si>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</si>
  <si>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</si>
  <si>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</si>
  <si>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</si>
  <si>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</si>
  <si>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</si>
  <si>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</si>
  <si>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</si>
  <si>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</si>
  <si>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</si>
  <si>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</si>
  <si>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</si>
  <si>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</si>
  <si>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</si>
  <si>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</si>
  <si>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</si>
  <si>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</si>
  <si>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</si>
  <si>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</si>
  <si>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</si>
  <si>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</si>
  <si>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</si>
  <si>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</si>
  <si>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</si>
  <si>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</si>
  <si>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</si>
  <si>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</si>
  <si>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</si>
  <si>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</si>
  <si>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</si>
  <si>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</si>
  <si>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</si>
  <si>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</si>
  <si>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</si>
  <si>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</si>
  <si>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</si>
  <si>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</si>
  <si>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</si>
  <si>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</si>
  <si>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</si>
  <si>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</si>
  <si>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</si>
  <si>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</si>
  <si>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</si>
  <si>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</si>
  <si>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</si>
  <si>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</si>
  <si>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</si>
  <si>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</si>
  <si>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</si>
  <si>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</si>
  <si>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</si>
  <si>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</si>
  <si>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</si>
  <si>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</si>
  <si>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</si>
  <si>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</si>
  <si>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</si>
  <si>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</si>
  <si>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</si>
  <si>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</si>
  <si>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</si>
  <si>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</si>
  <si>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</si>
  <si>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</si>
  <si>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</si>
  <si>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</si>
  <si>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</si>
  <si>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</si>
  <si>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</si>
  <si>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</si>
  <si>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</si>
  <si>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</si>
  <si>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</si>
  <si>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</si>
  <si>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</si>
  <si>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</si>
  <si>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</si>
  <si>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</si>
  <si>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</si>
  <si>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</si>
  <si>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</si>
  <si>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</si>
  <si>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</si>
  <si>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</si>
  <si>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</si>
  <si>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</si>
  <si>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</si>
  <si>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</si>
  <si>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</si>
  <si>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</si>
  <si>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</si>
  <si>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</si>
  <si>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</si>
  <si>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</si>
  <si>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</si>
  <si>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</si>
  <si>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</si>
  <si>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</si>
  <si>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</si>
  <si>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</si>
  <si>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</si>
  <si>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</si>
  <si>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</si>
  <si>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</si>
  <si>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</si>
  <si>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</si>
  <si>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</si>
  <si>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</si>
  <si>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</si>
  <si>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</si>
  <si>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</si>
  <si>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</si>
  <si>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</si>
  <si>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</si>
  <si>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</si>
  <si>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</si>
  <si>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</si>
  <si>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</si>
  <si>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</si>
  <si>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</si>
  <si>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</si>
  <si>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</si>
  <si>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</si>
  <si>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</si>
  <si>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</si>
  <si>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</si>
  <si>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</si>
  <si>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</si>
  <si>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</si>
  <si>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</si>
  <si>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</si>
  <si>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</si>
  <si>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</si>
  <si>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</si>
  <si>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</si>
  <si>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</si>
  <si>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</si>
  <si>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</si>
  <si>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</si>
  <si>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</si>
  <si>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</si>
  <si>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</si>
  <si>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</si>
  <si>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</si>
  <si>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</si>
  <si>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</si>
  <si>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</si>
  <si>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</si>
  <si>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</si>
  <si>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</si>
  <si>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</si>
  <si>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</si>
  <si>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</si>
  <si>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</si>
  <si>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</si>
  <si>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</si>
  <si>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</si>
  <si>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</si>
  <si>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</si>
  <si>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</si>
  <si>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</si>
  <si>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</si>
  <si>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</si>
  <si>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</si>
  <si>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</si>
  <si>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</si>
  <si>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</si>
  <si>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</si>
  <si>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</si>
  <si>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</si>
  <si>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</si>
  <si>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</si>
  <si>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</si>
  <si>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</si>
  <si>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</si>
  <si>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</si>
  <si>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</si>
  <si>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</si>
  <si>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</si>
  <si>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</si>
  <si>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</si>
  <si>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</si>
  <si>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</si>
  <si>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</si>
  <si>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</si>
  <si>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</si>
  <si>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</si>
  <si>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</si>
  <si>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</si>
  <si>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</si>
  <si>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</si>
  <si>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</si>
  <si>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</si>
  <si>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</si>
  <si>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</si>
  <si>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</si>
  <si>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</si>
  <si>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</si>
  <si>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</si>
  <si>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</si>
  <si>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</si>
  <si>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</si>
  <si>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</si>
  <si>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</si>
  <si>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</si>
  <si>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</si>
  <si>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</si>
  <si>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</si>
  <si>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</si>
  <si>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</si>
  <si>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</si>
  <si>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</si>
  <si>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</si>
  <si>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</si>
  <si>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</si>
  <si>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</si>
  <si>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</si>
  <si>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</si>
  <si>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</si>
  <si>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</si>
  <si>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</si>
  <si>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</si>
  <si>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</si>
  <si>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</si>
  <si>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</si>
  <si>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</si>
  <si>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</si>
  <si>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</si>
  <si>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</si>
  <si>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</si>
  <si>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</si>
  <si>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</si>
  <si>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</si>
  <si>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</si>
  <si>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</si>
  <si>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</si>
  <si>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</si>
  <si>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</si>
  <si>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</si>
  <si>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</si>
  <si>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</si>
  <si>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</si>
  <si>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</si>
  <si>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</si>
  <si>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</si>
  <si>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</si>
  <si>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</si>
  <si>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</si>
  <si>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</si>
  <si>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</si>
  <si>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</si>
  <si>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</si>
  <si>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</si>
  <si>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</si>
  <si>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</si>
  <si>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</si>
  <si>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</si>
  <si>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</si>
  <si>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</si>
  <si>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</si>
  <si>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</si>
  <si>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</si>
  <si>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</si>
  <si>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</si>
  <si>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</si>
  <si>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</si>
  <si>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</si>
  <si>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</si>
  <si>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</si>
  <si>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</si>
  <si>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</si>
  <si>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</si>
  <si>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</si>
  <si>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</si>
  <si>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</si>
  <si>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</si>
  <si>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</si>
  <si>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</si>
  <si>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</si>
  <si>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</si>
  <si>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</si>
  <si>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</si>
  <si>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</si>
  <si>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</si>
  <si>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</si>
  <si>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</si>
  <si>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</si>
  <si>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</si>
  <si>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</si>
  <si>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</si>
  <si>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</si>
  <si>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</si>
  <si>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</si>
  <si>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</si>
  <si>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</si>
  <si>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</si>
  <si>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</si>
  <si>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</si>
  <si>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</si>
  <si>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</si>
  <si>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</si>
  <si>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</si>
  <si>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</si>
  <si>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</si>
  <si>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</si>
  <si>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</si>
  <si>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</si>
  <si>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</si>
  <si>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</si>
  <si>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</si>
  <si>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</si>
  <si>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</si>
  <si>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</si>
  <si>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</si>
  <si>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</si>
  <si>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</si>
  <si>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</si>
  <si>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</si>
  <si>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</si>
  <si>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</si>
  <si>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</si>
  <si>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</si>
  <si>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</si>
  <si>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</si>
  <si>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</si>
  <si>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</si>
  <si>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</si>
  <si>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</si>
  <si>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</si>
  <si>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</si>
  <si>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</si>
  <si>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</si>
  <si>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</si>
  <si>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</si>
  <si>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</si>
  <si>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</si>
  <si>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</si>
  <si>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</si>
  <si>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</si>
  <si>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</si>
  <si>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</si>
  <si>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</si>
  <si>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</si>
  <si>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</si>
  <si>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</si>
  <si>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</si>
  <si>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</si>
  <si>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</si>
  <si>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</si>
  <si>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</si>
  <si>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</si>
  <si>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</si>
  <si>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</si>
  <si>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</si>
  <si>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</si>
  <si>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</si>
  <si>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</si>
  <si>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</si>
  <si>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</si>
  <si>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</si>
  <si>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</si>
  <si>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</si>
  <si>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</si>
  <si>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</si>
  <si>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</si>
  <si>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</si>
  <si>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</si>
  <si>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</si>
  <si>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</si>
  <si>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</si>
  <si>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</si>
  <si>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</si>
  <si>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</si>
  <si>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</si>
  <si>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</si>
  <si>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</si>
  <si>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</si>
  <si>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</si>
  <si>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</si>
  <si>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</si>
  <si>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</si>
  <si>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</si>
  <si>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</si>
  <si>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</si>
  <si>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</si>
  <si>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</si>
  <si>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</si>
  <si>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</si>
  <si>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</si>
  <si>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</si>
  <si>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</si>
  <si>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</si>
  <si>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</si>
  <si>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</si>
  <si>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</si>
  <si>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</si>
  <si>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</si>
  <si>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</si>
  <si>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</si>
  <si>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</si>
  <si>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</si>
  <si>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</si>
  <si>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</si>
  <si>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</si>
  <si>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</si>
  <si>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</si>
  <si>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</si>
  <si>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</si>
  <si>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</si>
  <si>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</si>
  <si>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</si>
  <si>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</si>
  <si>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</si>
  <si>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</si>
  <si>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</si>
  <si>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</si>
  <si>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</si>
  <si>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</si>
  <si>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</si>
  <si>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</si>
  <si>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</si>
  <si>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</si>
  <si>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</si>
  <si>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</si>
  <si>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</si>
  <si>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</si>
  <si>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</si>
  <si>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</si>
  <si>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</si>
  <si>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</si>
  <si>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</si>
  <si>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</si>
  <si>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</si>
  <si>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</si>
  <si>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</si>
  <si>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</si>
  <si>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</si>
  <si>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</si>
  <si>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</si>
  <si>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</si>
  <si>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</si>
  <si>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</si>
  <si>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</si>
  <si>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</si>
  <si>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</si>
  <si>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</si>
  <si>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</si>
  <si>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</si>
  <si>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</si>
  <si>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</si>
  <si>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</si>
  <si>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</si>
  <si>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</si>
  <si>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</si>
  <si>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</si>
  <si>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</si>
  <si>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</si>
  <si>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</si>
  <si>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</si>
  <si>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</si>
  <si>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</si>
  <si>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</si>
  <si>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</si>
  <si>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</si>
  <si>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</si>
  <si>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</si>
  <si>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</si>
  <si>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</si>
  <si>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</si>
  <si>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</si>
  <si>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</si>
  <si>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</si>
  <si>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</si>
  <si>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</si>
  <si>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</si>
  <si>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</si>
  <si>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</si>
  <si>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</si>
  <si>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</si>
  <si>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</si>
  <si>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</si>
  <si>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</si>
  <si>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</si>
  <si>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</si>
  <si>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</si>
  <si>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</si>
  <si>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</si>
  <si>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</si>
  <si>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</si>
  <si>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</si>
  <si>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</si>
  <si>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</si>
  <si>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</si>
  <si>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</si>
  <si>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</si>
  <si>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</si>
  <si>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</si>
  <si>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</si>
  <si>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</si>
  <si>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</si>
  <si>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</si>
  <si>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</si>
  <si>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</si>
  <si>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</si>
  <si>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</si>
  <si>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</si>
  <si>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</si>
  <si>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</si>
  <si>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</si>
  <si>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</si>
  <si>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</si>
  <si>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</si>
  <si>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</si>
  <si>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</si>
  <si>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</si>
  <si>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</si>
  <si>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</si>
  <si>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</si>
  <si>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</si>
  <si>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</si>
  <si>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</si>
  <si>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</si>
  <si>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</si>
  <si>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</si>
  <si>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</si>
  <si>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</si>
  <si>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</si>
  <si>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</si>
  <si>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</si>
  <si>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</si>
  <si>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</si>
  <si>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</si>
  <si>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</si>
  <si>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</si>
  <si>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</si>
  <si>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</si>
  <si>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</si>
  <si>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</si>
  <si>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</si>
  <si>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</si>
  <si>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</si>
  <si>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</si>
  <si>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</si>
  <si>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</si>
  <si>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</si>
  <si>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</si>
  <si>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</si>
  <si>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</si>
  <si>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</si>
  <si>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</si>
  <si>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</si>
  <si>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</si>
  <si>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</si>
  <si>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</si>
  <si>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</si>
  <si>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</si>
  <si>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</si>
  <si>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</si>
  <si>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</si>
  <si>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</si>
  <si>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</si>
  <si>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</si>
  <si>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</si>
  <si>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</si>
  <si>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</si>
  <si>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</si>
  <si>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</si>
  <si>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</si>
  <si>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</si>
  <si>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</si>
  <si>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</si>
  <si>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</si>
  <si>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</si>
  <si>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</si>
  <si>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</si>
  <si>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</si>
  <si>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</si>
  <si>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</si>
  <si>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</si>
  <si>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</si>
  <si>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</si>
  <si>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</si>
  <si>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</si>
  <si>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</si>
  <si>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</si>
  <si>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</si>
  <si>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</si>
  <si>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</si>
  <si>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</si>
  <si>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</si>
  <si>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</si>
  <si>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</si>
  <si>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</si>
  <si>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</si>
  <si>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</si>
  <si>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</si>
  <si>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</si>
  <si>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</si>
  <si>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</si>
  <si>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</si>
  <si>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</si>
  <si>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</si>
  <si>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</si>
  <si>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</si>
  <si>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</si>
  <si>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</si>
  <si>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</si>
  <si>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</si>
  <si>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</si>
  <si>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</si>
  <si>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</si>
  <si>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</si>
  <si>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</si>
  <si>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</si>
  <si>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</si>
  <si>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</si>
  <si>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</si>
  <si>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</si>
  <si>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</si>
  <si>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</si>
  <si>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</si>
  <si>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</si>
  <si>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</si>
  <si>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</si>
  <si>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</si>
  <si>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</si>
  <si>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</si>
  <si>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</si>
  <si>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</si>
  <si>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</si>
  <si>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</si>
  <si>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</si>
  <si>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</si>
  <si>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</si>
  <si>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</si>
  <si>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</si>
  <si>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</si>
  <si>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</si>
  <si>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</si>
  <si>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</si>
  <si>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</si>
  <si>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</si>
  <si>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</si>
  <si>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</si>
  <si>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</si>
  <si>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</si>
  <si>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</si>
  <si>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</si>
  <si>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</si>
  <si>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</si>
  <si>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</si>
  <si>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</si>
  <si>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</si>
  <si>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</si>
  <si>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</si>
  <si>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</si>
  <si>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</si>
  <si>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</si>
  <si>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</si>
  <si>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</si>
  <si>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</si>
  <si>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</si>
  <si>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</si>
  <si>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</si>
  <si>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</si>
  <si>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</si>
  <si>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</si>
  <si>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</si>
  <si>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</si>
  <si>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</si>
  <si>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</si>
  <si>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</si>
  <si>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</si>
  <si>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</si>
  <si>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</si>
  <si>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</si>
  <si>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</si>
  <si>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</si>
  <si>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</si>
  <si>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</si>
  <si>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</si>
  <si>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</si>
  <si>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</si>
  <si>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</si>
  <si>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</si>
  <si>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</si>
  <si>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</si>
  <si>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</si>
  <si>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</si>
  <si>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</si>
  <si>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</si>
  <si>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</si>
  <si>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</si>
  <si>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</si>
  <si>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</si>
  <si>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</si>
  <si>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</si>
  <si>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</si>
  <si>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</si>
  <si>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</si>
  <si>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</si>
  <si>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</si>
  <si>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</si>
  <si>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</si>
  <si>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</si>
  <si>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</si>
  <si>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</si>
  <si>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</si>
  <si>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</si>
  <si>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</si>
  <si>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</si>
  <si>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</si>
  <si>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</si>
  <si>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</si>
  <si>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</si>
  <si>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</si>
  <si>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</si>
  <si>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</si>
  <si>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</si>
  <si>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</si>
  <si>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</si>
  <si>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</si>
  <si>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</si>
  <si>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</si>
  <si>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</si>
  <si>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</si>
  <si>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</si>
  <si>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</si>
  <si>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</si>
  <si>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</si>
  <si>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</si>
  <si>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</si>
  <si>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</si>
  <si>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</si>
  <si>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</si>
  <si>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</si>
  <si>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</si>
  <si>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</si>
  <si>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</si>
  <si>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</si>
  <si>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</si>
  <si>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</si>
  <si>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</si>
  <si>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</si>
  <si>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</si>
  <si>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</si>
  <si>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</si>
  <si>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</si>
  <si>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</si>
  <si>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</si>
  <si>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</si>
  <si>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</si>
  <si>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</si>
  <si>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</si>
  <si>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</si>
  <si>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</si>
  <si>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</si>
  <si>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</si>
  <si>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</si>
  <si>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</si>
  <si>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</si>
  <si>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</si>
  <si>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</si>
  <si>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</si>
  <si>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</si>
  <si>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</si>
  <si>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</si>
  <si>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</si>
  <si>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</si>
  <si>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</si>
  <si>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</si>
  <si>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</si>
  <si>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</si>
  <si>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</si>
  <si>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</si>
  <si>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</si>
  <si>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</si>
  <si>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</si>
  <si>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</si>
  <si>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</si>
  <si>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</si>
  <si>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</si>
  <si>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</si>
  <si>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</si>
  <si>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</si>
  <si>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</si>
  <si>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</si>
  <si>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</si>
  <si>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</si>
  <si>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</si>
  <si>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</si>
  <si>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</si>
  <si>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</si>
  <si>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</si>
  <si>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</si>
  <si>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</si>
  <si>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</si>
  <si>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</si>
  <si>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</si>
  <si>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</si>
  <si>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</si>
  <si>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</si>
  <si>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</si>
  <si>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</si>
  <si>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</si>
  <si>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</si>
  <si>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</si>
  <si>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</si>
  <si>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</si>
  <si>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</si>
  <si>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</si>
  <si>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</si>
  <si>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</si>
  <si>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</si>
  <si>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</si>
  <si>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</si>
  <si>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</si>
  <si>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</si>
  <si>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</si>
  <si>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</si>
  <si>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</si>
  <si>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</si>
  <si>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</si>
  <si>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</si>
  <si>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</si>
  <si>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</si>
  <si>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</si>
  <si>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</si>
  <si>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</si>
  <si>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</si>
  <si>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</si>
  <si>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</si>
  <si>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</si>
  <si>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</si>
  <si>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</si>
  <si>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</si>
  <si>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</si>
  <si>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</si>
  <si>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</si>
  <si>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</si>
  <si>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</si>
  <si>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</si>
  <si>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</si>
  <si>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</si>
  <si>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</si>
  <si>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</si>
  <si>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</si>
  <si>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</si>
  <si>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</si>
  <si>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</si>
  <si>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</si>
  <si>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</si>
  <si>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</si>
  <si>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</si>
  <si>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</si>
  <si>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</si>
  <si>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</si>
  <si>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</si>
  <si>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</si>
  <si>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</si>
  <si>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</si>
  <si>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</si>
  <si>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</si>
  <si>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</si>
  <si>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</si>
  <si>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</si>
  <si>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</si>
  <si>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</si>
  <si>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</si>
  <si>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</si>
  <si>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</si>
  <si>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</si>
  <si>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</si>
  <si>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</si>
  <si>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</si>
  <si>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</si>
  <si>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</si>
  <si>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</si>
  <si>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</si>
  <si>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</si>
  <si>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</si>
  <si>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</si>
  <si>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</si>
  <si>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</si>
  <si>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</si>
  <si>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</si>
  <si>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</si>
  <si>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</si>
  <si>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</si>
  <si>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</si>
  <si>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</si>
  <si>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</si>
  <si>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</si>
  <si>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</si>
  <si>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</si>
  <si>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</si>
  <si>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</si>
  <si>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</si>
  <si>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</si>
  <si>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</si>
  <si>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</si>
  <si>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</si>
  <si>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</si>
  <si>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</si>
  <si>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</si>
  <si>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</si>
  <si>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</si>
  <si>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</si>
  <si>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</si>
  <si>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</si>
  <si>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</si>
  <si>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</si>
  <si>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</si>
  <si>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</si>
  <si>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</si>
  <si>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</si>
  <si>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</si>
  <si>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</si>
  <si>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</si>
  <si>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</si>
  <si>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</si>
  <si>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</si>
  <si>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</si>
  <si>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</si>
  <si>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</si>
  <si>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</si>
  <si>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</si>
  <si>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</si>
  <si>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</si>
  <si>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</si>
  <si>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</si>
  <si>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</si>
  <si>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</si>
  <si>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</si>
  <si>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</si>
  <si>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</si>
  <si>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</si>
  <si>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</si>
  <si>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</si>
  <si>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</si>
  <si>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</si>
  <si>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</si>
  <si>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</si>
  <si>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</si>
  <si>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</si>
  <si>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</si>
  <si>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</si>
  <si>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</si>
  <si>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</si>
  <si>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</si>
  <si>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</si>
  <si>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</si>
  <si>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</si>
  <si>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</si>
  <si>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</si>
  <si>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</si>
  <si>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</si>
  <si>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</si>
  <si>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</si>
  <si>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</si>
  <si>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</si>
  <si>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</si>
  <si>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</si>
  <si>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</si>
  <si>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</si>
  <si>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</si>
  <si>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</si>
  <si>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</si>
  <si>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</si>
  <si>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</si>
  <si>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</si>
  <si>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</si>
  <si>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</si>
  <si>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</si>
  <si>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</si>
  <si>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</si>
  <si>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</si>
  <si>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</si>
  <si>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</si>
  <si>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</si>
  <si>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</si>
  <si>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</si>
  <si>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</si>
  <si>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</si>
  <si>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</si>
  <si>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</si>
  <si>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</si>
  <si>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</si>
  <si>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</si>
  <si>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</si>
  <si>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</si>
  <si>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</si>
  <si>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</si>
  <si>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</si>
  <si>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</si>
  <si>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</si>
  <si>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</si>
  <si>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</si>
  <si>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</si>
  <si>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</si>
  <si>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</si>
  <si>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</si>
  <si>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</si>
  <si>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</si>
  <si>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</si>
  <si>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</si>
  <si>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</si>
  <si>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</si>
  <si>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</si>
  <si>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</si>
  <si>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</si>
  <si>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</si>
  <si>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</si>
  <si>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</si>
  <si>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</si>
  <si>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</si>
  <si>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</si>
  <si>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</si>
  <si>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</si>
  <si>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</si>
  <si>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</si>
  <si>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</si>
  <si>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</si>
  <si>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</si>
  <si>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</si>
  <si>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</si>
  <si>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</si>
  <si>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</si>
  <si>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</si>
  <si>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</si>
  <si>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</si>
  <si>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</si>
  <si>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</si>
  <si>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</si>
  <si>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</si>
  <si>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</si>
  <si>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</si>
  <si>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</si>
  <si>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</si>
  <si>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</si>
  <si>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</si>
  <si>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</si>
  <si>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</si>
  <si>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</si>
  <si>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</si>
  <si>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</si>
  <si>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</si>
  <si>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</si>
  <si>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</si>
  <si>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</si>
  <si>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</si>
  <si>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</si>
  <si>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</si>
  <si>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</si>
  <si>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</si>
  <si>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</si>
  <si>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</si>
  <si>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</si>
  <si>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</si>
  <si>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</si>
  <si>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</si>
  <si>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</si>
  <si>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</si>
  <si>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</si>
  <si>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</si>
  <si>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</si>
  <si>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</si>
  <si>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</si>
  <si>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</si>
  <si>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</si>
  <si>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</si>
  <si>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</si>
  <si>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</si>
  <si>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</si>
  <si>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</si>
  <si>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</si>
  <si>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</si>
  <si>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</si>
  <si>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</si>
  <si>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</si>
  <si>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</si>
  <si>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</si>
  <si>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</si>
  <si>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</si>
  <si>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</si>
  <si>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</si>
  <si>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</si>
  <si>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</si>
  <si>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</si>
  <si>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</si>
  <si>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</si>
  <si>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</si>
  <si>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</si>
  <si>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</si>
  <si>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</si>
  <si>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</si>
  <si>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</si>
  <si>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</si>
  <si>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</si>
  <si>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</si>
  <si>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</si>
  <si>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</si>
  <si>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</si>
  <si>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</si>
  <si>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</si>
  <si>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</si>
  <si>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</si>
  <si>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</si>
  <si>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</si>
  <si>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</si>
  <si>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</si>
  <si>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</si>
  <si>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</si>
  <si>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</si>
  <si>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</si>
  <si>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</si>
  <si>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</si>
  <si>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</si>
  <si>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</si>
  <si>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</si>
  <si>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</si>
  <si>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</si>
  <si>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</si>
  <si>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</si>
  <si>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</si>
  <si>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</si>
  <si>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</si>
  <si>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</si>
  <si>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</si>
  <si>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</si>
  <si>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</si>
  <si>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</si>
  <si>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</si>
  <si>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</si>
  <si>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</si>
  <si>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</si>
  <si>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</si>
  <si>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</si>
  <si>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</si>
  <si>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</si>
  <si>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</si>
  <si>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</si>
  <si>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</si>
  <si>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</si>
  <si>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</si>
  <si>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</si>
  <si>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</si>
  <si>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</si>
  <si>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</si>
  <si>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</si>
  <si>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</si>
  <si>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</si>
  <si>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</si>
  <si>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</si>
  <si>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</si>
  <si>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</si>
  <si>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</si>
  <si>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</si>
  <si>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</si>
  <si>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</si>
  <si>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</si>
  <si>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</si>
  <si>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</si>
  <si>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</si>
  <si>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</si>
  <si>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</si>
  <si>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</si>
  <si>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</si>
  <si>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</si>
  <si>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</si>
  <si>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</si>
  <si>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</si>
  <si>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</si>
  <si>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</si>
  <si>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</si>
  <si>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</si>
  <si>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</si>
  <si>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</si>
  <si>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</si>
  <si>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</si>
  <si>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</si>
  <si>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</si>
  <si>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</si>
  <si>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</si>
  <si>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</si>
  <si>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</si>
  <si>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</si>
  <si>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</si>
  <si>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</si>
  <si>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</si>
  <si>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</si>
  <si>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</si>
  <si>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</si>
  <si>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</si>
  <si>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</si>
  <si>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</si>
  <si>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</si>
  <si>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</si>
  <si>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</si>
  <si>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</si>
  <si>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</si>
  <si>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</si>
  <si>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</si>
  <si>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</si>
  <si>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</si>
  <si>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</si>
  <si>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</si>
  <si>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</si>
  <si>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</si>
  <si>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</si>
  <si>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</si>
  <si>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</si>
  <si>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</si>
  <si>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</si>
  <si>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</si>
  <si>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</si>
  <si>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</si>
  <si>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</si>
  <si>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</si>
  <si>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</si>
  <si>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</si>
  <si>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</si>
  <si>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</si>
  <si>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</si>
  <si>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</si>
  <si>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</si>
  <si>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</si>
  <si>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</si>
  <si>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</si>
  <si>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</si>
  <si>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</si>
  <si>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</si>
  <si>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</si>
  <si>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</si>
  <si>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</si>
  <si>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</si>
  <si>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</si>
  <si>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</si>
  <si>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</si>
  <si>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</si>
  <si>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</si>
  <si>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</si>
  <si>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</si>
  <si>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</si>
  <si>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</si>
  <si>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</si>
  <si>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</si>
  <si>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</si>
  <si>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</si>
  <si>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</si>
  <si>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</si>
  <si>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</si>
  <si>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</si>
  <si>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</si>
  <si>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</si>
  <si>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</si>
  <si>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</si>
  <si>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</si>
  <si>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</si>
  <si>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</si>
  <si>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</si>
  <si>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</si>
  <si>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</si>
  <si>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</si>
  <si>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</si>
  <si>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</si>
  <si>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</si>
  <si>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</si>
  <si>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</si>
  <si>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</si>
  <si>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</si>
  <si>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</si>
  <si>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</si>
  <si>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</si>
  <si>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</si>
  <si>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</si>
  <si>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</si>
  <si>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</si>
  <si>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</si>
  <si>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</si>
  <si>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</si>
  <si>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</si>
  <si>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</si>
  <si>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</si>
  <si>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</si>
  <si>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</si>
  <si>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</si>
  <si>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</si>
  <si>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</si>
  <si>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</si>
  <si>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</si>
  <si>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</si>
  <si>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</si>
  <si>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</si>
  <si>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</si>
  <si>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</si>
  <si>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</si>
  <si>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</si>
  <si>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</si>
  <si>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</si>
  <si>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</si>
  <si>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</si>
  <si>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</si>
  <si>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</si>
  <si>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</si>
  <si>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</si>
  <si>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</si>
  <si>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</si>
  <si>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</si>
  <si>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</si>
  <si>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</si>
  <si>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</si>
  <si>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</si>
  <si>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</si>
  <si>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</si>
  <si>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</si>
  <si>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</si>
  <si>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</si>
  <si>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</si>
  <si>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</si>
  <si>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</si>
  <si>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</si>
  <si>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</si>
  <si>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</si>
  <si>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</si>
  <si>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</si>
  <si>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</si>
  <si>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</si>
  <si>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</si>
  <si>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</si>
  <si>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</si>
  <si>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</si>
  <si>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</si>
  <si>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</si>
  <si>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</si>
  <si>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</si>
  <si>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</si>
  <si>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</si>
  <si>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</si>
  <si>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</si>
  <si>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</si>
  <si>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</si>
  <si>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</si>
  <si>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</si>
  <si>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</si>
  <si>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</si>
  <si>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</si>
  <si>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</si>
  <si>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</si>
  <si>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</si>
  <si>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</si>
  <si>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</si>
  <si>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</si>
  <si>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</si>
  <si>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</si>
  <si>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</si>
  <si>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</si>
  <si>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</si>
  <si>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</si>
  <si>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</si>
  <si>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</si>
  <si>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</si>
  <si>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</si>
  <si>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</si>
  <si>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</si>
  <si>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</si>
  <si>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</si>
  <si>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</si>
  <si>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</si>
  <si>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</si>
  <si>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</si>
  <si>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</si>
  <si>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</si>
  <si>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</si>
  <si>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</si>
  <si>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</si>
  <si>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</si>
  <si>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</si>
  <si>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</si>
  <si>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</si>
  <si>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</si>
  <si>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</si>
  <si>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</si>
  <si>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</si>
  <si>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</si>
  <si>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</si>
  <si>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</si>
  <si>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</si>
  <si>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</si>
  <si>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</si>
  <si>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</si>
  <si>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</si>
  <si>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</si>
  <si>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</si>
  <si>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</si>
  <si>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</si>
  <si>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</si>
  <si>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</si>
  <si>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</si>
  <si>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</si>
  <si>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</si>
  <si>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</si>
  <si>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</si>
  <si>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</si>
  <si>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</si>
  <si>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</si>
  <si>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</si>
  <si>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</si>
  <si>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</si>
  <si>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</si>
  <si>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</si>
  <si>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</si>
  <si>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</si>
  <si>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</si>
  <si>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</si>
  <si>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</si>
  <si>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</si>
  <si>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</si>
  <si>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</si>
  <si>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</si>
  <si>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</si>
  <si>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</si>
  <si>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</si>
  <si>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</si>
  <si>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</si>
  <si>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</si>
  <si>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</si>
  <si>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</si>
  <si>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</si>
  <si>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</si>
  <si>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</si>
  <si>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</si>
  <si>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</si>
  <si>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</si>
  <si>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</si>
  <si>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</si>
  <si>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</si>
  <si>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</si>
  <si>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</si>
  <si>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</si>
  <si>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</si>
  <si>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</si>
  <si>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</si>
  <si>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</si>
  <si>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</si>
  <si>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</si>
  <si>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</si>
  <si>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</si>
  <si>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</si>
  <si>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</si>
  <si>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</si>
  <si>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</si>
  <si>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</si>
  <si>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</si>
  <si>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</si>
  <si>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</si>
  <si>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</si>
  <si>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</si>
  <si>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</si>
  <si>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</si>
  <si>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</si>
  <si>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</si>
  <si>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</si>
  <si>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</si>
  <si>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</si>
  <si>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</si>
  <si>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</si>
  <si>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</si>
  <si>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</si>
  <si>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</si>
  <si>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</si>
  <si>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</si>
  <si>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</si>
  <si>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</si>
  <si>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</si>
  <si>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</si>
  <si>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</si>
  <si>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</si>
  <si>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出让</t>
  </si>
  <si>
    <t>地上</t>
  </si>
  <si>
    <t>住宅</t>
  </si>
  <si>
    <t>平层住宅</t>
  </si>
  <si>
    <t>是</t>
  </si>
  <si>
    <t>住宅</t>
    <phoneticPr fontId="7" type="noConversion"/>
  </si>
  <si>
    <t>成本法</t>
  </si>
  <si>
    <t>假设开发法</t>
  </si>
  <si>
    <t>项目全部</t>
  </si>
  <si>
    <t>正常</t>
  </si>
  <si>
    <t>住宅</t>
    <phoneticPr fontId="31" type="noConversion"/>
  </si>
  <si>
    <t>较好</t>
  </si>
  <si>
    <t>一般</t>
  </si>
  <si>
    <t>七通</t>
  </si>
  <si>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</si>
  <si>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</si>
  <si>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</si>
  <si>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</si>
  <si>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</si>
  <si>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t>主干道</t>
  </si>
  <si>
    <t>40-50（含）</t>
  </si>
  <si>
    <t>30-40（含）</t>
  </si>
  <si>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</si>
  <si>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</si>
  <si>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</si>
  <si>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rFont val="仿宋_GB2312"/>
        <family val="3"/>
        <charset val="134"/>
      </rPr>
      <t>毛坯</t>
    </r>
  </si>
  <si>
    <t>精装修</t>
  </si>
  <si>
    <t>毛坯</t>
  </si>
  <si>
    <t>金沙滩壹号</t>
    <phoneticPr fontId="143" type="noConversion"/>
  </si>
  <si>
    <t>福瀛天麓湖</t>
    <phoneticPr fontId="143" type="noConversion"/>
  </si>
  <si>
    <t>黄岛区石雀滩路九号（石雀滩路与天目山路交汇处）</t>
    <phoneticPr fontId="143" type="noConversion"/>
  </si>
  <si>
    <t>黄岛长江路韶山路568号（韶山路与东江路交汇处）</t>
    <phoneticPr fontId="143" type="noConversion"/>
  </si>
  <si>
    <t>黄岛区长江中路435-2号</t>
    <phoneticPr fontId="143" type="noConversion"/>
  </si>
  <si>
    <t>合创琨庭</t>
    <phoneticPr fontId="143" type="noConversion"/>
  </si>
  <si>
    <t>黄岛区宁海路南侧、干河子路西侧</t>
    <phoneticPr fontId="143" type="noConversion"/>
  </si>
  <si>
    <t>黄岛区开拓路东、前湾港路北</t>
    <phoneticPr fontId="143" type="noConversion"/>
  </si>
  <si>
    <t>黄岛区滨海大道南、名人岛西</t>
    <phoneticPr fontId="143" type="noConversion"/>
  </si>
  <si>
    <t>好</t>
  </si>
  <si>
    <t>竞拍限制条件</t>
    <phoneticPr fontId="31" type="noConversion"/>
  </si>
  <si>
    <t>无</t>
  </si>
  <si>
    <t>无</t>
    <phoneticPr fontId="31" type="noConversion"/>
  </si>
  <si>
    <t>限地价限房价</t>
    <phoneticPr fontId="31" type="noConversion"/>
  </si>
  <si>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</si>
  <si>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</si>
  <si>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</si>
  <si>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</si>
  <si>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</si>
  <si>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</si>
  <si>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</si>
  <si>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t>七通一平</t>
    <phoneticPr fontId="143" type="noConversion"/>
  </si>
  <si>
    <t>七通</t>
    <phoneticPr fontId="143" type="noConversion"/>
  </si>
  <si>
    <t>六通一平</t>
    <phoneticPr fontId="143" type="noConversion"/>
  </si>
  <si>
    <t>五通一平</t>
    <phoneticPr fontId="143" type="noConversion"/>
  </si>
  <si>
    <t>四通一平</t>
    <phoneticPr fontId="143" type="noConversion"/>
  </si>
  <si>
    <r>
      <rPr>
        <sz val="11"/>
        <color indexed="8"/>
        <rFont val="仿宋_GB2312"/>
        <family val="3"/>
        <charset val="134"/>
      </rPr>
      <t>好</t>
    </r>
  </si>
  <si>
    <r>
      <rPr>
        <sz val="11"/>
        <color indexed="8"/>
        <rFont val="仿宋_GB2312"/>
        <family val="3"/>
        <charset val="134"/>
      </rPr>
      <t>较好</t>
    </r>
  </si>
  <si>
    <r>
      <rPr>
        <sz val="11"/>
        <rFont val="仿宋_GB2312"/>
        <family val="3"/>
        <charset val="134"/>
      </rPr>
      <t>一般</t>
    </r>
  </si>
  <si>
    <r>
      <rPr>
        <sz val="11"/>
        <rFont val="仿宋_GB2312"/>
        <family val="3"/>
        <charset val="134"/>
      </rPr>
      <t>较差</t>
    </r>
  </si>
  <si>
    <r>
      <rPr>
        <sz val="11"/>
        <rFont val="仿宋_GB2312"/>
        <family val="3"/>
        <charset val="134"/>
      </rPr>
      <t>差</t>
    </r>
  </si>
  <si>
    <t>较规则</t>
  </si>
  <si>
    <t>规则</t>
  </si>
  <si>
    <t>比例较适宜</t>
  </si>
  <si>
    <t>七通一平</t>
  </si>
  <si>
    <t>独栋</t>
  </si>
  <si>
    <r>
      <rPr>
        <sz val="11"/>
        <rFont val="仿宋_GB2312"/>
        <family val="3"/>
        <charset val="134"/>
      </rPr>
      <t>联排</t>
    </r>
  </si>
  <si>
    <t>叠拼</t>
  </si>
  <si>
    <t>花园洋房</t>
  </si>
  <si>
    <t>小高层住宅</t>
  </si>
  <si>
    <t>高层板楼</t>
  </si>
  <si>
    <t>塔楼</t>
  </si>
  <si>
    <t>80-120</t>
    <phoneticPr fontId="25" type="noConversion"/>
  </si>
  <si>
    <t>120-140</t>
    <phoneticPr fontId="25" type="noConversion"/>
  </si>
  <si>
    <t>钢混</t>
  </si>
  <si>
    <t>钢混</t>
    <phoneticPr fontId="25" type="noConversion"/>
  </si>
  <si>
    <t>精装修</t>
    <phoneticPr fontId="25" type="noConversion"/>
  </si>
  <si>
    <t>专业</t>
  </si>
  <si>
    <t>专业</t>
    <phoneticPr fontId="25" type="noConversion"/>
  </si>
  <si>
    <t>七通</t>
    <phoneticPr fontId="25" type="noConversion"/>
  </si>
  <si>
    <t>高档</t>
    <phoneticPr fontId="25" type="noConversion"/>
  </si>
  <si>
    <t>中档</t>
  </si>
  <si>
    <t>中档</t>
    <phoneticPr fontId="25" type="noConversion"/>
  </si>
  <si>
    <t>低档</t>
    <phoneticPr fontId="25" type="noConversion"/>
  </si>
  <si>
    <t>混合</t>
    <phoneticPr fontId="25" type="noConversion"/>
  </si>
  <si>
    <t>青岛福瀛房地产开发有限公司</t>
    <phoneticPr fontId="6" type="noConversion"/>
  </si>
  <si>
    <t>王鹏</t>
  </si>
  <si>
    <t>郑燚</t>
  </si>
  <si>
    <t>宏信证券</t>
    <phoneticPr fontId="6" type="noConversion"/>
  </si>
  <si>
    <t>抵押</t>
  </si>
  <si>
    <t>房地产抵押价值</t>
  </si>
  <si>
    <t>其他：</t>
  </si>
  <si>
    <t>青岛市</t>
    <phoneticPr fontId="6" type="noConversion"/>
  </si>
  <si>
    <r>
      <rPr>
        <sz val="12"/>
        <color theme="9" tint="-0.249977111117893"/>
        <rFont val="宋体"/>
        <family val="3"/>
        <charset val="134"/>
      </rPr>
      <t>黄岛区滨海大道以南、石雀滩路北</t>
    </r>
    <r>
      <rPr>
        <sz val="12"/>
        <color theme="9" tint="-0.249977111117893"/>
        <rFont val="Arial"/>
        <family val="2"/>
      </rPr>
      <t>D</t>
    </r>
    <r>
      <rPr>
        <sz val="12"/>
        <color theme="9" tint="-0.249977111117893"/>
        <rFont val="宋体"/>
        <family val="3"/>
        <charset val="134"/>
      </rPr>
      <t>地块</t>
    </r>
    <r>
      <rPr>
        <sz val="12"/>
        <color theme="9" tint="-0.249977111117893"/>
        <rFont val="Arial"/>
        <family val="2"/>
      </rPr>
      <t>1</t>
    </r>
    <r>
      <rPr>
        <sz val="12"/>
        <color theme="9" tint="-0.249977111117893"/>
        <rFont val="宋体"/>
        <family val="3"/>
        <charset val="134"/>
      </rPr>
      <t>宗住宅用途</t>
    </r>
    <phoneticPr fontId="6" type="noConversion"/>
  </si>
  <si>
    <t>企业</t>
  </si>
  <si>
    <t>《建设工程规划许可证》[建字第370200201717089号]</t>
    <phoneticPr fontId="6" type="noConversion"/>
  </si>
  <si>
    <t>否</t>
  </si>
  <si>
    <r>
      <rPr>
        <sz val="12"/>
        <color theme="9" tint="-0.249977111117893"/>
        <rFont val="宋体"/>
        <family val="3"/>
        <charset val="134"/>
      </rPr>
      <t>住宅</t>
    </r>
    <r>
      <rPr>
        <sz val="12"/>
        <color theme="9" tint="-0.249977111117893"/>
        <rFont val="Arial"/>
        <family val="2"/>
      </rPr>
      <t>33.31</t>
    </r>
    <r>
      <rPr>
        <sz val="12"/>
        <color theme="9" tint="-0.249977111117893"/>
        <rFont val="宋体"/>
        <family val="3"/>
        <charset val="134"/>
      </rPr>
      <t>年</t>
    </r>
    <phoneticPr fontId="6" type="noConversion"/>
  </si>
  <si>
    <t>住宅</t>
    <phoneticPr fontId="6" type="noConversion"/>
  </si>
  <si>
    <t>居住项目</t>
  </si>
  <si>
    <t>在建</t>
  </si>
  <si>
    <t>成本比率</t>
  </si>
  <si>
    <t>《房地产权证》[青房地权市字第201574961号]</t>
    <phoneticPr fontId="6" type="noConversion"/>
  </si>
  <si>
    <t>未包含在土地购买价格中</t>
  </si>
  <si>
    <t>全部缴纳</t>
  </si>
  <si>
    <t>成本法 (元)</t>
  </si>
  <si>
    <t>比较因素</t>
  </si>
  <si>
    <t>估价对象</t>
  </si>
  <si>
    <r>
      <t>案例：</t>
    </r>
    <r>
      <rPr>
        <sz val="9"/>
        <color rgb="FF000000"/>
        <rFont val="Arial"/>
        <family val="2"/>
      </rPr>
      <t>D</t>
    </r>
  </si>
  <si>
    <r>
      <t>案例：</t>
    </r>
    <r>
      <rPr>
        <sz val="9"/>
        <color rgb="FF000000"/>
        <rFont val="Arial"/>
        <family val="2"/>
      </rPr>
      <t>E</t>
    </r>
  </si>
  <si>
    <r>
      <t>案例：</t>
    </r>
    <r>
      <rPr>
        <sz val="9"/>
        <color rgb="FF000000"/>
        <rFont val="Arial"/>
        <family val="2"/>
      </rPr>
      <t>F</t>
    </r>
  </si>
  <si>
    <t>项目名称</t>
  </si>
  <si>
    <t>系数</t>
  </si>
  <si>
    <r>
      <t>黄岛区滨海大道以南、石雀滩路北</t>
    </r>
    <r>
      <rPr>
        <sz val="9"/>
        <color rgb="FF000000"/>
        <rFont val="Arial"/>
        <family val="2"/>
      </rPr>
      <t>B</t>
    </r>
    <r>
      <rPr>
        <sz val="9"/>
        <color rgb="FF000000"/>
        <rFont val="宋体"/>
        <family val="3"/>
        <charset val="134"/>
      </rPr>
      <t>地块</t>
    </r>
  </si>
  <si>
    <t>交易时间</t>
  </si>
  <si>
    <t>交易情况</t>
  </si>
  <si>
    <t>土地使用年限</t>
  </si>
  <si>
    <r>
      <t>30-40</t>
    </r>
    <r>
      <rPr>
        <sz val="9"/>
        <color rgb="FF000000"/>
        <rFont val="宋体"/>
        <family val="3"/>
        <charset val="134"/>
      </rPr>
      <t>年</t>
    </r>
  </si>
  <si>
    <r>
      <t>40-50</t>
    </r>
    <r>
      <rPr>
        <sz val="9"/>
        <color rgb="FF000000"/>
        <rFont val="宋体"/>
        <family val="3"/>
        <charset val="134"/>
      </rPr>
      <t>年</t>
    </r>
  </si>
  <si>
    <t>容积率</t>
  </si>
  <si>
    <t>区域因素</t>
  </si>
  <si>
    <t>居住社区成熟度</t>
  </si>
  <si>
    <t>交通便捷度</t>
  </si>
  <si>
    <t>公共配套设施</t>
  </si>
  <si>
    <t>基础设施水平</t>
  </si>
  <si>
    <t>自然及人文环境</t>
  </si>
  <si>
    <t>个别因素</t>
  </si>
  <si>
    <t>建筑类型</t>
  </si>
  <si>
    <t>项目建筑规模（平方米）</t>
  </si>
  <si>
    <t>建筑结构</t>
  </si>
  <si>
    <t>建筑品质</t>
  </si>
  <si>
    <t>公共部分装修</t>
  </si>
  <si>
    <t>物业管理</t>
  </si>
  <si>
    <t>市政基础设施</t>
  </si>
  <si>
    <t>主力户型建筑面积（平方米）</t>
  </si>
  <si>
    <t>内部装修</t>
  </si>
  <si>
    <t>黄岛区石雀滩路九号</t>
    <phoneticPr fontId="143" type="noConversion"/>
  </si>
  <si>
    <t>黄岛长江路韶山路568号</t>
    <phoneticPr fontId="143" type="noConversion"/>
  </si>
  <si>
    <t>住宅</t>
    <phoneticPr fontId="25" type="noConversion"/>
  </si>
  <si>
    <t>一般</t>
    <phoneticPr fontId="143" type="noConversion"/>
  </si>
  <si>
    <t>高层板楼</t>
    <phoneticPr fontId="143" type="noConversion"/>
  </si>
  <si>
    <t>120-140</t>
    <phoneticPr fontId="143" type="noConversion"/>
  </si>
  <si>
    <t>100/</t>
  </si>
  <si>
    <r>
      <t>销售价格（元</t>
    </r>
    <r>
      <rPr>
        <sz val="9"/>
        <color rgb="FF000000"/>
        <rFont val="Arial"/>
        <family val="2"/>
      </rPr>
      <t>/</t>
    </r>
    <r>
      <rPr>
        <sz val="9"/>
        <color rgb="FF000000"/>
        <rFont val="宋体"/>
        <family val="3"/>
        <charset val="134"/>
      </rPr>
      <t>平方米）</t>
    </r>
  </si>
  <si>
    <r>
      <t>比较价值（元</t>
    </r>
    <r>
      <rPr>
        <sz val="9"/>
        <color rgb="FF000000"/>
        <rFont val="Arial"/>
        <family val="2"/>
      </rPr>
      <t>/</t>
    </r>
    <r>
      <rPr>
        <sz val="9"/>
        <color rgb="FF000000"/>
        <rFont val="宋体"/>
        <family val="3"/>
        <charset val="134"/>
      </rPr>
      <t>平方米）格</t>
    </r>
  </si>
  <si>
    <r>
      <t>楼面单价（元</t>
    </r>
    <r>
      <rPr>
        <sz val="9"/>
        <color rgb="FF000000"/>
        <rFont val="Arial"/>
        <family val="2"/>
      </rPr>
      <t>/</t>
    </r>
    <r>
      <rPr>
        <sz val="9"/>
        <color rgb="FF000000"/>
        <rFont val="宋体"/>
        <family val="3"/>
        <charset val="134"/>
      </rPr>
      <t>平方米）</t>
    </r>
  </si>
</sst>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name val="仿宋_GB2312"/>
      <family val="3"/>
      <charset val="134"/>
    </font>
    <font>
      <sz val="9"/>
      <color rgb="FF000000"/>
      <name val="宋体"/>
      <family val="3"/>
      <charset val="134"/>
    </font>
    <font>
      <sz val="9"/>
      <color rgb="FF00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rgb="FF00B0F0"/>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diagonal/>
    </border>
    <border>
      <left/>
      <right style="medium">
        <color rgb="FF404040"/>
      </right>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style="medium">
        <color rgb="FF404040"/>
      </right>
      <top style="medium">
        <color rgb="FF404040"/>
      </top>
      <bottom/>
      <diagonal/>
    </border>
    <border>
      <left/>
      <right style="medium">
        <color rgb="FF000000"/>
      </right>
      <top style="medium">
        <color indexed="64"/>
      </top>
      <bottom/>
      <diagonal/>
    </border>
    <border>
      <left/>
      <right style="medium">
        <color rgb="FF000000"/>
      </right>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49" fontId="230"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24" xfId="0" applyNumberFormat="1" applyFont="1" applyFill="1" applyBorder="1" applyAlignment="1" applyProtection="1">
      <alignment horizontal="center" vertical="center" wrapText="1"/>
      <protection locked="0"/>
    </xf>
    <xf numFmtId="0" fontId="47" fillId="17" borderId="24"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256" fillId="0" borderId="161" xfId="0" applyFont="1" applyBorder="1" applyAlignment="1">
      <alignment horizontal="center" vertical="center" wrapText="1"/>
    </xf>
    <xf numFmtId="0" fontId="257" fillId="0" borderId="161" xfId="0" applyFont="1" applyBorder="1" applyAlignment="1">
      <alignment horizontal="center" vertical="center" wrapText="1"/>
    </xf>
    <xf numFmtId="0" fontId="257" fillId="0" borderId="161" xfId="0" applyFont="1" applyBorder="1" applyAlignment="1">
      <alignment horizontal="center" vertical="center"/>
    </xf>
    <xf numFmtId="0" fontId="256" fillId="0" borderId="161" xfId="0" applyFont="1" applyBorder="1">
      <alignment vertical="center"/>
    </xf>
    <xf numFmtId="0" fontId="137" fillId="0" borderId="51" xfId="0" applyNumberFormat="1" applyFont="1" applyFill="1" applyBorder="1" applyAlignment="1" applyProtection="1">
      <alignment horizontal="center" vertical="center" wrapText="1"/>
      <protection locked="0"/>
    </xf>
    <xf numFmtId="0" fontId="257" fillId="0" borderId="47" xfId="0" applyFont="1" applyBorder="1" applyAlignment="1">
      <alignment vertical="center" wrapText="1"/>
    </xf>
    <xf numFmtId="0" fontId="257" fillId="0" borderId="43" xfId="0" applyFont="1" applyBorder="1" applyAlignment="1">
      <alignment vertical="center" wrapText="1"/>
    </xf>
    <xf numFmtId="0" fontId="257" fillId="0" borderId="43" xfId="0" applyFont="1" applyBorder="1" applyAlignment="1">
      <alignment horizontal="justify" vertical="center" wrapText="1"/>
    </xf>
    <xf numFmtId="0" fontId="256" fillId="0" borderId="43" xfId="0" applyFont="1" applyBorder="1">
      <alignment vertical="center"/>
    </xf>
    <xf numFmtId="0" fontId="221" fillId="18" borderId="24" xfId="0" applyFont="1" applyFill="1" applyBorder="1" applyAlignment="1" applyProtection="1">
      <alignment vertical="center"/>
      <protection locked="0"/>
    </xf>
    <xf numFmtId="177" fontId="148" fillId="5"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55"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55" fillId="0" borderId="25" xfId="0" applyFont="1" applyFill="1" applyBorder="1" applyAlignment="1" applyProtection="1">
      <alignment horizontal="center" vertical="center" wrapText="1"/>
      <protection locked="0"/>
    </xf>
    <xf numFmtId="0" fontId="54" fillId="0" borderId="49"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55"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255"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0" borderId="165" xfId="0" applyFont="1" applyBorder="1" applyAlignment="1">
      <alignment horizontal="center" vertical="center" wrapText="1"/>
    </xf>
    <xf numFmtId="0" fontId="256" fillId="0" borderId="162" xfId="0" applyFont="1" applyBorder="1" applyAlignment="1">
      <alignment horizontal="center" vertical="center" wrapText="1"/>
    </xf>
    <xf numFmtId="0" fontId="256" fillId="0" borderId="166" xfId="0" applyFont="1" applyBorder="1" applyAlignment="1">
      <alignment horizontal="center" vertical="center" wrapText="1"/>
    </xf>
    <xf numFmtId="0" fontId="256" fillId="0" borderId="163" xfId="0" applyFont="1" applyBorder="1" applyAlignment="1">
      <alignment horizontal="center" vertical="center" wrapText="1"/>
    </xf>
    <xf numFmtId="0" fontId="256" fillId="0" borderId="164" xfId="0" applyFont="1" applyBorder="1" applyAlignment="1">
      <alignment horizontal="center" vertical="center" wrapText="1"/>
    </xf>
    <xf numFmtId="0" fontId="256" fillId="0" borderId="156" xfId="0" applyFont="1" applyBorder="1">
      <alignment vertical="center"/>
    </xf>
    <xf numFmtId="0" fontId="256" fillId="0" borderId="157" xfId="0" applyFont="1" applyBorder="1">
      <alignment vertical="center"/>
    </xf>
    <xf numFmtId="0" fontId="256" fillId="0" borderId="158" xfId="0" applyFont="1" applyBorder="1">
      <alignment vertical="center"/>
    </xf>
    <xf numFmtId="0" fontId="256" fillId="0" borderId="159" xfId="0" applyFont="1" applyBorder="1">
      <alignment vertical="center"/>
    </xf>
    <xf numFmtId="0" fontId="256" fillId="0" borderId="160" xfId="0" applyFont="1" applyBorder="1">
      <alignment vertical="center"/>
    </xf>
    <xf numFmtId="0" fontId="256" fillId="0" borderId="161" xfId="0" applyFont="1" applyBorder="1">
      <alignment vertical="center"/>
    </xf>
    <xf numFmtId="0" fontId="256" fillId="0" borderId="165" xfId="0" applyFont="1" applyBorder="1">
      <alignment vertical="center"/>
    </xf>
    <xf numFmtId="0" fontId="256" fillId="0" borderId="162" xfId="0" applyFont="1" applyBorder="1">
      <alignment vertical="center"/>
    </xf>
    <xf numFmtId="0" fontId="256" fillId="0" borderId="165" xfId="0" applyFont="1" applyBorder="1" applyAlignment="1">
      <alignment vertical="center" wrapText="1"/>
    </xf>
    <xf numFmtId="0" fontId="256" fillId="0" borderId="162" xfId="0" applyFont="1" applyBorder="1" applyAlignment="1">
      <alignment vertical="center" wrapText="1"/>
    </xf>
    <xf numFmtId="0" fontId="256" fillId="0" borderId="63" xfId="0" applyFont="1" applyBorder="1">
      <alignment vertical="center"/>
    </xf>
    <xf numFmtId="0" fontId="256" fillId="0" borderId="169" xfId="0" applyFont="1" applyBorder="1">
      <alignment vertical="center"/>
    </xf>
    <xf numFmtId="0" fontId="256" fillId="0" borderId="166" xfId="0" applyFont="1" applyBorder="1" applyAlignment="1">
      <alignment vertical="center" wrapText="1"/>
    </xf>
    <xf numFmtId="0" fontId="256" fillId="0" borderId="164" xfId="0" applyFont="1" applyBorder="1" applyAlignment="1">
      <alignment vertical="center" wrapText="1"/>
    </xf>
    <xf numFmtId="0" fontId="256" fillId="0" borderId="163" xfId="0" applyFont="1" applyBorder="1" applyAlignment="1">
      <alignment vertical="center" wrapText="1"/>
    </xf>
    <xf numFmtId="0" fontId="256" fillId="0" borderId="16" xfId="0" applyFont="1" applyBorder="1">
      <alignment vertical="center"/>
    </xf>
    <xf numFmtId="0" fontId="256" fillId="0" borderId="167" xfId="0" applyFont="1" applyBorder="1">
      <alignment vertical="center"/>
    </xf>
    <xf numFmtId="0" fontId="256" fillId="0" borderId="42" xfId="0" applyFont="1" applyBorder="1">
      <alignment vertical="center"/>
    </xf>
    <xf numFmtId="0" fontId="256" fillId="0" borderId="168" xfId="0" applyFont="1" applyBorder="1">
      <alignment vertical="center"/>
    </xf>
    <xf numFmtId="0" fontId="256" fillId="0" borderId="170" xfId="0" applyFont="1" applyBorder="1" applyAlignment="1">
      <alignment vertical="top" wrapText="1"/>
    </xf>
    <xf numFmtId="0" fontId="256" fillId="0" borderId="169" xfId="0" applyFont="1" applyBorder="1" applyAlignment="1">
      <alignment vertical="top" wrapText="1"/>
    </xf>
    <xf numFmtId="0" fontId="256" fillId="0" borderId="27" xfId="0" applyFont="1" applyBorder="1" applyAlignment="1">
      <alignment vertical="center" wrapText="1"/>
    </xf>
    <xf numFmtId="0" fontId="256" fillId="0" borderId="80" xfId="0" applyFont="1" applyBorder="1" applyAlignment="1">
      <alignment vertical="center" wrapText="1"/>
    </xf>
    <xf numFmtId="0" fontId="256" fillId="0" borderId="81" xfId="0" applyFont="1" applyBorder="1" applyAlignment="1">
      <alignment vertical="center" wrapText="1"/>
    </xf>
    <xf numFmtId="0" fontId="256" fillId="0" borderId="63" xfId="0" applyFont="1" applyBorder="1" applyAlignment="1">
      <alignment vertical="center" wrapText="1"/>
    </xf>
    <xf numFmtId="0" fontId="256" fillId="0" borderId="169" xfId="0" applyFont="1" applyBorder="1" applyAlignment="1">
      <alignment vertical="center" wrapText="1"/>
    </xf>
    <xf numFmtId="0" fontId="257" fillId="0" borderId="170" xfId="0" applyFont="1" applyBorder="1" applyAlignment="1">
      <alignment horizontal="justify" vertical="center" wrapText="1"/>
    </xf>
    <xf numFmtId="0" fontId="257" fillId="0" borderId="64" xfId="0" applyFont="1" applyBorder="1" applyAlignment="1">
      <alignment horizontal="justify" vertical="center" wrapText="1"/>
    </xf>
    <xf numFmtId="0" fontId="257" fillId="0" borderId="169" xfId="0" applyFont="1" applyBorder="1" applyAlignment="1">
      <alignment horizontal="justify"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738;&#23707;&#31119;&#28699;&#22303;&#22320;&#39033;&#30446;B&#22320;&#22359;&#65288;2018-3-6&#65289;&#65288;&#37073;&#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现房"/>
      <sheetName val="比较法-工业"/>
      <sheetName val="基准地价"/>
      <sheetName val="修正"/>
      <sheetName val="区片价"/>
      <sheetName val="容积率修正"/>
      <sheetName val="因素修正幅度"/>
      <sheetName val="收益还原法"/>
      <sheetName val="剩余法-待开发"/>
      <sheetName val="不动产比较法-住宅"/>
      <sheetName val="不动产收益法"/>
      <sheetName val="酒店收入计算"/>
      <sheetName val="成本逼近法"/>
      <sheetName val="Sheet4"/>
      <sheetName val="不动产比较法-商业"/>
      <sheetName val="不动产比较法-办公"/>
      <sheetName val="不动产比较法-工业"/>
      <sheetName val="不动产比较法-车位"/>
      <sheetName val="不动产比较法-仓储"/>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7">
          <cell r="K17">
            <v>3</v>
          </cell>
        </row>
        <row r="19">
          <cell r="K19">
            <v>3</v>
          </cell>
        </row>
        <row r="23">
          <cell r="K23">
            <v>2</v>
          </cell>
        </row>
        <row r="27">
          <cell r="K27">
            <v>3</v>
          </cell>
        </row>
        <row r="29">
          <cell r="K29">
            <v>2</v>
          </cell>
        </row>
        <row r="31">
          <cell r="K31">
            <v>1.5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H33" sqref="H33"/>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青岛市黄岛区滨海大道以南、石雀滩路北D地块1宗住宅用途出让国有建设用地使用权及在建建筑物房地产抵押价值预评估</v>
      </c>
    </row>
    <row r="3" spans="1:2" s="1595" customFormat="1">
      <c r="A3" s="1593" t="s">
        <v>1221</v>
      </c>
      <c r="B3" s="1594" t="str">
        <f>'预评函-封皮'!B40</f>
        <v>青岛福瀛房地产开发有限公司</v>
      </c>
    </row>
    <row r="4" spans="1:2" s="1595" customFormat="1">
      <c r="A4" s="1593" t="s">
        <v>1222</v>
      </c>
      <c r="B4" s="1594" t="str">
        <f ca="1">'预评函-封皮'!B46</f>
        <v>王鹏（注册号：1120050019)、郑燚（注册号：1120070131)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受贵公司委托，我公司对青岛市黄岛区滨海大道以南、石雀滩路北D地块1宗住宅用途出让国有建设用地使用权及在建建筑物房地产抵押价值进行了预评估。</v>
      </c>
    </row>
    <row r="7" spans="1:2" s="1595" customFormat="1">
      <c r="A7" s="1593" t="s">
        <v>1264</v>
      </c>
      <c r="B7" s="1594" t="str">
        <f>'预评函-1'!A7</f>
        <v>估价对象为青岛市黄岛区滨海大道以南、石雀滩路北D地块1宗住宅用途出让国有建设用地使用权及在建建筑物房地产，为所有。根据《房地产权证》[青房地权市字第201574961号]，估价对象（分摊）出让国有建设用地使用权面积为5780平方米，建筑面积为36223.67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青岛市黄岛区滨海大道以南、石雀滩路北D地块1宗住宅用途出让国有建设用地使用权及在建建筑物房地产,为开发建设的居住项目，该项目尚在开发建设中。根据《房地产权证》[青房地权市字第201574961号]，估价对象（分摊）出让国有建设用地使用权面积为5780平方米，规划建筑面积为36223.67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为估价委托人在向宏信证券办理贷款手续过程中，确定房地产抵押贷款额度提供参考依据而评估房地产抵押价值。</v>
      </c>
    </row>
    <row r="12" spans="1:2" s="1595" customFormat="1">
      <c r="A12" s="1593" t="s">
        <v>1226</v>
      </c>
      <c r="B12" s="1594" t="str">
        <f>'预评函-1'!A15</f>
        <v>2018年3月1日（评估专业人员实地查勘之日）</v>
      </c>
    </row>
    <row r="13" spans="1:2" s="1595" customFormat="1">
      <c r="A13" s="1593" t="s">
        <v>1227</v>
      </c>
      <c r="B13" s="1594" t="str">
        <f>'预评函-1'!A18</f>
        <v>本次估价的“房地产价值”是指在正常市场情况下，在价值时点2018年3月1日，估价对象规划用途为住宅，土地取得方式为出让，出让国有建设用地使用权剩余土地使用年限为住宅33.31年，假定未设立法定优先受偿款下的房地产市场价值。</v>
      </c>
    </row>
    <row r="14" spans="1:2" s="1595" customFormat="1">
      <c r="A14" s="1593" t="s">
        <v>1228</v>
      </c>
      <c r="B14" s="1594" t="str">
        <f>'预评函-1'!A19</f>
        <v>其中，“出让国有建设用地使用权价值”是指估价对象用途为住宅，实际开发程度为宗地红线外“七通”（即、、、、、、）、红线内场地平整条件下，剩余土地使用年限为住宅33.31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21007</v>
      </c>
    </row>
    <row r="21" spans="1:2" s="1595" customFormat="1">
      <c r="A21" s="1593" t="s">
        <v>1235</v>
      </c>
      <c r="B21" s="1594">
        <f ca="1">'预评函-2'!D7</f>
        <v>5799</v>
      </c>
    </row>
    <row r="22" spans="1:2" s="1595" customFormat="1">
      <c r="A22" s="1593" t="s">
        <v>1236</v>
      </c>
      <c r="B22" s="1594" t="str">
        <f ca="1">'预评函-2'!D6</f>
        <v>贰亿壹仟零柒万元整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21007</v>
      </c>
    </row>
    <row r="31" spans="1:2" s="1595" customFormat="1">
      <c r="A31" s="1593" t="s">
        <v>1274</v>
      </c>
      <c r="B31" s="1594">
        <f ca="1">'预评函-2'!D15</f>
        <v>5799</v>
      </c>
    </row>
    <row r="32" spans="1:2" s="1595" customFormat="1">
      <c r="A32" s="1593" t="s">
        <v>1241</v>
      </c>
      <c r="B32" s="1594" t="str">
        <f ca="1">'预评函-2'!D14</f>
        <v>贰亿壹仟零柒万元整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青岛市黄岛区滨海大道以南、石雀滩路北D地块1宗住宅用途出让国有建设用地使用权及在建建筑物房地产</v>
      </c>
    </row>
    <row r="42" spans="1:2" s="1595" customFormat="1">
      <c r="A42" s="1593" t="s">
        <v>1288</v>
      </c>
      <c r="B42" s="1594" t="str">
        <f>'预评函-3'!B2</f>
        <v>建筑面积</v>
      </c>
    </row>
    <row r="43" spans="1:2" s="1595" customFormat="1">
      <c r="A43" s="1593" t="s">
        <v>1289</v>
      </c>
      <c r="B43" s="1594">
        <f>'预评函-3'!B4</f>
        <v>36223.67</v>
      </c>
    </row>
    <row r="44" spans="1:2" s="1595" customFormat="1">
      <c r="A44" s="1593" t="s">
        <v>1273</v>
      </c>
      <c r="B44" s="1594" t="str">
        <f>'预评函-3'!C2</f>
        <v>(分摊)土地面积</v>
      </c>
    </row>
    <row r="45" spans="1:2" s="1595" customFormat="1">
      <c r="A45" s="1593" t="s">
        <v>1245</v>
      </c>
      <c r="B45" s="1594">
        <f>'预评函-3'!C4</f>
        <v>5780</v>
      </c>
    </row>
    <row r="46" spans="1:2" s="1595" customFormat="1">
      <c r="A46" s="1593" t="s">
        <v>1271</v>
      </c>
      <c r="B46" s="1594" t="str">
        <f>'预评函-3'!D2</f>
        <v>出让国有建设用地使用权价值</v>
      </c>
    </row>
    <row r="47" spans="1:2" s="1595" customFormat="1">
      <c r="A47" s="1593" t="s">
        <v>1246</v>
      </c>
      <c r="B47" s="1594">
        <f ca="1">'预评函-3'!D4</f>
        <v>19936</v>
      </c>
    </row>
    <row r="48" spans="1:2" s="1595" customFormat="1">
      <c r="A48" s="1593" t="s">
        <v>1247</v>
      </c>
      <c r="B48" s="1594">
        <f ca="1">'预评函-3'!E4</f>
        <v>5503</v>
      </c>
    </row>
    <row r="49" spans="1:2" s="1595" customFormat="1">
      <c r="A49" s="1593" t="s">
        <v>1248</v>
      </c>
      <c r="B49" s="1594" t="str">
        <f ca="1">'预评函-3'!D5</f>
        <v>壹亿玖仟玖佰叁拾陆万元整</v>
      </c>
    </row>
    <row r="50" spans="1:2" s="1595" customFormat="1">
      <c r="A50" s="1593" t="s">
        <v>1272</v>
      </c>
      <c r="B50" s="1594" t="str">
        <f>'预评函-3'!F2</f>
        <v>在建建筑物价值</v>
      </c>
    </row>
    <row r="51" spans="1:2" s="1595" customFormat="1">
      <c r="A51" s="1593" t="s">
        <v>1249</v>
      </c>
      <c r="B51" s="1594">
        <f ca="1">'预评函-3'!F4</f>
        <v>1071</v>
      </c>
    </row>
    <row r="52" spans="1:2" s="1595" customFormat="1">
      <c r="A52" s="1593" t="s">
        <v>1250</v>
      </c>
      <c r="B52" s="1594">
        <f ca="1">'预评函-3'!G4</f>
        <v>296</v>
      </c>
    </row>
    <row r="53" spans="1:2" s="1595" customFormat="1">
      <c r="A53" s="1593" t="s">
        <v>1278</v>
      </c>
      <c r="B53" s="1594" t="str">
        <f ca="1">'预评函-3'!F5</f>
        <v>壹仟零柒拾壹万元整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王鹏</v>
      </c>
    </row>
    <row r="71" spans="1:2">
      <c r="A71" s="1593" t="s">
        <v>1261</v>
      </c>
      <c r="B71" s="1594">
        <f ca="1">'预评函-4'!B4</f>
        <v>1120050019</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1691</v>
      </c>
      <c r="C1" s="2011" t="s">
        <v>759</v>
      </c>
      <c r="D1" s="2012" t="s">
        <v>1692</v>
      </c>
      <c r="E1" s="2012" t="s">
        <v>1693</v>
      </c>
      <c r="F1" s="2012" t="s">
        <v>1694</v>
      </c>
      <c r="G1" s="2012" t="s">
        <v>1695</v>
      </c>
      <c r="H1" s="2012" t="s">
        <v>1696</v>
      </c>
      <c r="I1" s="2012" t="s">
        <v>1697</v>
      </c>
      <c r="J1" s="2012" t="s">
        <v>1698</v>
      </c>
      <c r="K1" s="2012" t="s">
        <v>1699</v>
      </c>
      <c r="L1" s="2012" t="s">
        <v>1700</v>
      </c>
      <c r="M1" s="2012" t="s">
        <v>1701</v>
      </c>
      <c r="N1" s="2012" t="s">
        <v>1702</v>
      </c>
      <c r="O1" s="2012" t="s">
        <v>1703</v>
      </c>
      <c r="P1" s="2013" t="s">
        <v>753</v>
      </c>
      <c r="Q1" s="2013" t="s">
        <v>1144</v>
      </c>
      <c r="R1" s="2012" t="s">
        <v>1138</v>
      </c>
      <c r="S1" s="2012" t="s">
        <v>1704</v>
      </c>
      <c r="T1" s="2014" t="s">
        <v>1705</v>
      </c>
      <c r="U1" s="2012" t="s">
        <v>1706</v>
      </c>
      <c r="V1" s="2012" t="s">
        <v>1707</v>
      </c>
      <c r="W1" s="2012" t="s">
        <v>755</v>
      </c>
    </row>
    <row r="2" spans="1:23">
      <c r="A2" s="2016" t="s">
        <v>22</v>
      </c>
      <c r="B2" s="2016" t="s">
        <v>1708</v>
      </c>
      <c r="C2" s="2017" t="s">
        <v>760</v>
      </c>
      <c r="D2" s="2018" t="s">
        <v>1709</v>
      </c>
      <c r="E2" s="2018" t="s">
        <v>1710</v>
      </c>
      <c r="F2" s="2018" t="s">
        <v>1711</v>
      </c>
      <c r="G2" s="2018">
        <v>40</v>
      </c>
      <c r="H2" s="2018" t="s">
        <v>1711</v>
      </c>
      <c r="I2" s="2018" t="s">
        <v>1712</v>
      </c>
      <c r="J2" s="2018" t="s">
        <v>1713</v>
      </c>
      <c r="K2" s="2018" t="s">
        <v>1714</v>
      </c>
      <c r="L2" s="2018" t="s">
        <v>1714</v>
      </c>
      <c r="M2" s="2018" t="s">
        <v>1714</v>
      </c>
      <c r="N2" s="2018" t="s">
        <v>1714</v>
      </c>
      <c r="O2" s="2018" t="s">
        <v>1714</v>
      </c>
      <c r="P2" s="2018" t="s">
        <v>1714</v>
      </c>
      <c r="Q2" s="2018" t="s">
        <v>1714</v>
      </c>
      <c r="R2" s="2018" t="s">
        <v>1140</v>
      </c>
      <c r="S2" s="2018" t="s">
        <v>1714</v>
      </c>
      <c r="T2" s="2018" t="s">
        <v>1715</v>
      </c>
      <c r="U2" s="2018" t="s">
        <v>1714</v>
      </c>
      <c r="V2" s="2018" t="s">
        <v>1716</v>
      </c>
      <c r="W2" s="2018" t="s">
        <v>1714</v>
      </c>
    </row>
    <row r="3" spans="1:23">
      <c r="A3" s="2016" t="s">
        <v>1717</v>
      </c>
      <c r="B3" s="2019" t="s">
        <v>1145</v>
      </c>
      <c r="C3" s="2020" t="s">
        <v>761</v>
      </c>
      <c r="D3" s="2018" t="s">
        <v>1718</v>
      </c>
      <c r="E3" s="2018" t="s">
        <v>16</v>
      </c>
      <c r="F3" s="2018" t="s">
        <v>1719</v>
      </c>
      <c r="G3" s="2018">
        <v>50</v>
      </c>
      <c r="H3" s="2018" t="s">
        <v>1719</v>
      </c>
      <c r="I3" s="2018" t="s">
        <v>1720</v>
      </c>
      <c r="J3" s="2018" t="s">
        <v>1721</v>
      </c>
      <c r="K3" s="2018" t="s">
        <v>1722</v>
      </c>
      <c r="L3" s="2018" t="s">
        <v>1722</v>
      </c>
      <c r="M3" s="2018" t="s">
        <v>1722</v>
      </c>
      <c r="N3" s="2018" t="s">
        <v>1722</v>
      </c>
      <c r="O3" s="2018" t="s">
        <v>1722</v>
      </c>
      <c r="P3" s="2018" t="s">
        <v>1722</v>
      </c>
      <c r="Q3" s="2018" t="s">
        <v>1722</v>
      </c>
      <c r="R3" s="2018" t="s">
        <v>1139</v>
      </c>
      <c r="S3" s="2018" t="s">
        <v>1722</v>
      </c>
      <c r="T3" s="2018" t="s">
        <v>1723</v>
      </c>
      <c r="U3" s="2018" t="s">
        <v>1722</v>
      </c>
      <c r="V3" s="2018" t="s">
        <v>1724</v>
      </c>
      <c r="W3" s="2018" t="s">
        <v>1722</v>
      </c>
    </row>
    <row r="4" spans="1:23">
      <c r="A4" s="2016" t="s">
        <v>1725</v>
      </c>
      <c r="B4" s="2016" t="s">
        <v>1726</v>
      </c>
      <c r="C4" s="2017" t="s">
        <v>762</v>
      </c>
      <c r="D4" s="2018" t="s">
        <v>868</v>
      </c>
      <c r="E4" s="2018" t="s">
        <v>1727</v>
      </c>
      <c r="F4" s="2018" t="s">
        <v>1728</v>
      </c>
      <c r="G4" s="2018">
        <v>70</v>
      </c>
      <c r="H4" s="2018" t="s">
        <v>1728</v>
      </c>
      <c r="I4" s="2018" t="s">
        <v>1729</v>
      </c>
      <c r="K4" s="2018" t="s">
        <v>1730</v>
      </c>
      <c r="L4" s="2018" t="s">
        <v>1730</v>
      </c>
      <c r="M4" s="2018" t="s">
        <v>1730</v>
      </c>
      <c r="N4" s="2018" t="s">
        <v>1730</v>
      </c>
      <c r="O4" s="2018" t="s">
        <v>1730</v>
      </c>
      <c r="P4" s="2018" t="s">
        <v>1730</v>
      </c>
      <c r="Q4" s="2018" t="s">
        <v>1730</v>
      </c>
      <c r="R4" s="2018" t="s">
        <v>1141</v>
      </c>
      <c r="S4" s="2018" t="s">
        <v>1730</v>
      </c>
      <c r="T4" s="2018" t="s">
        <v>1731</v>
      </c>
      <c r="U4" s="2018" t="s">
        <v>1730</v>
      </c>
      <c r="W4" s="2018" t="s">
        <v>1730</v>
      </c>
    </row>
    <row r="5" spans="1:23">
      <c r="A5" s="2016" t="s">
        <v>1732</v>
      </c>
      <c r="B5" s="2016" t="s">
        <v>1733</v>
      </c>
      <c r="C5" s="2017" t="s">
        <v>763</v>
      </c>
      <c r="F5" s="2018" t="s">
        <v>1734</v>
      </c>
      <c r="H5" s="2018" t="s">
        <v>1735</v>
      </c>
      <c r="I5" s="2018" t="s">
        <v>1736</v>
      </c>
      <c r="K5" s="2018" t="s">
        <v>1737</v>
      </c>
      <c r="L5" s="2018" t="s">
        <v>1737</v>
      </c>
      <c r="M5" s="2018" t="s">
        <v>1737</v>
      </c>
      <c r="N5" s="2018" t="s">
        <v>1737</v>
      </c>
      <c r="O5" s="2018" t="s">
        <v>1737</v>
      </c>
      <c r="P5" s="2018" t="s">
        <v>1737</v>
      </c>
      <c r="Q5" s="2018" t="s">
        <v>1737</v>
      </c>
      <c r="R5" s="2018" t="s">
        <v>1142</v>
      </c>
      <c r="S5" s="2018" t="s">
        <v>1737</v>
      </c>
      <c r="T5" s="2018" t="s">
        <v>1738</v>
      </c>
      <c r="U5" s="2018" t="s">
        <v>1737</v>
      </c>
      <c r="W5" s="2018" t="s">
        <v>1737</v>
      </c>
    </row>
    <row r="6" spans="1:23">
      <c r="A6" s="2016" t="s">
        <v>1739</v>
      </c>
      <c r="B6" s="2019" t="s">
        <v>1146</v>
      </c>
      <c r="C6" s="2022" t="s">
        <v>30</v>
      </c>
      <c r="F6" s="2018" t="s">
        <v>1735</v>
      </c>
      <c r="H6" s="2018" t="s">
        <v>1740</v>
      </c>
      <c r="I6" s="2018" t="s">
        <v>1741</v>
      </c>
      <c r="K6" s="2018" t="s">
        <v>1742</v>
      </c>
      <c r="L6" s="2018" t="s">
        <v>1742</v>
      </c>
      <c r="M6" s="2018" t="s">
        <v>1742</v>
      </c>
      <c r="N6" s="2018" t="s">
        <v>1742</v>
      </c>
      <c r="O6" s="2018" t="s">
        <v>1742</v>
      </c>
      <c r="P6" s="2018" t="s">
        <v>1742</v>
      </c>
      <c r="Q6" s="2018" t="s">
        <v>1742</v>
      </c>
      <c r="R6" s="2018" t="s">
        <v>1143</v>
      </c>
      <c r="S6" s="2018" t="s">
        <v>1742</v>
      </c>
      <c r="T6" s="2018"/>
      <c r="U6" s="2018" t="s">
        <v>1742</v>
      </c>
      <c r="W6" s="2018" t="s">
        <v>1742</v>
      </c>
    </row>
    <row r="7" spans="1:23">
      <c r="A7" s="2016" t="s">
        <v>1743</v>
      </c>
      <c r="B7" s="2019" t="s">
        <v>1147</v>
      </c>
      <c r="C7" s="2017" t="s">
        <v>31</v>
      </c>
      <c r="F7" s="2018" t="s">
        <v>1744</v>
      </c>
      <c r="H7" s="2018" t="s">
        <v>1745</v>
      </c>
      <c r="I7" s="2018" t="s">
        <v>1746</v>
      </c>
    </row>
    <row r="8" spans="1:23">
      <c r="A8" s="2016" t="s">
        <v>1747</v>
      </c>
      <c r="B8" s="2016" t="s">
        <v>1748</v>
      </c>
      <c r="C8" s="2017" t="s">
        <v>764</v>
      </c>
      <c r="F8" s="2018" t="s">
        <v>1749</v>
      </c>
      <c r="H8" s="2018"/>
      <c r="I8" s="2018" t="s">
        <v>1750</v>
      </c>
    </row>
    <row r="9" spans="1:23">
      <c r="A9" s="2016" t="s">
        <v>1751</v>
      </c>
      <c r="B9" s="2016" t="s">
        <v>1752</v>
      </c>
      <c r="C9" s="2017" t="s">
        <v>765</v>
      </c>
      <c r="F9" s="2018" t="s">
        <v>1753</v>
      </c>
      <c r="H9" s="2018"/>
    </row>
    <row r="10" spans="1:23">
      <c r="A10" s="2016" t="s">
        <v>1754</v>
      </c>
      <c r="B10" s="2016" t="s">
        <v>1755</v>
      </c>
      <c r="C10" s="2017" t="s">
        <v>766</v>
      </c>
      <c r="F10" s="2018" t="s">
        <v>16</v>
      </c>
    </row>
    <row r="11" spans="1:23">
      <c r="A11" s="2016" t="s">
        <v>1756</v>
      </c>
      <c r="B11" s="2016" t="s">
        <v>1757</v>
      </c>
      <c r="C11" s="2017" t="s">
        <v>767</v>
      </c>
    </row>
    <row r="12" spans="1:23">
      <c r="A12" s="2016" t="s">
        <v>1758</v>
      </c>
      <c r="B12" s="2016" t="s">
        <v>1759</v>
      </c>
      <c r="C12" s="2017" t="s">
        <v>768</v>
      </c>
    </row>
    <row r="13" spans="1:23">
      <c r="A13" s="2016" t="s">
        <v>1760</v>
      </c>
      <c r="B13" s="2016" t="s">
        <v>1761</v>
      </c>
      <c r="C13" s="2017" t="s">
        <v>769</v>
      </c>
    </row>
    <row r="14" spans="1:23">
      <c r="A14" s="2016" t="s">
        <v>1762</v>
      </c>
      <c r="B14" s="2016" t="s">
        <v>1763</v>
      </c>
      <c r="C14" s="2018" t="s">
        <v>16</v>
      </c>
    </row>
    <row r="15" spans="1:23">
      <c r="A15" s="2016" t="s">
        <v>1764</v>
      </c>
      <c r="B15" s="2016" t="s">
        <v>1765</v>
      </c>
      <c r="C15" s="2017"/>
    </row>
    <row r="16" spans="1:23">
      <c r="A16" s="2016" t="s">
        <v>1766</v>
      </c>
      <c r="B16" s="2016" t="s">
        <v>756</v>
      </c>
      <c r="C16" s="2017"/>
    </row>
    <row r="17" spans="1:3">
      <c r="A17" s="2016" t="s">
        <v>1767</v>
      </c>
      <c r="B17" s="2016" t="s">
        <v>757</v>
      </c>
      <c r="C17" s="2017"/>
    </row>
    <row r="18" spans="1:3">
      <c r="A18" s="2016" t="s">
        <v>1768</v>
      </c>
      <c r="B18" s="2016" t="s">
        <v>757</v>
      </c>
      <c r="C18" s="2017"/>
    </row>
    <row r="19" spans="1:3">
      <c r="A19" s="2016" t="s">
        <v>1769</v>
      </c>
      <c r="B19" s="2016" t="s">
        <v>757</v>
      </c>
      <c r="C19" s="2017"/>
    </row>
    <row r="20" spans="1:3">
      <c r="A20" s="2016" t="s">
        <v>1770</v>
      </c>
      <c r="B20" s="2016" t="s">
        <v>757</v>
      </c>
      <c r="C20" s="2017"/>
    </row>
    <row r="21" spans="1:3">
      <c r="A21" s="2016" t="s">
        <v>1771</v>
      </c>
      <c r="B21" s="2016" t="s">
        <v>757</v>
      </c>
      <c r="C21" s="2017"/>
    </row>
    <row r="22" spans="1:3">
      <c r="A22" s="2016" t="s">
        <v>1772</v>
      </c>
      <c r="B22" s="2016" t="s">
        <v>757</v>
      </c>
      <c r="C22" s="2017"/>
    </row>
    <row r="23" spans="1:3">
      <c r="A23" s="2016" t="s">
        <v>1773</v>
      </c>
      <c r="B23" s="2016" t="s">
        <v>757</v>
      </c>
      <c r="C23" s="2017"/>
    </row>
    <row r="24" spans="1:3">
      <c r="A24" s="2016" t="s">
        <v>1774</v>
      </c>
      <c r="B24" s="2016" t="s">
        <v>757</v>
      </c>
      <c r="C24" s="2017"/>
    </row>
    <row r="25" spans="1:3">
      <c r="A25" s="2016" t="s">
        <v>1775</v>
      </c>
      <c r="B25" s="2016" t="s">
        <v>757</v>
      </c>
      <c r="C25" s="2017"/>
    </row>
    <row r="26" spans="1:3">
      <c r="A26" s="2016" t="s">
        <v>1776</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为估价委托人在向宏信证券办理贷款手续过程中，确定房地产抵押贷款额度提供参考依据而评估房地产抵押价值。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青岛福瀛房地产开发有限公司拟使用青岛市黄岛区滨海大道以南、石雀滩路北D地块1宗住宅用途出让国有建设用地使用权及在建建筑物房地产作为抵押担保物，向宏信证券办理贷款手续。宏信证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1"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1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11"/>
      <c r="B54" s="2024" t="s">
        <v>864</v>
      </c>
      <c r="C54" s="2021" t="s">
        <v>1281</v>
      </c>
    </row>
    <row r="55" spans="1:4">
      <c r="A55" s="3011"/>
      <c r="B55" s="2024" t="s">
        <v>865</v>
      </c>
      <c r="C55" s="2021" t="s">
        <v>1282</v>
      </c>
    </row>
    <row r="56" spans="1:4">
      <c r="A56" s="3011"/>
      <c r="B56" s="2024" t="s">
        <v>866</v>
      </c>
      <c r="C56" s="2021" t="s">
        <v>1286</v>
      </c>
    </row>
    <row r="57" spans="1:4">
      <c r="A57" s="3011"/>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topLeftCell="A7" zoomScale="90" zoomScaleSheetLayoutView="90" workbookViewId="0">
      <selection activeCell="D19" sqref="D19"/>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1777</v>
      </c>
      <c r="B1" s="3012" t="str">
        <f>IF(B10="北京市","北京市",C10)&amp;F10&amp;IF(结果表!G1="在建","出让国有建设用地使用权及在建建筑物",IF(结果表!G1="土地","出让国有建设用地使用权",))&amp;B9&amp;"预评估"</f>
        <v>青岛市黄岛区滨海大道以南、石雀滩路北D地块1宗住宅用途出让国有建设用地使用权及在建建筑物房地产抵押价值预评估</v>
      </c>
      <c r="C1" s="3013"/>
      <c r="D1" s="3013"/>
      <c r="E1" s="3013"/>
      <c r="F1" s="3013"/>
      <c r="G1" s="3013"/>
      <c r="H1" s="3013"/>
      <c r="I1" s="301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青岛市黄岛区滨海大道以南、石雀滩路北D地块1宗住宅用途出让国有建设用地使用权及在建建筑物房地产抵押价值</v>
      </c>
    </row>
    <row r="2" spans="1:19" ht="18" customHeight="1">
      <c r="A2" s="2028" t="s">
        <v>1778</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青岛市黄岛区滨海大道以南、石雀滩路北D地块1宗住宅用途出让国有建设用地使用权及在建建筑物房地产</v>
      </c>
    </row>
    <row r="3" spans="1:19" ht="18" customHeight="1">
      <c r="A3" s="2037" t="s">
        <v>1779</v>
      </c>
      <c r="B3" s="2038">
        <v>43160</v>
      </c>
      <c r="C3" s="2039" t="s">
        <v>1780</v>
      </c>
      <c r="D3" s="2038">
        <f>B3</f>
        <v>43160</v>
      </c>
      <c r="E3" s="2028"/>
      <c r="F3" s="2028"/>
      <c r="G3" s="2028"/>
      <c r="H3" s="2028"/>
      <c r="I3" s="2028"/>
      <c r="J3" s="2028"/>
      <c r="K3" s="2029"/>
      <c r="L3" s="2030"/>
      <c r="M3" s="2030"/>
      <c r="N3" s="2031"/>
      <c r="O3" s="2032"/>
      <c r="P3" s="2031"/>
      <c r="Q3" s="2031"/>
      <c r="R3" s="2031"/>
      <c r="S3" s="2033"/>
    </row>
    <row r="4" spans="1:19" ht="18" customHeight="1" thickBot="1">
      <c r="A4" s="2040" t="s">
        <v>1781</v>
      </c>
      <c r="B4" s="2041" t="s">
        <v>3132</v>
      </c>
      <c r="C4" s="1039">
        <f ca="1">SUMIF(注册房地产估价师,B4,估价师及机构信息!B3:B24)</f>
        <v>1120050019</v>
      </c>
      <c r="D4" s="2041" t="s">
        <v>3133</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1782</v>
      </c>
      <c r="B5" s="2954" t="s">
        <v>3131</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1783</v>
      </c>
      <c r="B6" s="2955" t="s">
        <v>3134</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thickTop="1">
      <c r="A7" s="2049" t="s">
        <v>1784</v>
      </c>
      <c r="B7" s="2954" t="s">
        <v>3131</v>
      </c>
      <c r="C7" s="2050"/>
      <c r="D7" s="2051"/>
      <c r="E7" s="2036"/>
      <c r="F7" s="2044"/>
      <c r="G7" s="2044"/>
      <c r="H7" s="2044"/>
      <c r="I7" s="2044"/>
      <c r="J7" s="2044"/>
      <c r="K7" s="2053"/>
      <c r="L7" s="2030"/>
      <c r="M7" s="2030"/>
      <c r="N7" s="2031"/>
      <c r="O7" s="2032"/>
      <c r="P7" s="2031"/>
      <c r="Q7" s="2031"/>
      <c r="R7" s="2031"/>
    </row>
    <row r="8" spans="1:19" ht="18" customHeight="1">
      <c r="A8" s="2049" t="s">
        <v>1785</v>
      </c>
      <c r="B8" s="2054" t="s">
        <v>3135</v>
      </c>
      <c r="C8" s="2055"/>
      <c r="D8" s="3015" t="s">
        <v>1786</v>
      </c>
      <c r="E8" s="2056" t="s">
        <v>3136</v>
      </c>
      <c r="F8" s="2057"/>
      <c r="G8" s="2028"/>
      <c r="H8" s="2028"/>
      <c r="I8" s="2028"/>
      <c r="J8" s="2044"/>
      <c r="K8" s="2045"/>
      <c r="L8" s="2030"/>
      <c r="M8" s="2030"/>
      <c r="N8" s="2031"/>
      <c r="O8" s="2032"/>
      <c r="P8" s="2031"/>
      <c r="Q8" s="2031"/>
      <c r="R8" s="2031"/>
    </row>
    <row r="9" spans="1:19" ht="18" customHeight="1" thickBot="1">
      <c r="A9" s="2042" t="s">
        <v>1787</v>
      </c>
      <c r="B9" s="2058" t="s">
        <v>3136</v>
      </c>
      <c r="C9" s="2059"/>
      <c r="D9" s="3016"/>
      <c r="E9" s="2058" t="s">
        <v>70</v>
      </c>
      <c r="F9" s="2060"/>
      <c r="G9" s="2061"/>
      <c r="H9" s="2061"/>
      <c r="I9" s="2061"/>
      <c r="J9" s="2044"/>
      <c r="K9" s="2053"/>
      <c r="L9" s="2030"/>
      <c r="M9" s="2030"/>
      <c r="N9" s="2031"/>
      <c r="O9" s="2032"/>
      <c r="P9" s="2031"/>
      <c r="Q9" s="2031"/>
      <c r="R9" s="2031"/>
    </row>
    <row r="10" spans="1:19" ht="18" customHeight="1" thickTop="1">
      <c r="A10" s="2062" t="s">
        <v>1788</v>
      </c>
      <c r="B10" s="2063" t="s">
        <v>3137</v>
      </c>
      <c r="C10" s="2956" t="s">
        <v>3138</v>
      </c>
      <c r="D10" s="2048"/>
      <c r="E10" s="2064" t="s">
        <v>1789</v>
      </c>
      <c r="F10" s="2940" t="s">
        <v>3139</v>
      </c>
      <c r="G10" s="2065"/>
      <c r="H10" s="2066"/>
      <c r="I10" s="2048"/>
      <c r="J10" s="2044"/>
      <c r="K10" s="2053"/>
      <c r="L10" s="2030"/>
      <c r="M10" s="2030"/>
      <c r="N10" s="2031"/>
      <c r="O10" s="2032"/>
      <c r="P10" s="2031"/>
      <c r="Q10" s="2031"/>
      <c r="R10" s="2031"/>
    </row>
    <row r="11" spans="1:19" ht="18" customHeight="1">
      <c r="A11" s="2067" t="s">
        <v>1790</v>
      </c>
      <c r="B11" s="2068" t="s">
        <v>3140</v>
      </c>
      <c r="C11" s="2069"/>
      <c r="D11" s="2070"/>
      <c r="E11" s="2044"/>
      <c r="F11" s="2044"/>
      <c r="G11" s="2044"/>
      <c r="H11" s="2044"/>
      <c r="I11" s="2044"/>
      <c r="J11" s="2044"/>
      <c r="K11" s="2053"/>
      <c r="L11" s="2030"/>
      <c r="M11" s="2030"/>
      <c r="N11" s="2031"/>
      <c r="O11" s="2032"/>
      <c r="P11" s="2031"/>
      <c r="Q11" s="2031"/>
      <c r="R11" s="2031"/>
    </row>
    <row r="12" spans="1:19" ht="18" customHeight="1">
      <c r="A12" s="2071" t="s">
        <v>1791</v>
      </c>
      <c r="B12" s="2068" t="s">
        <v>3048</v>
      </c>
      <c r="C12" s="2072" t="s">
        <v>1792</v>
      </c>
      <c r="D12" s="2073" t="s">
        <v>1793</v>
      </c>
      <c r="E12" s="2073" t="s">
        <v>1794</v>
      </c>
      <c r="F12" s="2073" t="s">
        <v>1795</v>
      </c>
      <c r="G12" s="2073" t="s">
        <v>1796</v>
      </c>
      <c r="H12" s="2073" t="s">
        <v>1797</v>
      </c>
      <c r="I12" s="2073" t="s">
        <v>1798</v>
      </c>
      <c r="J12" s="2044"/>
      <c r="K12" s="2053"/>
      <c r="L12" s="2030"/>
      <c r="M12" s="2030"/>
      <c r="N12" s="2031"/>
      <c r="O12" s="2032"/>
      <c r="P12" s="2031"/>
      <c r="Q12" s="2031"/>
      <c r="R12" s="2031"/>
    </row>
    <row r="13" spans="1:19" ht="18" customHeight="1">
      <c r="A13" s="2074"/>
      <c r="B13" s="2075"/>
      <c r="C13" s="2076" t="s">
        <v>1799</v>
      </c>
      <c r="D13" s="2077">
        <v>55321</v>
      </c>
      <c r="E13" s="2077"/>
      <c r="F13" s="2077"/>
      <c r="G13" s="2077"/>
      <c r="H13" s="2077"/>
      <c r="I13" s="1049"/>
      <c r="J13" s="2044"/>
      <c r="K13" s="2053"/>
      <c r="L13" s="2030"/>
      <c r="M13" s="2030"/>
      <c r="N13" s="2031"/>
      <c r="O13" s="2032"/>
      <c r="P13" s="2031"/>
      <c r="Q13" s="2031"/>
      <c r="R13" s="2031"/>
    </row>
    <row r="14" spans="1:19" ht="18" customHeight="1">
      <c r="A14" s="2074"/>
      <c r="B14" s="2075"/>
      <c r="C14" s="2076" t="s">
        <v>1800</v>
      </c>
      <c r="D14" s="1052">
        <v>70</v>
      </c>
      <c r="E14" s="1052"/>
      <c r="F14" s="1052"/>
      <c r="G14" s="1052"/>
      <c r="H14" s="1052"/>
      <c r="I14" s="1052"/>
      <c r="J14" s="2044"/>
      <c r="K14" s="2078"/>
      <c r="L14" s="2030"/>
      <c r="M14" s="2030"/>
      <c r="N14" s="2031"/>
      <c r="O14" s="2032"/>
      <c r="P14" s="2031"/>
      <c r="Q14" s="2031"/>
      <c r="R14" s="2031"/>
    </row>
    <row r="15" spans="1:19" ht="18" customHeight="1">
      <c r="A15" s="2062"/>
      <c r="B15" s="2079"/>
      <c r="C15" s="2076" t="s">
        <v>1801</v>
      </c>
      <c r="D15" s="1051">
        <f>IF(B12="出让",IF(D13="","",ROUNDDOWN(MIN((D13-$D$3)/365,D14),2)),D14)</f>
        <v>33.31</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80"/>
      <c r="L15" s="2081"/>
      <c r="M15" s="2081"/>
      <c r="N15" s="2082"/>
      <c r="O15" s="2081"/>
      <c r="P15" s="2082"/>
      <c r="Q15" s="2031"/>
      <c r="R15" s="2031"/>
    </row>
    <row r="16" spans="1:19" ht="30.75" customHeight="1">
      <c r="A16" s="2064" t="s">
        <v>1802</v>
      </c>
      <c r="B16" s="3022" t="s">
        <v>3144</v>
      </c>
      <c r="C16" s="3023"/>
      <c r="D16" s="3024"/>
      <c r="E16" s="2083" t="s">
        <v>1803</v>
      </c>
      <c r="F16" s="3025" t="s">
        <v>3143</v>
      </c>
      <c r="G16" s="3026"/>
      <c r="H16" s="3026"/>
      <c r="I16" s="3027"/>
      <c r="J16" s="2031"/>
      <c r="K16" s="2080"/>
      <c r="L16" s="2081"/>
      <c r="M16" s="2081"/>
      <c r="N16" s="2082"/>
      <c r="O16" s="2081"/>
      <c r="P16" s="2082"/>
      <c r="Q16" s="2031"/>
      <c r="R16" s="2031"/>
    </row>
    <row r="17" spans="1:22" ht="18" customHeight="1">
      <c r="A17" s="2084" t="s">
        <v>1804</v>
      </c>
      <c r="B17" s="2037" t="s">
        <v>1805</v>
      </c>
      <c r="C17" s="1056">
        <f>'数据-汇总表'!E3</f>
        <v>36223.67</v>
      </c>
      <c r="D17" s="2085" t="s">
        <v>1806</v>
      </c>
      <c r="E17" s="3028" t="s">
        <v>3141</v>
      </c>
      <c r="F17" s="3029"/>
      <c r="G17" s="3029"/>
      <c r="H17" s="3029"/>
      <c r="I17" s="3030"/>
      <c r="J17" s="2031"/>
      <c r="K17" s="2086"/>
      <c r="L17" s="2081"/>
      <c r="M17" s="2081"/>
      <c r="N17" s="2082"/>
      <c r="O17" s="2081"/>
      <c r="P17" s="2082"/>
      <c r="Q17" s="2031"/>
      <c r="R17" s="2031"/>
      <c r="S17" s="2031"/>
      <c r="T17" s="2031"/>
      <c r="U17" s="2031"/>
      <c r="V17" s="2031"/>
    </row>
    <row r="18" spans="1:22" ht="36" customHeight="1" thickBot="1">
      <c r="A18" s="2087" t="s">
        <v>1807</v>
      </c>
      <c r="B18" s="2040" t="s">
        <v>1808</v>
      </c>
      <c r="C18" s="1446">
        <f>'数据-汇总表'!D3</f>
        <v>5780</v>
      </c>
      <c r="D18" s="2088" t="s">
        <v>1806</v>
      </c>
      <c r="E18" s="3031" t="s">
        <v>3148</v>
      </c>
      <c r="F18" s="3032"/>
      <c r="G18" s="3032"/>
      <c r="H18" s="3032"/>
      <c r="I18" s="3033"/>
      <c r="J18" s="2031"/>
      <c r="K18" s="2086"/>
      <c r="L18" s="2081"/>
      <c r="M18" s="2081"/>
      <c r="N18" s="2082"/>
      <c r="O18" s="2081"/>
      <c r="P18" s="2082"/>
      <c r="Q18" s="2031"/>
      <c r="R18" s="2031"/>
      <c r="S18" s="2031"/>
      <c r="T18" s="2031"/>
      <c r="U18" s="2031"/>
      <c r="V18" s="2031"/>
    </row>
    <row r="19" spans="1:22" ht="37.5" customHeight="1" thickTop="1" thickBot="1">
      <c r="A19" s="372" t="s">
        <v>1809</v>
      </c>
      <c r="B19" s="351" t="s">
        <v>1810</v>
      </c>
      <c r="C19" s="2089" t="s">
        <v>3142</v>
      </c>
      <c r="D19" s="2090" t="s">
        <v>1811</v>
      </c>
      <c r="E19" s="2091" t="s">
        <v>3142</v>
      </c>
      <c r="F19" s="2092" t="str">
        <f>IF(AND(C19="是",E19="否"),"是否提供他项权证或相关说明","")</f>
        <v/>
      </c>
      <c r="G19" s="2093" t="s">
        <v>3142</v>
      </c>
      <c r="H19" s="2044"/>
      <c r="I19" s="2044"/>
      <c r="J19" s="2044"/>
      <c r="K19" s="2053"/>
      <c r="L19" s="2030"/>
      <c r="M19" s="2030"/>
      <c r="N19" s="2082"/>
      <c r="O19" s="2081"/>
      <c r="P19" s="2082"/>
      <c r="Q19" s="2031"/>
      <c r="R19" s="2031"/>
      <c r="S19" s="2031"/>
      <c r="T19" s="2031"/>
      <c r="U19" s="2031"/>
      <c r="V19" s="2031"/>
    </row>
    <row r="20" spans="1:22" ht="18" customHeight="1">
      <c r="A20" s="2094" t="s">
        <v>1812</v>
      </c>
      <c r="B20" s="3018" t="s">
        <v>1813</v>
      </c>
      <c r="C20" s="3019"/>
      <c r="D20" s="3020" t="s">
        <v>1814</v>
      </c>
      <c r="E20" s="3021"/>
      <c r="F20" s="2095" t="s">
        <v>1815</v>
      </c>
      <c r="G20" s="2044"/>
      <c r="H20" s="2044"/>
      <c r="I20" s="2044"/>
      <c r="J20" s="2044"/>
      <c r="K20" s="3017" t="s">
        <v>1816</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2"/>
      <c r="O20" s="2081"/>
      <c r="P20" s="2082"/>
      <c r="Q20" s="2031"/>
      <c r="R20" s="2031"/>
      <c r="S20" s="2031"/>
      <c r="T20" s="2031"/>
      <c r="U20" s="2031"/>
      <c r="V20" s="2031"/>
    </row>
    <row r="21" spans="1:22" ht="24.75" customHeight="1">
      <c r="A21" s="2094"/>
      <c r="B21" s="2096" t="s">
        <v>1817</v>
      </c>
      <c r="C21" s="2097" t="s">
        <v>1818</v>
      </c>
      <c r="D21" s="2098" t="s">
        <v>1819</v>
      </c>
      <c r="E21" s="2099" t="s">
        <v>1818</v>
      </c>
      <c r="F21" s="2100"/>
      <c r="G21" s="2044"/>
      <c r="H21" s="2044"/>
      <c r="I21" s="2044"/>
      <c r="J21" s="2044"/>
      <c r="K21" s="301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2"/>
      <c r="O21" s="2081"/>
      <c r="P21" s="2082"/>
      <c r="Q21" s="2031"/>
      <c r="R21" s="2031"/>
      <c r="S21" s="2031"/>
      <c r="T21" s="2031"/>
      <c r="U21" s="2031"/>
      <c r="V21" s="2031"/>
    </row>
    <row r="22" spans="1:22" ht="24.75" customHeight="1" thickBot="1">
      <c r="A22" s="2094"/>
      <c r="B22" s="2101" t="s">
        <v>1820</v>
      </c>
      <c r="C22" s="2097" t="s">
        <v>1821</v>
      </c>
      <c r="D22" s="2028"/>
      <c r="E22" s="2028"/>
      <c r="F22" s="2102"/>
      <c r="G22" s="2044"/>
      <c r="H22" s="2044"/>
      <c r="I22" s="2044"/>
      <c r="J22" s="2044"/>
      <c r="K22" s="301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2"/>
      <c r="O22" s="2081"/>
      <c r="P22" s="2082"/>
      <c r="Q22" s="2031"/>
      <c r="R22" s="2031"/>
      <c r="S22" s="2031"/>
      <c r="T22" s="2031"/>
      <c r="U22" s="2031"/>
      <c r="V22" s="2031"/>
    </row>
    <row r="23" spans="1:22" ht="18" customHeight="1">
      <c r="A23" s="2103" t="s">
        <v>1822</v>
      </c>
      <c r="B23" s="182" t="s">
        <v>1823</v>
      </c>
      <c r="C23" s="2104"/>
      <c r="D23" s="2105" t="s">
        <v>1823</v>
      </c>
      <c r="E23" s="2106"/>
      <c r="F23" s="2102"/>
      <c r="G23" s="2044"/>
      <c r="H23" s="2044"/>
      <c r="I23" s="2044"/>
      <c r="J23" s="2044"/>
      <c r="K23" s="2107"/>
      <c r="L23" s="747"/>
      <c r="M23" s="2030"/>
      <c r="N23" s="2082"/>
      <c r="O23" s="2081"/>
      <c r="P23" s="2082"/>
      <c r="Q23" s="2031"/>
      <c r="R23" s="2031"/>
      <c r="S23" s="2031"/>
      <c r="T23" s="2031"/>
      <c r="U23" s="2031"/>
      <c r="V23" s="2031"/>
    </row>
    <row r="24" spans="1:22" ht="18" customHeight="1">
      <c r="A24" s="2108"/>
      <c r="B24" s="182" t="s">
        <v>1824</v>
      </c>
      <c r="C24" s="2109"/>
      <c r="D24" s="2103" t="s">
        <v>1824</v>
      </c>
      <c r="E24" s="2110"/>
      <c r="F24" s="2102"/>
      <c r="G24" s="2044"/>
      <c r="H24" s="2044"/>
      <c r="I24" s="2044"/>
      <c r="J24" s="2044"/>
      <c r="K24" s="2107"/>
      <c r="L24" s="747"/>
      <c r="M24" s="2030"/>
      <c r="N24" s="2082"/>
      <c r="O24" s="2081"/>
      <c r="P24" s="2082"/>
      <c r="Q24" s="2031"/>
      <c r="R24" s="2031"/>
      <c r="S24" s="2031"/>
      <c r="T24" s="2031"/>
      <c r="U24" s="2031"/>
      <c r="V24" s="2031"/>
    </row>
    <row r="25" spans="1:22" ht="18" customHeight="1">
      <c r="A25" s="2108"/>
      <c r="B25" s="182" t="s">
        <v>1825</v>
      </c>
      <c r="C25" s="2109"/>
      <c r="D25" s="2103" t="s">
        <v>1825</v>
      </c>
      <c r="E25" s="2110"/>
      <c r="F25" s="2102"/>
      <c r="G25" s="2044"/>
      <c r="H25" s="2044"/>
      <c r="I25" s="2044"/>
      <c r="J25" s="2044"/>
      <c r="K25" s="2053"/>
      <c r="L25" s="2030"/>
      <c r="M25" s="2030"/>
      <c r="N25" s="2082"/>
      <c r="O25" s="2081"/>
      <c r="P25" s="2082"/>
      <c r="Q25" s="2031"/>
      <c r="R25" s="2031"/>
      <c r="S25" s="2031"/>
      <c r="T25" s="2031"/>
      <c r="U25" s="2031"/>
      <c r="V25" s="2031"/>
    </row>
    <row r="26" spans="1:22" ht="18" customHeight="1" thickBot="1">
      <c r="A26" s="2111"/>
      <c r="B26" s="2112" t="s">
        <v>1826</v>
      </c>
      <c r="C26" s="2113"/>
      <c r="D26" s="2114" t="s">
        <v>1827</v>
      </c>
      <c r="E26" s="2115"/>
      <c r="F26" s="2116"/>
      <c r="G26" s="2061"/>
      <c r="H26" s="2061"/>
      <c r="I26" s="2061"/>
      <c r="J26" s="2044"/>
      <c r="K26" s="2053"/>
      <c r="L26" s="2030"/>
      <c r="M26" s="2030"/>
      <c r="N26" s="2082"/>
      <c r="O26" s="2081"/>
      <c r="P26" s="2082"/>
      <c r="Q26" s="2031"/>
      <c r="R26" s="2031"/>
      <c r="S26" s="2031"/>
      <c r="T26" s="2031"/>
      <c r="U26" s="2031"/>
      <c r="V26" s="2031"/>
    </row>
    <row r="27" spans="1:22" ht="18" customHeight="1" thickTop="1">
      <c r="A27" s="3035" t="s">
        <v>1828</v>
      </c>
      <c r="B27" s="2062" t="s">
        <v>1829</v>
      </c>
      <c r="C27" s="2117" t="s">
        <v>3145</v>
      </c>
      <c r="D27" s="2118"/>
      <c r="E27" s="2044"/>
      <c r="F27" s="2044"/>
      <c r="G27" s="2044"/>
      <c r="H27" s="2044"/>
      <c r="I27" s="2044"/>
      <c r="J27" s="2031"/>
      <c r="K27" s="2080"/>
      <c r="L27" s="2081"/>
      <c r="M27" s="2081"/>
      <c r="N27" s="2082"/>
      <c r="O27" s="2081"/>
      <c r="P27" s="2082"/>
      <c r="Q27" s="2031"/>
      <c r="R27" s="2031"/>
      <c r="S27" s="2031"/>
      <c r="T27" s="2031"/>
      <c r="U27" s="2031"/>
      <c r="V27" s="2031"/>
    </row>
    <row r="28" spans="1:22" ht="18" customHeight="1">
      <c r="A28" s="3035"/>
      <c r="B28" s="2037" t="s">
        <v>1830</v>
      </c>
      <c r="C28" s="2119" t="s">
        <v>3087</v>
      </c>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35"/>
      <c r="B29" s="2037" t="s">
        <v>1831</v>
      </c>
      <c r="C29" s="2122" t="s">
        <v>3142</v>
      </c>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36"/>
      <c r="B30" s="2037" t="s">
        <v>1832</v>
      </c>
      <c r="C30" s="3037"/>
      <c r="D30" s="3038"/>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39" t="s">
        <v>1833</v>
      </c>
      <c r="B31" s="2124" t="s">
        <v>3146</v>
      </c>
      <c r="C31" s="2125" t="str">
        <f>IF(B31="现房","成新及维护状况正常否",IF(B31="在建","工程状态是否正常",IF(B31="土地","是否闲置","-")))</f>
        <v>工程状态是否正常</v>
      </c>
      <c r="D31" s="2126"/>
      <c r="E31" s="2127"/>
      <c r="F31" s="2044"/>
      <c r="G31" s="2044"/>
      <c r="H31" s="2044"/>
      <c r="I31" s="2044"/>
      <c r="J31" s="2044"/>
      <c r="K31" s="2052"/>
      <c r="L31" s="2030"/>
      <c r="M31" s="2030"/>
      <c r="N31" s="2031"/>
      <c r="O31" s="2032"/>
      <c r="P31" s="2031"/>
      <c r="Q31" s="2031"/>
      <c r="R31" s="2031"/>
      <c r="S31" s="2031"/>
      <c r="T31" s="2031"/>
      <c r="U31" s="2031"/>
      <c r="V31" s="2031"/>
    </row>
    <row r="32" spans="1:22" ht="18" customHeight="1">
      <c r="A32" s="3040"/>
      <c r="B32" s="2124"/>
      <c r="C32" s="2125" t="str">
        <f>IF(B32="现房","成新及维护状况是否正常",IF(B32="在建","工程状态是否正常",IF(B32="土地","是否闲置","-")))</f>
        <v>-</v>
      </c>
      <c r="D32" s="2126"/>
      <c r="E32" s="2127"/>
      <c r="F32" s="2044"/>
      <c r="G32" s="2044"/>
      <c r="H32" s="2044"/>
      <c r="I32" s="2044"/>
      <c r="J32" s="2044"/>
      <c r="K32" s="2053"/>
      <c r="L32" s="2030"/>
      <c r="M32" s="2030"/>
      <c r="N32" s="2031"/>
      <c r="O32" s="2032"/>
      <c r="P32" s="2031"/>
      <c r="Q32" s="2031"/>
      <c r="R32" s="2031"/>
      <c r="S32" s="2031"/>
      <c r="T32" s="2031"/>
      <c r="U32" s="2031"/>
      <c r="V32" s="2031"/>
    </row>
    <row r="33" spans="1:22" ht="18" customHeight="1">
      <c r="A33" s="3040"/>
      <c r="B33" s="2128"/>
      <c r="C33" s="2067" t="str">
        <f>IF(B33="现房","成新及维护状况是否正常",IF(B33="在建","工程状态是否正常",IF(B33="土地","是否闲置","-")))</f>
        <v>-</v>
      </c>
      <c r="D33" s="2129"/>
      <c r="E33" s="2130"/>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1834</v>
      </c>
      <c r="B34" s="2131"/>
      <c r="C34" s="2131"/>
      <c r="D34" s="2131"/>
      <c r="E34" s="2131"/>
      <c r="F34" s="2131"/>
      <c r="G34" s="2131"/>
      <c r="H34" s="2131"/>
      <c r="I34" s="2044"/>
      <c r="J34" s="2044"/>
      <c r="K34" s="1797">
        <f>COUNTIF(B34:H34,"——")</f>
        <v>0</v>
      </c>
      <c r="L34" s="2072" t="s">
        <v>1835</v>
      </c>
      <c r="M34" s="2072" t="s">
        <v>1836</v>
      </c>
      <c r="N34" s="2072" t="s">
        <v>1837</v>
      </c>
      <c r="O34" s="2072" t="s">
        <v>1838</v>
      </c>
      <c r="P34" s="2072" t="s">
        <v>1839</v>
      </c>
      <c r="Q34" s="2072" t="s">
        <v>1840</v>
      </c>
      <c r="R34" s="2072" t="s">
        <v>1841</v>
      </c>
      <c r="S34" s="3034" t="s">
        <v>1842</v>
      </c>
      <c r="T34" s="2132" t="str">
        <f>NUMBERSTRING(7-K34,1)&amp;"通"</f>
        <v>七通</v>
      </c>
      <c r="U34" s="2031"/>
      <c r="V34" s="2031"/>
    </row>
    <row r="35" spans="1:22" ht="18" customHeight="1">
      <c r="A35" s="2133"/>
      <c r="B35" s="3041" t="s">
        <v>1843</v>
      </c>
      <c r="C35" s="3041"/>
      <c r="D35" s="3041"/>
      <c r="E35" s="3041"/>
      <c r="F35" s="2134" t="str">
        <f>C10</f>
        <v>青岛市</v>
      </c>
      <c r="G35" s="2044"/>
      <c r="H35" s="2044"/>
      <c r="I35" s="2044"/>
      <c r="J35" s="2044"/>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4"/>
      <c r="T35" s="48" t="str">
        <f>IF(T34="一通",L35,IF(T34="二通",M35,IF(T34="三通",N35,IF(T34="四通",O35,IF(T34="五通",P35,IF(T34="六通",Q35,R35))))))</f>
        <v>、、、、、、</v>
      </c>
      <c r="U35" s="2031"/>
      <c r="V35" s="2031"/>
    </row>
    <row r="36" spans="1:22" ht="18" customHeight="1">
      <c r="A36" s="2135"/>
      <c r="B36" s="2134" t="s">
        <v>1844</v>
      </c>
      <c r="C36" s="2134" t="s">
        <v>1845</v>
      </c>
      <c r="D36" s="2134" t="s">
        <v>1846</v>
      </c>
      <c r="E36" s="2134" t="s">
        <v>1847</v>
      </c>
      <c r="F36" s="2136"/>
      <c r="G36" s="2044"/>
      <c r="H36" s="2044"/>
      <c r="I36" s="2044"/>
      <c r="J36" s="2044"/>
      <c r="K36" s="2053"/>
      <c r="L36" s="2030"/>
      <c r="M36" s="2030"/>
      <c r="N36" s="2031"/>
      <c r="O36" s="2032"/>
      <c r="P36" s="2031"/>
      <c r="Q36" s="2031"/>
      <c r="R36" s="2031"/>
      <c r="S36" s="2031"/>
      <c r="T36" s="2031"/>
      <c r="U36" s="2031"/>
      <c r="V36" s="2031"/>
    </row>
    <row r="37" spans="1:22" ht="18" customHeight="1">
      <c r="A37" s="2137" t="s">
        <v>1848</v>
      </c>
      <c r="B37" s="2138"/>
      <c r="C37" s="2138"/>
      <c r="D37" s="2138"/>
      <c r="E37" s="2138"/>
      <c r="F37" s="2136"/>
      <c r="G37" s="2044"/>
      <c r="H37" s="2044"/>
      <c r="I37" s="2044"/>
      <c r="J37" s="2044"/>
      <c r="K37" s="2053"/>
      <c r="L37" s="2030"/>
      <c r="M37" s="2030"/>
      <c r="N37" s="2031"/>
      <c r="O37" s="2032"/>
      <c r="P37" s="2031"/>
      <c r="Q37" s="2031"/>
      <c r="R37" s="2031"/>
      <c r="S37" s="2031"/>
      <c r="T37" s="2031"/>
      <c r="U37" s="2031"/>
      <c r="V37" s="2031"/>
    </row>
    <row r="38" spans="1:22" ht="18" customHeight="1" thickBot="1">
      <c r="A38" s="2139" t="s">
        <v>1849</v>
      </c>
      <c r="B38" s="2140"/>
      <c r="C38" s="2140"/>
      <c r="D38" s="2140"/>
      <c r="E38" s="2140"/>
      <c r="F38" s="2141"/>
      <c r="G38" s="2061"/>
      <c r="H38" s="2061"/>
      <c r="I38" s="2061"/>
      <c r="J38" s="2044"/>
      <c r="K38" s="2053"/>
      <c r="L38" s="2030"/>
      <c r="M38" s="2030"/>
      <c r="N38" s="2031"/>
      <c r="O38" s="2032"/>
      <c r="P38" s="2031"/>
      <c r="Q38" s="2031"/>
      <c r="R38" s="2031"/>
      <c r="S38" s="2031"/>
      <c r="T38" s="2031"/>
      <c r="U38" s="2031"/>
      <c r="V38" s="2031"/>
    </row>
    <row r="39" spans="1:22" s="2146" customFormat="1" ht="18" customHeight="1" thickTop="1" thickBot="1">
      <c r="A39" s="2142" t="s">
        <v>1850</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2"/>
      <c r="K40" s="665"/>
      <c r="L40" s="2081"/>
      <c r="M40" s="2081"/>
      <c r="N40" s="2082"/>
      <c r="O40" s="2081"/>
      <c r="P40" s="2031"/>
      <c r="Q40" s="2031"/>
      <c r="R40" s="2031"/>
      <c r="S40" s="2031"/>
      <c r="T40" s="2031"/>
      <c r="U40" s="2031"/>
      <c r="V40" s="2031"/>
    </row>
    <row r="41" spans="1:22" ht="18" customHeight="1">
      <c r="A41" s="8" t="s">
        <v>1851</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2" t="s">
        <v>1852</v>
      </c>
      <c r="B42" s="1797" t="s">
        <v>1853</v>
      </c>
      <c r="C42" s="1797" t="s">
        <v>1854</v>
      </c>
      <c r="D42" s="1797" t="s">
        <v>1855</v>
      </c>
      <c r="E42" s="1797" t="s">
        <v>1856</v>
      </c>
      <c r="F42" s="1797" t="s">
        <v>1857</v>
      </c>
      <c r="G42" s="1797" t="s">
        <v>1858</v>
      </c>
      <c r="H42" s="1797" t="s">
        <v>1859</v>
      </c>
      <c r="I42" s="1797" t="s">
        <v>1860</v>
      </c>
      <c r="J42" s="2150" t="s">
        <v>1861</v>
      </c>
      <c r="K42" s="2073" t="s">
        <v>1862</v>
      </c>
      <c r="L42" s="2073" t="s">
        <v>1863</v>
      </c>
      <c r="M42" s="2073" t="s">
        <v>1864</v>
      </c>
      <c r="N42" s="1797" t="s">
        <v>1865</v>
      </c>
      <c r="O42" s="1797" t="s">
        <v>1866</v>
      </c>
      <c r="P42" s="1797" t="s">
        <v>1867</v>
      </c>
      <c r="Q42" s="2072" t="s">
        <v>1868</v>
      </c>
      <c r="R42" s="2072" t="s">
        <v>1869</v>
      </c>
      <c r="S42" s="2031"/>
      <c r="T42" s="2031"/>
      <c r="U42" s="2031"/>
      <c r="V42" s="2031"/>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1" sqref="D11"/>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hidden="1" customWidth="1"/>
    <col min="12"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hidden="1" customWidth="1"/>
    <col min="31" max="31" width="9.75" style="2157" hidden="1" customWidth="1"/>
    <col min="32" max="33" width="9.5" style="2157" hidden="1" customWidth="1"/>
    <col min="34" max="37" width="9.5" style="2157" customWidth="1"/>
    <col min="38" max="39" width="9.5" style="2157" hidden="1" customWidth="1"/>
    <col min="40" max="41" width="9.5" style="2157" customWidth="1"/>
    <col min="42" max="45" width="9.5" style="2157" hidden="1" customWidth="1"/>
    <col min="46"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1870</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1871</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1872</v>
      </c>
      <c r="B2" s="11" t="s">
        <v>1873</v>
      </c>
      <c r="C2" s="11" t="s">
        <v>1874</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1875</v>
      </c>
      <c r="AZ2" s="1272" t="s">
        <v>1876</v>
      </c>
      <c r="BA2" s="11" t="s">
        <v>1877</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5780</v>
      </c>
      <c r="B3" s="14">
        <f>IF(C3="否",G5-AT5,G5)</f>
        <v>36223.67</v>
      </c>
      <c r="C3" s="2166" t="s">
        <v>1878</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1879</v>
      </c>
      <c r="B5" s="1805"/>
      <c r="C5" s="1805"/>
      <c r="D5" s="1808"/>
      <c r="E5" s="16" t="s">
        <v>1</v>
      </c>
      <c r="F5" s="16">
        <f>SUM(F13:F587)</f>
        <v>0</v>
      </c>
      <c r="G5" s="16">
        <f>SUM(G13:G587)</f>
        <v>36223.67</v>
      </c>
      <c r="H5" s="16">
        <f t="shared" ref="H5:AT5" si="0">SUM(H13:H656)</f>
        <v>24724.93</v>
      </c>
      <c r="I5" s="16">
        <f t="shared" si="0"/>
        <v>24724.93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11498.74</v>
      </c>
      <c r="AD5" s="16">
        <f t="shared" si="0"/>
        <v>0</v>
      </c>
      <c r="AE5" s="16">
        <f t="shared" si="0"/>
        <v>0</v>
      </c>
      <c r="AF5" s="16">
        <f t="shared" si="0"/>
        <v>0</v>
      </c>
      <c r="AG5" s="16">
        <f t="shared" si="0"/>
        <v>0</v>
      </c>
      <c r="AH5" s="16">
        <f t="shared" si="0"/>
        <v>84.83</v>
      </c>
      <c r="AI5" s="16">
        <f t="shared" si="0"/>
        <v>0</v>
      </c>
      <c r="AJ5" s="16">
        <f t="shared" si="0"/>
        <v>109.34</v>
      </c>
      <c r="AK5" s="16">
        <f t="shared" si="0"/>
        <v>0</v>
      </c>
      <c r="AL5" s="16">
        <f t="shared" si="0"/>
        <v>0</v>
      </c>
      <c r="AM5" s="16">
        <f t="shared" si="0"/>
        <v>0</v>
      </c>
      <c r="AN5" s="16">
        <f t="shared" si="0"/>
        <v>11304.57</v>
      </c>
      <c r="AO5" s="16">
        <f t="shared" si="0"/>
        <v>0</v>
      </c>
      <c r="AP5" s="16">
        <f t="shared" si="0"/>
        <v>0</v>
      </c>
      <c r="AQ5" s="16">
        <f t="shared" si="0"/>
        <v>0</v>
      </c>
      <c r="AR5" s="16">
        <f t="shared" si="0"/>
        <v>0</v>
      </c>
      <c r="AS5" s="16">
        <f t="shared" si="0"/>
        <v>0</v>
      </c>
      <c r="AT5" s="16">
        <f t="shared" si="0"/>
        <v>0</v>
      </c>
      <c r="AU5" s="1804"/>
      <c r="AV5" s="15" t="s">
        <v>1879</v>
      </c>
      <c r="AW5" s="1805"/>
      <c r="AX5" s="1805"/>
      <c r="AY5" s="17" t="s">
        <v>3</v>
      </c>
      <c r="AZ5" s="18">
        <f t="shared" ref="AZ5:BT5" si="1">SUM(AZ13:AZ656)</f>
        <v>36223.67</v>
      </c>
      <c r="BA5" s="18">
        <f t="shared" si="1"/>
        <v>24724.93</v>
      </c>
      <c r="BB5" s="18">
        <f t="shared" si="1"/>
        <v>24724.93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11498.74</v>
      </c>
      <c r="BM5" s="18">
        <f t="shared" si="1"/>
        <v>0</v>
      </c>
      <c r="BN5" s="18">
        <f t="shared" si="1"/>
        <v>0</v>
      </c>
      <c r="BO5" s="18">
        <f t="shared" si="1"/>
        <v>84.83</v>
      </c>
      <c r="BP5" s="18">
        <f t="shared" si="1"/>
        <v>109.34</v>
      </c>
      <c r="BQ5" s="18">
        <f t="shared" si="1"/>
        <v>0</v>
      </c>
      <c r="BR5" s="18">
        <f t="shared" si="1"/>
        <v>11304.57</v>
      </c>
      <c r="BS5" s="18">
        <f t="shared" si="1"/>
        <v>0</v>
      </c>
      <c r="BT5" s="19">
        <f t="shared" si="1"/>
        <v>0</v>
      </c>
    </row>
    <row r="6" spans="1:72" s="2175" customFormat="1" ht="12.75">
      <c r="A6" s="15" t="s">
        <v>1880</v>
      </c>
      <c r="B6" s="2172"/>
      <c r="C6" s="2172"/>
      <c r="D6" s="2173"/>
      <c r="E6" s="16">
        <f>H6+AC6+AT6</f>
        <v>5780</v>
      </c>
      <c r="F6" s="16" t="s">
        <v>1</v>
      </c>
      <c r="G6" s="16" t="s">
        <v>2</v>
      </c>
      <c r="H6" s="20">
        <f>SUMIF(I$12:AB$12,"总值",I6:AB6)</f>
        <v>3945.21</v>
      </c>
      <c r="I6" s="16">
        <f t="shared" ref="I6:AB6" si="2">ROUND($A$3*I5/$B$3,2)</f>
        <v>3945.21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1834.79</v>
      </c>
      <c r="AD6" s="16">
        <f t="shared" ref="AD6:AS6" si="3">ROUND($A$3*AD5/$B$3,2)</f>
        <v>0</v>
      </c>
      <c r="AE6" s="16">
        <f t="shared" si="3"/>
        <v>0</v>
      </c>
      <c r="AF6" s="16">
        <f t="shared" si="3"/>
        <v>0</v>
      </c>
      <c r="AG6" s="16">
        <f t="shared" si="3"/>
        <v>0</v>
      </c>
      <c r="AH6" s="16">
        <f t="shared" si="3"/>
        <v>13.54</v>
      </c>
      <c r="AI6" s="16">
        <f t="shared" si="3"/>
        <v>0</v>
      </c>
      <c r="AJ6" s="16">
        <f t="shared" si="3"/>
        <v>17.45</v>
      </c>
      <c r="AK6" s="16">
        <f t="shared" si="3"/>
        <v>0</v>
      </c>
      <c r="AL6" s="16">
        <f t="shared" si="3"/>
        <v>0</v>
      </c>
      <c r="AM6" s="16">
        <f t="shared" si="3"/>
        <v>0</v>
      </c>
      <c r="AN6" s="16">
        <f t="shared" si="3"/>
        <v>1803.8</v>
      </c>
      <c r="AO6" s="16">
        <f t="shared" si="3"/>
        <v>0</v>
      </c>
      <c r="AP6" s="16">
        <f t="shared" si="3"/>
        <v>0</v>
      </c>
      <c r="AQ6" s="16">
        <f t="shared" si="3"/>
        <v>0</v>
      </c>
      <c r="AR6" s="16">
        <f t="shared" si="3"/>
        <v>0</v>
      </c>
      <c r="AS6" s="16">
        <f t="shared" si="3"/>
        <v>0</v>
      </c>
      <c r="AT6" s="20">
        <f>IF(C3="是",ROUND($A$3*AT5/$B$3,2),0)</f>
        <v>0</v>
      </c>
      <c r="AU6" s="2174"/>
      <c r="AV6" s="15" t="s">
        <v>1880</v>
      </c>
      <c r="AW6" s="2172"/>
      <c r="AX6" s="2172"/>
      <c r="AY6" s="21">
        <f>IF(AY3&gt;0,AY3,ROUND($A$3*AZ5/$B$3,2))</f>
        <v>5780</v>
      </c>
      <c r="AZ6" s="16" t="s">
        <v>3</v>
      </c>
      <c r="BA6" s="16">
        <f>ROUND($AY$6*BA5/$AZ$5,2)</f>
        <v>3945.21</v>
      </c>
      <c r="BB6" s="16">
        <f>ROUND($AY$6*BB5/$AZ$5,2)</f>
        <v>3945.21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1834.79</v>
      </c>
      <c r="BM6" s="16">
        <f t="shared" si="5"/>
        <v>0</v>
      </c>
      <c r="BN6" s="16">
        <f t="shared" si="5"/>
        <v>0</v>
      </c>
      <c r="BO6" s="16">
        <f t="shared" si="5"/>
        <v>13.54</v>
      </c>
      <c r="BP6" s="16">
        <f t="shared" si="5"/>
        <v>17.45</v>
      </c>
      <c r="BQ6" s="16">
        <f t="shared" si="5"/>
        <v>0</v>
      </c>
      <c r="BR6" s="16">
        <f t="shared" si="5"/>
        <v>1803.8</v>
      </c>
      <c r="BS6" s="16">
        <f t="shared" si="5"/>
        <v>0</v>
      </c>
      <c r="BT6" s="22">
        <f t="shared" si="5"/>
        <v>0</v>
      </c>
    </row>
    <row r="7" spans="1:72" s="2165" customFormat="1" ht="24.75">
      <c r="A7" s="2107" t="s">
        <v>1881</v>
      </c>
      <c r="B7" s="2107" t="s">
        <v>1882</v>
      </c>
      <c r="C7" s="2107" t="s">
        <v>1883</v>
      </c>
      <c r="D7" s="2107" t="s">
        <v>1884</v>
      </c>
      <c r="E7" s="2107" t="s">
        <v>1885</v>
      </c>
      <c r="F7" s="2107" t="s">
        <v>1886</v>
      </c>
      <c r="G7" s="2176" t="s">
        <v>1887</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1888</v>
      </c>
      <c r="AV7" s="23" t="s">
        <v>1889</v>
      </c>
      <c r="AW7" s="2164" t="s">
        <v>1890</v>
      </c>
      <c r="AX7" s="23" t="s">
        <v>1883</v>
      </c>
      <c r="AY7" s="1805" t="s">
        <v>1891</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1892</v>
      </c>
      <c r="H8" s="2182" t="s">
        <v>1893</v>
      </c>
      <c r="I8" s="2183"/>
      <c r="J8" s="1820"/>
      <c r="K8" s="1820"/>
      <c r="L8" s="1820"/>
      <c r="M8" s="1820"/>
      <c r="N8" s="1820"/>
      <c r="O8" s="1820"/>
      <c r="P8" s="1820"/>
      <c r="Q8" s="1820"/>
      <c r="R8" s="1820"/>
      <c r="S8" s="1820"/>
      <c r="T8" s="1820"/>
      <c r="U8" s="1820"/>
      <c r="V8" s="2184"/>
      <c r="W8" s="1820"/>
      <c r="X8" s="1820"/>
      <c r="Y8" s="1820"/>
      <c r="Z8" s="1820"/>
      <c r="AA8" s="2184"/>
      <c r="AB8" s="2185"/>
      <c r="AC8" s="983" t="s">
        <v>1894</v>
      </c>
      <c r="AD8" s="2186"/>
      <c r="AE8" s="2178"/>
      <c r="AF8" s="1820"/>
      <c r="AG8" s="1820"/>
      <c r="AH8" s="1820"/>
      <c r="AI8" s="1820"/>
      <c r="AJ8" s="1820"/>
      <c r="AK8" s="1820"/>
      <c r="AL8" s="1820"/>
      <c r="AM8" s="1820"/>
      <c r="AN8" s="1820"/>
      <c r="AO8" s="1820"/>
      <c r="AP8" s="1820"/>
      <c r="AQ8" s="1820"/>
      <c r="AR8" s="1820"/>
      <c r="AS8" s="1820"/>
      <c r="AT8" s="1294" t="s">
        <v>1895</v>
      </c>
      <c r="AU8" s="2180" t="s">
        <v>1896</v>
      </c>
      <c r="AV8" s="1294"/>
      <c r="AW8" s="2163"/>
      <c r="AX8" s="1294"/>
      <c r="AY8" s="2164" t="s">
        <v>1897</v>
      </c>
      <c r="AZ8" s="1819" t="s">
        <v>1898</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4"/>
      <c r="H9" s="2188" t="s">
        <v>1899</v>
      </c>
      <c r="I9" s="2189" t="s">
        <v>3049</v>
      </c>
      <c r="J9" s="983"/>
      <c r="K9" s="2189"/>
      <c r="L9" s="983"/>
      <c r="M9" s="2189"/>
      <c r="N9" s="983"/>
      <c r="O9" s="2189"/>
      <c r="P9" s="983"/>
      <c r="Q9" s="2189"/>
      <c r="R9" s="983"/>
      <c r="S9" s="2189"/>
      <c r="T9" s="983"/>
      <c r="U9" s="2189"/>
      <c r="V9" s="983"/>
      <c r="W9" s="2189"/>
      <c r="X9" s="2190"/>
      <c r="Y9" s="2189"/>
      <c r="Z9" s="983"/>
      <c r="AA9" s="2189"/>
      <c r="AB9" s="983"/>
      <c r="AC9" s="2181" t="s">
        <v>1899</v>
      </c>
      <c r="AD9" s="15" t="s">
        <v>1900</v>
      </c>
      <c r="AE9" s="1300"/>
      <c r="AF9" s="15" t="s">
        <v>1901</v>
      </c>
      <c r="AG9" s="1300"/>
      <c r="AH9" s="15" t="s">
        <v>1900</v>
      </c>
      <c r="AI9" s="1300"/>
      <c r="AJ9" s="15" t="s">
        <v>1901</v>
      </c>
      <c r="AK9" s="1300"/>
      <c r="AL9" s="15" t="s">
        <v>1900</v>
      </c>
      <c r="AM9" s="1300"/>
      <c r="AN9" s="15" t="s">
        <v>1901</v>
      </c>
      <c r="AO9" s="1300"/>
      <c r="AP9" s="15" t="s">
        <v>1900</v>
      </c>
      <c r="AQ9" s="1300"/>
      <c r="AR9" s="15" t="s">
        <v>1901</v>
      </c>
      <c r="AS9" s="2191"/>
      <c r="AT9" s="2180"/>
      <c r="AU9" s="2180" t="s">
        <v>1902</v>
      </c>
      <c r="AV9" s="1294"/>
      <c r="AW9" s="2163"/>
      <c r="AX9" s="1294"/>
      <c r="AY9" s="28"/>
      <c r="AZ9" s="28" t="s">
        <v>1892</v>
      </c>
      <c r="BA9" s="2192" t="s">
        <v>1903</v>
      </c>
      <c r="BB9" s="2193"/>
      <c r="BC9" s="1340"/>
      <c r="BD9" s="1340"/>
      <c r="BE9" s="1340"/>
      <c r="BF9" s="1340"/>
      <c r="BG9" s="1340"/>
      <c r="BH9" s="1340"/>
      <c r="BI9" s="1340"/>
      <c r="BJ9" s="1340"/>
      <c r="BK9" s="2194"/>
      <c r="BL9" s="15" t="s">
        <v>1904</v>
      </c>
      <c r="BM9" s="1820"/>
      <c r="BN9" s="2183"/>
      <c r="BO9" s="1820"/>
      <c r="BP9" s="1820"/>
      <c r="BQ9" s="1820"/>
      <c r="BR9" s="1820"/>
      <c r="BS9" s="1820"/>
      <c r="BT9" s="26"/>
    </row>
    <row r="10" spans="1:72" s="2187" customFormat="1" ht="12.75">
      <c r="A10" s="2180"/>
      <c r="B10" s="2180"/>
      <c r="C10" s="2180"/>
      <c r="D10" s="2180"/>
      <c r="E10" s="2180"/>
      <c r="F10" s="2180"/>
      <c r="G10" s="1294"/>
      <c r="H10" s="28"/>
      <c r="I10" s="2189" t="s">
        <v>3050</v>
      </c>
      <c r="J10" s="983"/>
      <c r="K10" s="2195"/>
      <c r="L10" s="983"/>
      <c r="M10" s="2195"/>
      <c r="N10" s="983"/>
      <c r="O10" s="2195"/>
      <c r="P10" s="983"/>
      <c r="Q10" s="2195"/>
      <c r="R10" s="983"/>
      <c r="S10" s="2195"/>
      <c r="T10" s="983"/>
      <c r="U10" s="2195"/>
      <c r="V10" s="983"/>
      <c r="W10" s="2195"/>
      <c r="X10" s="983"/>
      <c r="Y10" s="2195"/>
      <c r="Z10" s="983"/>
      <c r="AA10" s="2195"/>
      <c r="AB10" s="983"/>
      <c r="AC10" s="1294"/>
      <c r="AD10" s="15" t="s">
        <v>1905</v>
      </c>
      <c r="AE10" s="2196"/>
      <c r="AF10" s="15" t="s">
        <v>1905</v>
      </c>
      <c r="AG10" s="2196"/>
      <c r="AH10" s="15" t="s">
        <v>1906</v>
      </c>
      <c r="AI10" s="2196"/>
      <c r="AJ10" s="15" t="s">
        <v>1906</v>
      </c>
      <c r="AK10" s="2196"/>
      <c r="AL10" s="15" t="s">
        <v>1907</v>
      </c>
      <c r="AM10" s="1300"/>
      <c r="AN10" s="15" t="s">
        <v>1907</v>
      </c>
      <c r="AO10" s="1300"/>
      <c r="AP10" s="15" t="s">
        <v>1908</v>
      </c>
      <c r="AQ10" s="1300"/>
      <c r="AR10" s="15" t="s">
        <v>1908</v>
      </c>
      <c r="AS10" s="1300"/>
      <c r="AT10" s="2180"/>
      <c r="AU10" s="2180"/>
      <c r="AV10" s="1294"/>
      <c r="AW10" s="2163"/>
      <c r="AX10" s="1294"/>
      <c r="AY10" s="28"/>
      <c r="AZ10" s="28"/>
      <c r="BA10" s="2197" t="s">
        <v>1899</v>
      </c>
      <c r="BB10" s="2198" t="str">
        <f>I9</f>
        <v>地上</v>
      </c>
      <c r="BC10" s="29">
        <f>K9</f>
        <v>0</v>
      </c>
      <c r="BD10" s="29">
        <f>M9</f>
        <v>0</v>
      </c>
      <c r="BE10" s="29">
        <f>O9</f>
        <v>0</v>
      </c>
      <c r="BF10" s="29">
        <f>Q9</f>
        <v>0</v>
      </c>
      <c r="BG10" s="29">
        <f>S9</f>
        <v>0</v>
      </c>
      <c r="BH10" s="29">
        <f>U9</f>
        <v>0</v>
      </c>
      <c r="BI10" s="29">
        <f>W9</f>
        <v>0</v>
      </c>
      <c r="BJ10" s="29">
        <f>Y9</f>
        <v>0</v>
      </c>
      <c r="BK10" s="29">
        <f>AA9</f>
        <v>0</v>
      </c>
      <c r="BL10" s="25" t="s">
        <v>1899</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4"/>
      <c r="H11" s="2197"/>
      <c r="I11" s="2200" t="s">
        <v>3051</v>
      </c>
      <c r="J11" s="2201"/>
      <c r="K11" s="2200"/>
      <c r="L11" s="2201"/>
      <c r="M11" s="2200"/>
      <c r="N11" s="2201"/>
      <c r="O11" s="2200"/>
      <c r="P11" s="2201"/>
      <c r="Q11" s="2200"/>
      <c r="R11" s="2201"/>
      <c r="S11" s="2200"/>
      <c r="T11" s="2201"/>
      <c r="U11" s="2200"/>
      <c r="V11" s="2201"/>
      <c r="W11" s="2200"/>
      <c r="X11" s="2201"/>
      <c r="Y11" s="2200"/>
      <c r="Z11" s="2201"/>
      <c r="AA11" s="2200"/>
      <c r="AB11" s="2201"/>
      <c r="AC11" s="1294"/>
      <c r="AD11" s="2202" t="s">
        <v>1909</v>
      </c>
      <c r="AE11" s="1821"/>
      <c r="AF11" s="2202" t="s">
        <v>1909</v>
      </c>
      <c r="AG11" s="1821"/>
      <c r="AH11" s="2202" t="s">
        <v>1910</v>
      </c>
      <c r="AI11" s="2203"/>
      <c r="AJ11" s="2202" t="s">
        <v>1910</v>
      </c>
      <c r="AK11" s="1821"/>
      <c r="AL11" s="1819"/>
      <c r="AM11" s="1821"/>
      <c r="AN11" s="1819"/>
      <c r="AO11" s="1821"/>
      <c r="AP11" s="1819"/>
      <c r="AQ11" s="1821"/>
      <c r="AR11" s="1819"/>
      <c r="AS11" s="1821"/>
      <c r="AT11" s="2163"/>
      <c r="AU11" s="2180"/>
      <c r="AV11" s="1294"/>
      <c r="AW11" s="2163"/>
      <c r="AX11" s="1294"/>
      <c r="AY11" s="28"/>
      <c r="AZ11" s="28"/>
      <c r="BA11" s="28"/>
      <c r="BB11" s="2185" t="str">
        <f>I10</f>
        <v>住宅</v>
      </c>
      <c r="BC11" s="2185">
        <f>K10</f>
        <v>0</v>
      </c>
      <c r="BD11" s="2185">
        <f>M10</f>
        <v>0</v>
      </c>
      <c r="BE11" s="2185">
        <f>O10</f>
        <v>0</v>
      </c>
      <c r="BF11" s="2185">
        <f>Q10</f>
        <v>0</v>
      </c>
      <c r="BG11" s="2185">
        <f>S10</f>
        <v>0</v>
      </c>
      <c r="BH11" s="2185">
        <f>U10</f>
        <v>0</v>
      </c>
      <c r="BI11" s="2185">
        <f>W10</f>
        <v>0</v>
      </c>
      <c r="BJ11" s="2185">
        <f>Y10</f>
        <v>0</v>
      </c>
      <c r="BK11" s="2185">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4" t="s">
        <v>1912</v>
      </c>
      <c r="W12" s="11" t="s">
        <v>1911</v>
      </c>
      <c r="X12" s="11" t="s">
        <v>1912</v>
      </c>
      <c r="Y12" s="11" t="s">
        <v>1911</v>
      </c>
      <c r="Z12" s="11" t="s">
        <v>1912</v>
      </c>
      <c r="AA12" s="11" t="s">
        <v>1911</v>
      </c>
      <c r="AB12" s="11" t="s">
        <v>1912</v>
      </c>
      <c r="AC12" s="2207"/>
      <c r="AD12" s="1808"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5" t="s">
        <v>1912</v>
      </c>
      <c r="AT12" s="2208"/>
      <c r="AU12" s="2205"/>
      <c r="AV12" s="31"/>
      <c r="AW12" s="2164"/>
      <c r="AX12" s="31"/>
      <c r="AY12" s="2209"/>
      <c r="AZ12" s="28"/>
      <c r="BA12" s="2197"/>
      <c r="BB12" s="24" t="str">
        <f>I11</f>
        <v>平层住宅</v>
      </c>
      <c r="BC12" s="2210">
        <f>K11</f>
        <v>0</v>
      </c>
      <c r="BD12" s="2210">
        <f>M11</f>
        <v>0</v>
      </c>
      <c r="BE12" s="2185">
        <f>O11</f>
        <v>0</v>
      </c>
      <c r="BF12" s="2185">
        <f>Q11</f>
        <v>0</v>
      </c>
      <c r="BG12" s="2185">
        <f>S11</f>
        <v>0</v>
      </c>
      <c r="BH12" s="2185">
        <f>U11</f>
        <v>0</v>
      </c>
      <c r="BI12" s="2185">
        <f>W11</f>
        <v>0</v>
      </c>
      <c r="BJ12" s="2185">
        <f>Y11</f>
        <v>0</v>
      </c>
      <c r="BK12" s="2185">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12.75">
      <c r="A13" s="1274"/>
      <c r="B13" s="1274"/>
      <c r="C13" s="1274"/>
      <c r="D13" s="2211" t="s">
        <v>3052</v>
      </c>
      <c r="E13" s="16">
        <f>IF($C$3="是",ROUND($A$3*G13/$B$3,2),ROUND($A$3*(G13-AT13)/$B$3,2))</f>
        <v>5780</v>
      </c>
      <c r="F13" s="32"/>
      <c r="G13" s="33">
        <f>H13+AC13+AT13</f>
        <v>36223.67</v>
      </c>
      <c r="H13" s="20">
        <f>SUMIF(I$12:AB$12,"总值",I13:AB13)</f>
        <v>24724.93</v>
      </c>
      <c r="I13" s="2212">
        <f>14821.38+9903.55</f>
        <v>24724.93</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11498.74</v>
      </c>
      <c r="AD13" s="2213"/>
      <c r="AE13" s="2213"/>
      <c r="AF13" s="2213"/>
      <c r="AG13" s="2213"/>
      <c r="AH13" s="2213">
        <v>84.83</v>
      </c>
      <c r="AI13" s="2213"/>
      <c r="AJ13" s="2213">
        <v>109.34</v>
      </c>
      <c r="AK13" s="2213"/>
      <c r="AL13" s="2213"/>
      <c r="AM13" s="2213"/>
      <c r="AN13" s="2213">
        <f>10517.4+787.17</f>
        <v>11304.57</v>
      </c>
      <c r="AO13" s="2213"/>
      <c r="AP13" s="2213"/>
      <c r="AQ13" s="2213"/>
      <c r="AR13" s="2213"/>
      <c r="AS13" s="2213"/>
      <c r="AT13" s="2214"/>
      <c r="AU13" s="2215"/>
      <c r="AV13" s="11">
        <f t="shared" ref="AV13:AX17" si="6">A13</f>
        <v>0</v>
      </c>
      <c r="AW13" s="11">
        <f t="shared" si="6"/>
        <v>0</v>
      </c>
      <c r="AX13" s="11">
        <f t="shared" si="6"/>
        <v>0</v>
      </c>
      <c r="AY13" s="1808">
        <f>ROUND($AY$6*AZ13/$AZ$5,2)</f>
        <v>5780</v>
      </c>
      <c r="AZ13" s="16">
        <f>BA13+BL13</f>
        <v>36223.67</v>
      </c>
      <c r="BA13" s="16">
        <f>SUM(BB13:BK13)</f>
        <v>24724.93</v>
      </c>
      <c r="BB13" s="16">
        <f>IF($D13="是",I13-J13,0)</f>
        <v>24724.93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11498.74</v>
      </c>
      <c r="BM13" s="16">
        <f>IF($D13="是",AD13-AE13,0)</f>
        <v>0</v>
      </c>
      <c r="BN13" s="16">
        <f>IF($D13="是",AF13-AG13,0)</f>
        <v>0</v>
      </c>
      <c r="BO13" s="16">
        <f>IF($D13="是",AH13-AI13,0)</f>
        <v>84.83</v>
      </c>
      <c r="BP13" s="16">
        <f>IF($D13="是",AJ13-AK13,0)</f>
        <v>109.34</v>
      </c>
      <c r="BQ13" s="16">
        <f>IF($D13="是",AL13-AM13,0)</f>
        <v>0</v>
      </c>
      <c r="BR13" s="16">
        <f>IF($D13="是",AN13-AO13,0)</f>
        <v>11304.57</v>
      </c>
      <c r="BS13" s="16">
        <f>IF($D13="是",AP13-AQ13,0)</f>
        <v>0</v>
      </c>
      <c r="BT13" s="22">
        <f>IF($D13="是",AR13-AS13,0)</f>
        <v>0</v>
      </c>
    </row>
    <row r="14" spans="1:72" s="2165" customFormat="1" ht="12.75">
      <c r="A14" s="1274"/>
      <c r="B14" s="1274"/>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c r="B15" s="1274"/>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c r="B16" s="1274"/>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A20" sqref="A20:XFD26"/>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1938</v>
      </c>
      <c r="B1" s="1394"/>
      <c r="C1" s="1394"/>
      <c r="D1" s="1394"/>
      <c r="E1" s="1394"/>
      <c r="F1" s="1394"/>
      <c r="G1" s="1394"/>
      <c r="H1" s="1394"/>
      <c r="I1" s="1394"/>
      <c r="J1" s="1394"/>
      <c r="K1" s="1394"/>
      <c r="L1" s="1394"/>
      <c r="M1" s="1394"/>
      <c r="N1" s="1394"/>
      <c r="O1" s="1394"/>
      <c r="P1" s="1394"/>
    </row>
    <row r="2" spans="1:16" ht="15">
      <c r="A2" s="3053" t="s">
        <v>1939</v>
      </c>
      <c r="B2" s="3053"/>
      <c r="C2" s="3053"/>
      <c r="D2" s="969" t="s">
        <v>1915</v>
      </c>
      <c r="E2" s="2225" t="s">
        <v>1916</v>
      </c>
      <c r="F2" s="1394"/>
      <c r="G2" s="2226"/>
      <c r="H2" s="2227"/>
      <c r="I2" s="2228" t="s">
        <v>1940</v>
      </c>
      <c r="J2" s="1394"/>
      <c r="K2" s="1394"/>
      <c r="L2" s="1394"/>
      <c r="M2" s="1394"/>
      <c r="N2" s="1429"/>
      <c r="O2" s="1394"/>
      <c r="P2" s="1394"/>
    </row>
    <row r="3" spans="1:16" ht="15.75" thickBot="1">
      <c r="A3" s="3054" t="s">
        <v>1913</v>
      </c>
      <c r="B3" s="3054"/>
      <c r="C3" s="3054"/>
      <c r="D3" s="46">
        <f>'数据-基础表'!AY6</f>
        <v>5780</v>
      </c>
      <c r="E3" s="46">
        <f>'数据-基础表'!AZ5</f>
        <v>36223.67</v>
      </c>
      <c r="F3" s="1394"/>
      <c r="G3" s="1401"/>
      <c r="H3" s="1249" t="s">
        <v>1914</v>
      </c>
      <c r="I3" s="54">
        <f>ROUND('数据-基础表'!B3/'数据-基础表'!A3,2)</f>
        <v>6.27</v>
      </c>
      <c r="J3" s="1394"/>
      <c r="K3" s="1394"/>
      <c r="L3" s="1394"/>
      <c r="M3" s="1394"/>
      <c r="N3" s="1429"/>
      <c r="O3" s="1394"/>
      <c r="P3" s="1394"/>
    </row>
    <row r="4" spans="1:16" ht="15">
      <c r="A4" s="3055"/>
      <c r="B4" s="3056"/>
      <c r="C4" s="3057"/>
      <c r="D4" s="2229" t="s">
        <v>1915</v>
      </c>
      <c r="E4" s="2230" t="s">
        <v>1916</v>
      </c>
      <c r="F4" s="1394"/>
      <c r="G4" s="2231" t="s">
        <v>1941</v>
      </c>
      <c r="H4" s="1249" t="s">
        <v>1921</v>
      </c>
      <c r="I4" s="54">
        <f>ROUND(SUMIF('数据-基础表'!I9:AS9,"地上",'数据-基础表'!I5:AS5)/'数据-基础表'!A3,2)</f>
        <v>4.29</v>
      </c>
      <c r="J4" s="1394"/>
      <c r="K4" s="1394"/>
      <c r="L4" s="1394"/>
      <c r="M4" s="1394"/>
      <c r="N4" s="1429"/>
      <c r="O4" s="1394"/>
      <c r="P4" s="1394"/>
    </row>
    <row r="5" spans="1:16">
      <c r="A5" s="47" t="s">
        <v>1917</v>
      </c>
      <c r="B5" s="3058" t="s">
        <v>1918</v>
      </c>
      <c r="C5" s="3058"/>
      <c r="D5" s="48">
        <f>ROUND($D$3*E5/$E$3,2)</f>
        <v>3945.21</v>
      </c>
      <c r="E5" s="49">
        <f>SUMIF('数据-基础表'!$11:$11,"住宅",'数据-基础表'!$5:$5)</f>
        <v>24724.93</v>
      </c>
      <c r="F5" s="1394"/>
      <c r="G5" s="1401"/>
      <c r="H5" s="1249" t="s">
        <v>1914</v>
      </c>
      <c r="I5" s="54">
        <f>ROUND(E31/D31,2)</f>
        <v>6.27</v>
      </c>
      <c r="J5" s="1394"/>
      <c r="K5" s="1394"/>
      <c r="L5" s="1394"/>
      <c r="M5" s="1394"/>
      <c r="N5" s="1394"/>
      <c r="O5" s="1394"/>
      <c r="P5" s="1394"/>
    </row>
    <row r="6" spans="1:16" ht="15" thickBot="1">
      <c r="A6" s="2232"/>
      <c r="B6" s="3058" t="s">
        <v>1919</v>
      </c>
      <c r="C6" s="3058"/>
      <c r="D6" s="48">
        <f>ROUND($D$3*E6/$E$3,2)</f>
        <v>1834.79</v>
      </c>
      <c r="E6" s="49">
        <f>E3-E5</f>
        <v>11498.739999999998</v>
      </c>
      <c r="F6" s="1394"/>
      <c r="G6" s="2233" t="s">
        <v>1920</v>
      </c>
      <c r="H6" s="1401" t="s">
        <v>1921</v>
      </c>
      <c r="I6" s="941">
        <f>ROUND(F31/D31,2)</f>
        <v>4.29</v>
      </c>
      <c r="J6" s="1394"/>
      <c r="K6" s="1394"/>
      <c r="L6" s="1394"/>
      <c r="M6" s="1394"/>
      <c r="N6" s="1394"/>
      <c r="O6" s="1394"/>
      <c r="P6" s="1394"/>
    </row>
    <row r="7" spans="1:16" ht="15">
      <c r="A7" s="3050"/>
      <c r="B7" s="3051"/>
      <c r="C7" s="3052"/>
      <c r="D7" s="2229" t="s">
        <v>1915</v>
      </c>
      <c r="E7" s="2234" t="s">
        <v>1922</v>
      </c>
      <c r="F7" s="1394"/>
      <c r="G7" s="2226" t="s">
        <v>1923</v>
      </c>
      <c r="H7" s="63"/>
      <c r="I7" s="419"/>
      <c r="J7" s="1394"/>
      <c r="K7" s="1394"/>
      <c r="L7" s="1394"/>
      <c r="M7" s="1394"/>
      <c r="N7" s="1394"/>
      <c r="O7" s="1394"/>
      <c r="P7" s="1394"/>
    </row>
    <row r="8" spans="1:16">
      <c r="A8" s="47" t="s">
        <v>1924</v>
      </c>
      <c r="B8" s="50" t="s">
        <v>1925</v>
      </c>
      <c r="C8" s="48" t="s">
        <v>1926</v>
      </c>
      <c r="D8" s="48">
        <f t="shared" ref="D8:D15" si="0">ROUND($D$3*E8/$E$3,2)</f>
        <v>3945.21</v>
      </c>
      <c r="E8" s="51">
        <f>SUMIF('数据-基础表'!BB10:BK10,"地上",'数据-基础表'!BB5:BK5)</f>
        <v>24724.93</v>
      </c>
      <c r="F8" s="1394"/>
      <c r="G8" s="2235"/>
      <c r="H8" s="2235"/>
      <c r="I8" s="1394"/>
      <c r="J8" s="1394"/>
      <c r="K8" s="1394"/>
      <c r="L8" s="1394"/>
      <c r="M8" s="1394"/>
      <c r="N8" s="1394"/>
      <c r="O8" s="1394"/>
      <c r="P8" s="1394"/>
    </row>
    <row r="9" spans="1:16" ht="15">
      <c r="A9" s="2236"/>
      <c r="B9" s="2237"/>
      <c r="C9" s="48" t="s">
        <v>1927</v>
      </c>
      <c r="D9" s="48">
        <f t="shared" si="0"/>
        <v>13.54</v>
      </c>
      <c r="E9" s="2966">
        <f>'数据-基础表'!AH13</f>
        <v>84.83</v>
      </c>
      <c r="F9" s="1394"/>
      <c r="G9" s="2235"/>
      <c r="H9" s="2235"/>
      <c r="I9" s="1394"/>
      <c r="J9" s="1394"/>
      <c r="K9" s="1394"/>
      <c r="L9" s="1394"/>
      <c r="M9" s="1394"/>
      <c r="N9" s="1394"/>
      <c r="O9" s="1394"/>
      <c r="P9" s="1394"/>
    </row>
    <row r="10" spans="1:16">
      <c r="A10" s="2236"/>
      <c r="B10" s="2237"/>
      <c r="C10" s="48" t="s">
        <v>1936</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1928</v>
      </c>
      <c r="D11" s="48">
        <f t="shared" si="0"/>
        <v>17.45</v>
      </c>
      <c r="E11" s="51">
        <f>SUMPRODUCT(('数据-基础表'!BB10:BK10="地下")*('数据-基础表'!BB11:BK11="办公")*('数据-基础表'!BB5:BK5))+'数据-基础表'!BP5</f>
        <v>109.34</v>
      </c>
      <c r="F11" s="1394"/>
      <c r="G11" s="2235"/>
      <c r="H11" s="2235"/>
      <c r="I11" s="1394"/>
      <c r="J11" s="1394"/>
      <c r="K11" s="1394"/>
      <c r="L11" s="1394"/>
      <c r="M11" s="1394"/>
      <c r="N11" s="1394"/>
      <c r="O11" s="1394"/>
      <c r="P11" s="1394"/>
    </row>
    <row r="12" spans="1:16">
      <c r="A12" s="2236"/>
      <c r="B12" s="2237"/>
      <c r="C12" s="48" t="s">
        <v>1929</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1930</v>
      </c>
      <c r="D13" s="48">
        <f t="shared" si="0"/>
        <v>0</v>
      </c>
      <c r="E13" s="51">
        <f>SUMPRODUCT(('数据-基础表'!BB10:BK10="地下")*('数据-基础表'!BB11:BK11="车库")*('数据-基础表'!BB5:BK5))</f>
        <v>0</v>
      </c>
      <c r="F13" s="1394"/>
      <c r="G13" s="2235"/>
      <c r="H13" s="2235"/>
      <c r="I13" s="1394"/>
      <c r="J13" s="1394"/>
      <c r="K13" s="1394"/>
      <c r="L13" s="1394"/>
      <c r="M13" s="1394"/>
      <c r="N13" s="1394"/>
      <c r="O13" s="1394"/>
      <c r="P13" s="1394"/>
    </row>
    <row r="14" spans="1:16">
      <c r="A14" s="2236"/>
      <c r="B14" s="2237"/>
      <c r="C14" s="48" t="s">
        <v>1942</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1937</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1931</v>
      </c>
      <c r="D16" s="50">
        <f>SUM(D8:D15)</f>
        <v>3976.2</v>
      </c>
      <c r="E16" s="52">
        <f>SUM(E8:E15)</f>
        <v>24919.100000000002</v>
      </c>
      <c r="F16" s="1394"/>
      <c r="G16" s="2235"/>
      <c r="H16" s="2238" t="s">
        <v>1943</v>
      </c>
      <c r="I16" s="2239"/>
      <c r="J16" s="1394"/>
      <c r="K16" s="3047" t="s">
        <v>1943</v>
      </c>
      <c r="L16" s="3048"/>
      <c r="M16" s="3048"/>
      <c r="N16" s="3048"/>
      <c r="O16" s="3048"/>
      <c r="P16" s="3049"/>
    </row>
    <row r="17" spans="1:19" ht="15">
      <c r="A17" s="2240" t="s">
        <v>1944</v>
      </c>
      <c r="B17" s="2241" t="s">
        <v>1945</v>
      </c>
      <c r="C17" s="2242" t="s">
        <v>1946</v>
      </c>
      <c r="D17" s="2243" t="s">
        <v>1934</v>
      </c>
      <c r="E17" s="2244" t="s">
        <v>1935</v>
      </c>
      <c r="F17" s="2245"/>
      <c r="G17" s="2246"/>
      <c r="H17" s="2247" t="s">
        <v>1947</v>
      </c>
      <c r="I17" s="2248" t="s">
        <v>1932</v>
      </c>
      <c r="J17" s="1394"/>
      <c r="K17" s="3044" t="s">
        <v>1948</v>
      </c>
      <c r="L17" s="3045"/>
      <c r="M17" s="3046"/>
      <c r="N17" s="3044" t="s">
        <v>1949</v>
      </c>
      <c r="O17" s="3045"/>
      <c r="P17" s="3046"/>
      <c r="R17" s="2226" t="s">
        <v>1950</v>
      </c>
      <c r="S17" s="63"/>
    </row>
    <row r="18" spans="1:19" ht="15">
      <c r="A18" s="2236"/>
      <c r="B18" s="2249"/>
      <c r="C18" s="2250"/>
      <c r="D18" s="2251"/>
      <c r="E18" s="2252" t="s">
        <v>1951</v>
      </c>
      <c r="F18" s="2253" t="s">
        <v>1952</v>
      </c>
      <c r="G18" s="2254" t="s">
        <v>1953</v>
      </c>
      <c r="H18" s="1264" t="s">
        <v>1954</v>
      </c>
      <c r="I18" s="2255" t="s">
        <v>1955</v>
      </c>
      <c r="J18" s="1394"/>
      <c r="K18" s="1264" t="s">
        <v>1956</v>
      </c>
      <c r="L18" s="2256" t="s">
        <v>1957</v>
      </c>
      <c r="M18" s="1048" t="s">
        <v>1958</v>
      </c>
      <c r="N18" s="1264" t="s">
        <v>1956</v>
      </c>
      <c r="O18" s="2256" t="s">
        <v>1957</v>
      </c>
      <c r="P18" s="1048" t="s">
        <v>1958</v>
      </c>
      <c r="R18" s="1249" t="s">
        <v>1959</v>
      </c>
      <c r="S18" s="1249" t="s">
        <v>1960</v>
      </c>
    </row>
    <row r="19" spans="1:19">
      <c r="A19" s="2257"/>
      <c r="B19" s="50" t="s">
        <v>1933</v>
      </c>
      <c r="C19" s="2941" t="s">
        <v>3053</v>
      </c>
      <c r="D19" s="48">
        <f>ROUND($D$3*E19/$E$3,2)</f>
        <v>3945.21</v>
      </c>
      <c r="E19" s="55">
        <f t="shared" ref="E19:E26" si="1">SUM(F19:G19)</f>
        <v>24724.93</v>
      </c>
      <c r="F19" s="56">
        <f>'数据-基础表'!I13</f>
        <v>24724.93</v>
      </c>
      <c r="G19" s="57"/>
      <c r="H19" s="722">
        <f>ROUND($D$3*I19/$E$3,2)</f>
        <v>1834.79</v>
      </c>
      <c r="I19" s="51">
        <f t="shared" ref="I19:I26" si="2">IF($I$17="自定义",P19,M19)</f>
        <v>11498.74</v>
      </c>
      <c r="J19" s="1394"/>
      <c r="K19" s="1393">
        <f t="shared" ref="K19:K26" si="3">ROUND(E$28*E19/E$27,2)</f>
        <v>11304.57</v>
      </c>
      <c r="L19" s="1249">
        <f t="shared" ref="L19:L26" si="4">ROUND(IF(COUNTIF(C19,"*住宅*")&gt;0,E$29*E19/E$32,0),2)</f>
        <v>194.17</v>
      </c>
      <c r="M19" s="1405">
        <f>K19+L19</f>
        <v>11498.74</v>
      </c>
      <c r="N19" s="2259"/>
      <c r="O19" s="2260"/>
      <c r="P19" s="1405">
        <f>N19+O19</f>
        <v>0</v>
      </c>
      <c r="R19" s="1249">
        <f t="shared" ref="R19:S26" si="5">D19+H19</f>
        <v>5780</v>
      </c>
      <c r="S19" s="1250">
        <f t="shared" si="5"/>
        <v>36223.67</v>
      </c>
    </row>
    <row r="20" spans="1:19" hidden="1">
      <c r="A20" s="2261"/>
      <c r="B20" s="50" t="s">
        <v>1961</v>
      </c>
      <c r="C20" s="2258"/>
      <c r="D20" s="48">
        <f t="shared" ref="D20:D26" si="6">ROUND($D$3*E20/$E$3,2)</f>
        <v>0</v>
      </c>
      <c r="E20" s="55">
        <f t="shared" si="1"/>
        <v>0</v>
      </c>
      <c r="F20" s="56"/>
      <c r="G20" s="57"/>
      <c r="H20" s="722">
        <f t="shared" ref="H20:H26" si="7">ROUND($D$3*I20/$E$3,2)</f>
        <v>0</v>
      </c>
      <c r="I20" s="51">
        <f t="shared" si="2"/>
        <v>0</v>
      </c>
      <c r="J20" s="1394"/>
      <c r="K20" s="1393">
        <f t="shared" si="3"/>
        <v>0</v>
      </c>
      <c r="L20" s="1249">
        <f t="shared" si="4"/>
        <v>0</v>
      </c>
      <c r="M20" s="1405">
        <f t="shared" ref="M20:M26" si="8">K20+L20</f>
        <v>0</v>
      </c>
      <c r="N20" s="2259"/>
      <c r="O20" s="2260"/>
      <c r="P20" s="1405">
        <f t="shared" ref="P20:P26" si="9">N20+O20</f>
        <v>0</v>
      </c>
      <c r="R20" s="1249">
        <f t="shared" si="5"/>
        <v>0</v>
      </c>
      <c r="S20" s="1250">
        <f t="shared" si="5"/>
        <v>0</v>
      </c>
    </row>
    <row r="21" spans="1:19" hidden="1">
      <c r="A21" s="2261"/>
      <c r="B21" s="50" t="s">
        <v>1961</v>
      </c>
      <c r="C21" s="2258"/>
      <c r="D21" s="48">
        <f t="shared" si="6"/>
        <v>0</v>
      </c>
      <c r="E21" s="55">
        <f t="shared" si="1"/>
        <v>0</v>
      </c>
      <c r="F21" s="56"/>
      <c r="G21" s="57"/>
      <c r="H21" s="722">
        <f t="shared" si="7"/>
        <v>0</v>
      </c>
      <c r="I21" s="51">
        <f t="shared" si="2"/>
        <v>0</v>
      </c>
      <c r="J21" s="1394"/>
      <c r="K21" s="1393">
        <f t="shared" si="3"/>
        <v>0</v>
      </c>
      <c r="L21" s="1249">
        <f t="shared" si="4"/>
        <v>0</v>
      </c>
      <c r="M21" s="1405">
        <f t="shared" si="8"/>
        <v>0</v>
      </c>
      <c r="N21" s="2259"/>
      <c r="O21" s="2260"/>
      <c r="P21" s="1405">
        <f t="shared" si="9"/>
        <v>0</v>
      </c>
      <c r="R21" s="1249">
        <f t="shared" si="5"/>
        <v>0</v>
      </c>
      <c r="S21" s="1250">
        <f t="shared" si="5"/>
        <v>0</v>
      </c>
    </row>
    <row r="22" spans="1:19" hidden="1">
      <c r="A22" s="2261"/>
      <c r="B22" s="50" t="s">
        <v>1961</v>
      </c>
      <c r="C22" s="59"/>
      <c r="D22" s="48">
        <f t="shared" si="6"/>
        <v>0</v>
      </c>
      <c r="E22" s="55">
        <f t="shared" si="1"/>
        <v>0</v>
      </c>
      <c r="F22" s="60"/>
      <c r="G22" s="61"/>
      <c r="H22" s="722">
        <f t="shared" si="7"/>
        <v>0</v>
      </c>
      <c r="I22" s="51">
        <f t="shared" si="2"/>
        <v>0</v>
      </c>
      <c r="J22" s="1394"/>
      <c r="K22" s="1393">
        <f t="shared" si="3"/>
        <v>0</v>
      </c>
      <c r="L22" s="1249">
        <f t="shared" si="4"/>
        <v>0</v>
      </c>
      <c r="M22" s="1405">
        <f t="shared" si="8"/>
        <v>0</v>
      </c>
      <c r="N22" s="2259"/>
      <c r="O22" s="2260"/>
      <c r="P22" s="1405">
        <f t="shared" si="9"/>
        <v>0</v>
      </c>
      <c r="R22" s="1249">
        <f t="shared" si="5"/>
        <v>0</v>
      </c>
      <c r="S22" s="1250">
        <f t="shared" si="5"/>
        <v>0</v>
      </c>
    </row>
    <row r="23" spans="1:19" hidden="1">
      <c r="A23" s="2261"/>
      <c r="B23" s="50" t="s">
        <v>1961</v>
      </c>
      <c r="C23" s="59"/>
      <c r="D23" s="48">
        <f>ROUND($D$3*E23/$E$3,2)</f>
        <v>0</v>
      </c>
      <c r="E23" s="55">
        <f>SUM(F23:G23)</f>
        <v>0</v>
      </c>
      <c r="F23" s="60"/>
      <c r="G23" s="61"/>
      <c r="H23" s="722">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hidden="1">
      <c r="A24" s="2261"/>
      <c r="B24" s="50" t="s">
        <v>1961</v>
      </c>
      <c r="C24" s="59"/>
      <c r="D24" s="48">
        <f>ROUND($D$3*E24/$E$3,2)</f>
        <v>0</v>
      </c>
      <c r="E24" s="55">
        <f>SUM(F24:G24)</f>
        <v>0</v>
      </c>
      <c r="F24" s="60"/>
      <c r="G24" s="61"/>
      <c r="H24" s="722">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hidden="1">
      <c r="A25" s="2261"/>
      <c r="B25" s="50" t="s">
        <v>1961</v>
      </c>
      <c r="C25" s="59"/>
      <c r="D25" s="48">
        <f t="shared" si="6"/>
        <v>0</v>
      </c>
      <c r="E25" s="55">
        <f t="shared" si="1"/>
        <v>0</v>
      </c>
      <c r="F25" s="60"/>
      <c r="G25" s="61"/>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hidden="1">
      <c r="A26" s="2261"/>
      <c r="B26" s="50" t="s">
        <v>1961</v>
      </c>
      <c r="C26" s="62"/>
      <c r="D26" s="48">
        <f t="shared" si="6"/>
        <v>0</v>
      </c>
      <c r="E26" s="55">
        <f t="shared" si="1"/>
        <v>0</v>
      </c>
      <c r="F26" s="60"/>
      <c r="G26" s="61"/>
      <c r="H26" s="47">
        <f t="shared" si="7"/>
        <v>0</v>
      </c>
      <c r="I26" s="51">
        <f t="shared" si="2"/>
        <v>0</v>
      </c>
      <c r="J26" s="1394"/>
      <c r="K26" s="1400">
        <f t="shared" si="3"/>
        <v>0</v>
      </c>
      <c r="L26" s="1401">
        <f t="shared" si="4"/>
        <v>0</v>
      </c>
      <c r="M26" s="66">
        <f t="shared" si="8"/>
        <v>0</v>
      </c>
      <c r="N26" s="2262"/>
      <c r="O26" s="2263"/>
      <c r="P26" s="66">
        <f t="shared" si="9"/>
        <v>0</v>
      </c>
      <c r="R26" s="1249">
        <f t="shared" si="5"/>
        <v>0</v>
      </c>
      <c r="S26" s="1250">
        <f t="shared" si="5"/>
        <v>0</v>
      </c>
    </row>
    <row r="27" spans="1:19" ht="15.75" thickBot="1">
      <c r="A27" s="2261"/>
      <c r="B27" s="48"/>
      <c r="C27" s="2264" t="s">
        <v>1962</v>
      </c>
      <c r="D27" s="1395">
        <f>SUM(D19:D26)</f>
        <v>3945.21</v>
      </c>
      <c r="E27" s="1396">
        <f>IF(SUM(E19:E26)='数据-基础表'!BA5,SUM(E19:E26),IF(F27="地上面积有误","面积有误","地下面积有误"))</f>
        <v>24724.93</v>
      </c>
      <c r="F27" s="1395">
        <f>IF(SUM(F19:F26)=E8,SUM(F19:F26),"地上面积有误")</f>
        <v>24724.93</v>
      </c>
      <c r="G27" s="1397">
        <f>SUM(G19:G26)</f>
        <v>0</v>
      </c>
      <c r="H27" s="1398">
        <f>SUM(H19:H26)</f>
        <v>1834.79</v>
      </c>
      <c r="I27" s="1399">
        <f>SUM(I19:I26)</f>
        <v>11498.74</v>
      </c>
      <c r="J27" s="1394"/>
      <c r="K27" s="1402">
        <f>SUM(K19:K26)</f>
        <v>11304.57</v>
      </c>
      <c r="L27" s="1403">
        <f>SUM(L19:L26)</f>
        <v>194.17</v>
      </c>
      <c r="M27" s="1406">
        <f>SUM(M19:M26)</f>
        <v>11498.74</v>
      </c>
      <c r="N27" s="1402">
        <f t="shared" ref="N27:O27" si="10">SUM(N19:N26)</f>
        <v>0</v>
      </c>
      <c r="O27" s="1403">
        <f t="shared" si="10"/>
        <v>0</v>
      </c>
      <c r="P27" s="1404">
        <f>SUM(P19:P26)</f>
        <v>0</v>
      </c>
      <c r="R27" s="1251">
        <f>IF(SUM(R19:R26)=$D$3,SUM(R19:R26),SUM(R19:R26)&amp;"误差"&amp;ROUND(SUM(R19:R26)-$D$3,2))</f>
        <v>5780</v>
      </c>
      <c r="S27" s="1249">
        <f>IF(SUM(S19:S26)=$E$3,SUM(S19:S26),SUM(S19:S26)&amp;"误差"&amp;ROUND(SUM(S19:S26)-E3,2))</f>
        <v>36223.67</v>
      </c>
    </row>
    <row r="28" spans="1:19">
      <c r="A28" s="2261"/>
      <c r="B28" s="50" t="s">
        <v>1963</v>
      </c>
      <c r="C28" s="1261" t="s">
        <v>1964</v>
      </c>
      <c r="D28" s="48">
        <f>ROUND($D$3*E28/$E$3,2)</f>
        <v>1803.8</v>
      </c>
      <c r="E28" s="55">
        <f>SUM(F28:G28)</f>
        <v>11304.57</v>
      </c>
      <c r="F28" s="63">
        <f>'数据-基础表'!BQ5+'数据-基础表'!BS5</f>
        <v>0</v>
      </c>
      <c r="G28" s="64">
        <f>'数据-基础表'!BR5+'数据-基础表'!BT5</f>
        <v>11304.57</v>
      </c>
      <c r="H28" s="1394"/>
      <c r="I28" s="1394"/>
      <c r="J28" s="1394"/>
      <c r="K28" s="1394"/>
      <c r="L28" s="1394"/>
      <c r="M28" s="1394"/>
      <c r="N28" s="1394"/>
      <c r="O28" s="1394"/>
      <c r="P28" s="1394"/>
    </row>
    <row r="29" spans="1:19">
      <c r="A29" s="2261"/>
      <c r="B29" s="50" t="s">
        <v>1963</v>
      </c>
      <c r="C29" s="2265" t="s">
        <v>1965</v>
      </c>
      <c r="D29" s="48">
        <f>ROUND($D$3*E29/$E$3,2)</f>
        <v>30.98</v>
      </c>
      <c r="E29" s="55">
        <f>SUM(F29:G29)</f>
        <v>194.17000000000002</v>
      </c>
      <c r="F29" s="65">
        <f>'数据-基础表'!BM5+'数据-基础表'!BO5</f>
        <v>84.83</v>
      </c>
      <c r="G29" s="66">
        <f>'数据-基础表'!BN5+'数据-基础表'!BP5</f>
        <v>109.34</v>
      </c>
      <c r="H29" s="1394"/>
      <c r="I29" s="1394"/>
      <c r="J29" s="1394"/>
      <c r="K29" s="1394"/>
      <c r="L29" s="1394"/>
      <c r="M29" s="1394"/>
      <c r="N29" s="1394"/>
      <c r="O29" s="1394"/>
      <c r="P29" s="1394"/>
    </row>
    <row r="30" spans="1:19" ht="15">
      <c r="A30" s="2261"/>
      <c r="B30" s="50"/>
      <c r="C30" s="2266" t="s">
        <v>1962</v>
      </c>
      <c r="D30" s="1395">
        <f>SUM(D28:D29)</f>
        <v>1834.78</v>
      </c>
      <c r="E30" s="1395">
        <f>SUM(E28:E29)</f>
        <v>11498.74</v>
      </c>
      <c r="F30" s="1395">
        <f>SUM(F28:F29)</f>
        <v>84.83</v>
      </c>
      <c r="G30" s="1397">
        <f>SUM(G28:G29)</f>
        <v>11413.91</v>
      </c>
      <c r="H30" s="1394"/>
      <c r="I30" s="1394"/>
      <c r="J30" s="1394"/>
      <c r="K30" s="1394"/>
      <c r="L30" s="1394"/>
      <c r="M30" s="1394"/>
      <c r="N30" s="1394"/>
      <c r="O30" s="1394"/>
      <c r="P30" s="1394"/>
    </row>
    <row r="31" spans="1:19" ht="15.75" thickBot="1">
      <c r="A31" s="2267"/>
      <c r="B31" s="2268"/>
      <c r="C31" s="1009" t="s">
        <v>1966</v>
      </c>
      <c r="D31" s="728">
        <f>D27+D30</f>
        <v>5779.99</v>
      </c>
      <c r="E31" s="728">
        <f>E27+E30</f>
        <v>36223.67</v>
      </c>
      <c r="F31" s="729">
        <f>F27+F30</f>
        <v>24809.760000000002</v>
      </c>
      <c r="G31" s="730">
        <f>G27+G30</f>
        <v>11413.91</v>
      </c>
      <c r="H31" s="1394"/>
      <c r="I31" s="1394"/>
      <c r="J31" s="1394"/>
      <c r="K31" s="1394"/>
      <c r="L31" s="1394"/>
      <c r="M31" s="1394"/>
      <c r="N31" s="1394"/>
      <c r="O31" s="1394"/>
      <c r="P31" s="1394"/>
    </row>
    <row r="32" spans="1:19">
      <c r="A32" s="2231"/>
      <c r="B32" s="2231" t="s">
        <v>1967</v>
      </c>
      <c r="C32" s="2231"/>
      <c r="D32" s="2231"/>
      <c r="E32" s="1276">
        <f>SUMIF(C19:C26,"*住宅*",E19:E26)</f>
        <v>24724.93</v>
      </c>
      <c r="F32" s="2231"/>
      <c r="G32" s="2231"/>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2" sqref="L22"/>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1968</v>
      </c>
      <c r="B1" s="731"/>
      <c r="C1" s="1583"/>
      <c r="D1" s="2271"/>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1969</v>
      </c>
      <c r="B2" s="1268">
        <f>项目基本情况!D3</f>
        <v>43160</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7" t="s">
        <v>1970</v>
      </c>
      <c r="B4" s="2279"/>
      <c r="C4" s="2280"/>
      <c r="D4" s="2281"/>
      <c r="E4" s="2280" t="s">
        <v>1971</v>
      </c>
      <c r="F4" s="2280"/>
      <c r="G4" s="2280"/>
      <c r="H4" s="2280"/>
      <c r="I4" s="2280"/>
      <c r="J4" s="2282"/>
      <c r="K4" s="2283"/>
      <c r="L4" s="2284"/>
      <c r="M4" s="2280"/>
      <c r="N4" s="2280" t="s">
        <v>1972</v>
      </c>
      <c r="O4" s="2280"/>
      <c r="P4" s="2280"/>
      <c r="Q4" s="2280"/>
      <c r="R4" s="2280"/>
      <c r="S4" s="2282"/>
      <c r="T4" s="2285" t="str">
        <f>'数据-汇总表'!I17</f>
        <v>按面积比例</v>
      </c>
      <c r="U4" s="2279" t="s">
        <v>1973</v>
      </c>
      <c r="V4" s="2280"/>
      <c r="W4" s="2280"/>
      <c r="X4" s="2280"/>
      <c r="Y4" s="2282"/>
      <c r="Z4" s="2242" t="s">
        <v>1974</v>
      </c>
      <c r="AA4" s="2242"/>
      <c r="AB4" s="2242"/>
      <c r="AC4" s="2242"/>
      <c r="AD4" s="2242"/>
      <c r="AE4" s="2240" t="s">
        <v>1975</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1976</v>
      </c>
      <c r="B5" s="2288" t="s">
        <v>1977</v>
      </c>
      <c r="C5" s="2289" t="s">
        <v>1978</v>
      </c>
      <c r="D5" s="2290" t="s">
        <v>1979</v>
      </c>
      <c r="E5" s="1270" t="s">
        <v>1980</v>
      </c>
      <c r="F5" s="2291" t="s">
        <v>1981</v>
      </c>
      <c r="G5" s="1270" t="s">
        <v>1982</v>
      </c>
      <c r="H5" s="1270" t="s">
        <v>1983</v>
      </c>
      <c r="I5" s="1270" t="s">
        <v>1984</v>
      </c>
      <c r="J5" s="2292" t="s">
        <v>1985</v>
      </c>
      <c r="K5" s="2293" t="s">
        <v>1986</v>
      </c>
      <c r="L5" s="2294" t="s">
        <v>1987</v>
      </c>
      <c r="M5" s="2295" t="s">
        <v>1988</v>
      </c>
      <c r="N5" s="2296" t="s">
        <v>1989</v>
      </c>
      <c r="O5" s="2294" t="s">
        <v>1990</v>
      </c>
      <c r="P5" s="2297" t="s">
        <v>1991</v>
      </c>
      <c r="Q5" s="68" t="s">
        <v>1992</v>
      </c>
      <c r="R5" s="2298" t="s">
        <v>1993</v>
      </c>
      <c r="S5" s="2299" t="s">
        <v>1994</v>
      </c>
      <c r="T5" s="2300" t="s">
        <v>1995</v>
      </c>
      <c r="U5" s="1269" t="s">
        <v>1996</v>
      </c>
      <c r="V5" s="1270" t="s">
        <v>1997</v>
      </c>
      <c r="W5" s="1270" t="s">
        <v>1998</v>
      </c>
      <c r="X5" s="70"/>
      <c r="Y5" s="69" t="s">
        <v>1999</v>
      </c>
      <c r="Z5" s="2301" t="s">
        <v>1996</v>
      </c>
      <c r="AA5" s="1270" t="s">
        <v>1997</v>
      </c>
      <c r="AB5" s="1270" t="s">
        <v>1998</v>
      </c>
      <c r="AC5" s="70"/>
      <c r="AD5" s="70" t="s">
        <v>1999</v>
      </c>
      <c r="AE5" s="1269" t="s">
        <v>2000</v>
      </c>
      <c r="AF5" s="1270" t="s">
        <v>2001</v>
      </c>
      <c r="AG5" s="69" t="s">
        <v>2002</v>
      </c>
      <c r="AH5" s="1269" t="s">
        <v>2003</v>
      </c>
      <c r="AI5" s="2301" t="s">
        <v>2004</v>
      </c>
      <c r="AJ5" s="2301" t="s">
        <v>2005</v>
      </c>
      <c r="AK5" s="1270" t="s">
        <v>2006</v>
      </c>
      <c r="AL5" s="1270" t="s">
        <v>2007</v>
      </c>
      <c r="AM5" s="69" t="s">
        <v>2008</v>
      </c>
      <c r="AN5" s="2302" t="s">
        <v>2009</v>
      </c>
      <c r="AO5" s="2072" t="s">
        <v>2010</v>
      </c>
      <c r="AP5" s="1251" t="s">
        <v>2011</v>
      </c>
      <c r="AQ5" s="2303" t="s">
        <v>2012</v>
      </c>
      <c r="AR5" s="2303" t="s">
        <v>2013</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4" t="str">
        <f>'数据-汇总表'!C19</f>
        <v>住宅</v>
      </c>
      <c r="B6" s="2305" t="str">
        <f>IF(A6=0,"","经营性")</f>
        <v>经营性</v>
      </c>
      <c r="C6" s="2306" t="s">
        <v>3050</v>
      </c>
      <c r="D6" s="1053">
        <f>SUMIF(项目基本情况!D$12:I$12,C6,项目基本情况!D$14:I$14)</f>
        <v>70</v>
      </c>
      <c r="E6" s="1050">
        <f>IF(B6="","",SUMIF(项目基本情况!D$12:I$12,C6,项目基本情况!D$13:I$13))</f>
        <v>55321</v>
      </c>
      <c r="F6" s="71">
        <f>SUMIF(项目基本情况!D$12:I$12,C6,项目基本情况!D$15:I$15)</f>
        <v>33.31</v>
      </c>
      <c r="G6" s="72">
        <f>IF(ISERROR(ROUND(POWER(1+H6,D6-F6)*(POWER(1+H6,F6)-1)/(POWER(1+H6,D6)-1),3)),0,ROUND(POWER(1+H6,D6-F6)*(POWER(1+H6,F6)-1)/(POWER(1+H6,D6)-1),3))</f>
        <v>0.77900000000000003</v>
      </c>
      <c r="H6" s="801">
        <v>0.04</v>
      </c>
      <c r="I6" s="801">
        <v>4.4999999999999998E-2</v>
      </c>
      <c r="J6" s="73">
        <v>8.5000000000000006E-2</v>
      </c>
      <c r="K6" s="1253">
        <f>SUMIF('数据-汇总表'!C$19:C$33,A6,'数据-汇总表'!E$19:E$33)</f>
        <v>24724.93</v>
      </c>
      <c r="L6" s="2967">
        <v>3500</v>
      </c>
      <c r="M6" s="74">
        <f t="shared" ref="M6:M14" si="0">ROUND(K6*L6/10000,0)</f>
        <v>8654</v>
      </c>
      <c r="N6" s="800">
        <v>0.05</v>
      </c>
      <c r="O6" s="74">
        <f>IF($N$5="成新度","——",ROUND(M6*N6,0))</f>
        <v>433</v>
      </c>
      <c r="P6" s="75">
        <f>IF($N$5="成新度","——",M6-O6)</f>
        <v>8221</v>
      </c>
      <c r="Q6" s="803">
        <v>0.15</v>
      </c>
      <c r="R6" s="76">
        <f ca="1">SUMIF('数据-汇总表'!C$19:C$33,A6,'数据-汇总表'!R$19:R$27)</f>
        <v>5780</v>
      </c>
      <c r="S6" s="53">
        <f>IF('数据-汇总表'!$I$17="按面积比例",SUMIF('数据-汇总表'!C$19:C$33,A6,'数据-汇总表'!K$19:K$33),SUMIF('数据-汇总表'!C$19:C$33,A6,'数据-汇总表'!N$19:N$33))</f>
        <v>11304.57</v>
      </c>
      <c r="T6" s="1445">
        <f>ROUND($L$14*S6/10000,0)</f>
        <v>2261</v>
      </c>
      <c r="U6" s="77"/>
      <c r="V6" s="78"/>
      <c r="W6" s="78"/>
      <c r="X6" s="1263"/>
      <c r="Y6" s="79">
        <v>1</v>
      </c>
      <c r="Z6" s="80"/>
      <c r="AA6" s="73"/>
      <c r="AB6" s="73"/>
      <c r="AC6" s="1263"/>
      <c r="AD6" s="81"/>
      <c r="AE6" s="1264">
        <f ca="1">IF(AN6="",0,SUMIF(INDIRECT("'"&amp;AN6&amp;"'"&amp;"!E:E"),$AE$5,INDIRECT("'"&amp;AN6&amp;"'"&amp;"!F:F")))</f>
        <v>0</v>
      </c>
      <c r="AF6" s="1806"/>
      <c r="AG6" s="146">
        <f>IF(AF6="",0,AE6-AF6)</f>
        <v>0</v>
      </c>
      <c r="AH6" s="82"/>
      <c r="AI6" s="84"/>
      <c r="AJ6" s="85"/>
      <c r="AK6" s="86"/>
      <c r="AL6" s="87"/>
      <c r="AM6" s="88"/>
      <c r="AN6" s="2307"/>
      <c r="AO6" s="54" t="e">
        <f ca="1">SUMIF(INDIRECT("'"&amp;AN6&amp;"'"&amp;"!A:A"),"总价",INDIRECT("'"&amp;AN6&amp;"'"&amp;"!B:B"))</f>
        <v>#REF!</v>
      </c>
      <c r="AP6" s="2308">
        <f>IF(C6="住宅",K6*L6,0)</f>
        <v>86537255</v>
      </c>
      <c r="AQ6" s="54">
        <f>ROUND($L$14*$N$14*S6/10000,0)</f>
        <v>113</v>
      </c>
      <c r="AR6" s="54">
        <f>ROUND($L$14*(1-$N$14)*S6/10000,0)</f>
        <v>2148</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hidden="1">
      <c r="A7" s="2304">
        <f>'数据-汇总表'!C20</f>
        <v>0</v>
      </c>
      <c r="B7" s="2305" t="str">
        <f t="shared" ref="B7:B13" si="1">IF(A7=0,"","经营性")</f>
        <v/>
      </c>
      <c r="C7" s="2306"/>
      <c r="D7" s="1053">
        <f>SUMIF(项目基本情况!D$12:I$12,C7,项目基本情况!D$14:I$14)</f>
        <v>0</v>
      </c>
      <c r="E7" s="1050"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1"/>
      <c r="I7" s="801"/>
      <c r="J7" s="73"/>
      <c r="K7" s="1253">
        <f>SUMIF('数据-汇总表'!C$19:C$33,A7,'数据-汇总表'!E$19:E$33)</f>
        <v>0</v>
      </c>
      <c r="L7" s="802"/>
      <c r="M7" s="74">
        <f t="shared" si="0"/>
        <v>0</v>
      </c>
      <c r="N7" s="800"/>
      <c r="O7" s="74">
        <f t="shared" ref="O7:O14" si="3">IF($N$5="成新度","——",ROUND(M7*N7,0))</f>
        <v>0</v>
      </c>
      <c r="P7" s="75">
        <f t="shared" ref="P7:P14" si="4">IF($N$5="成新度","——",M7-O7)</f>
        <v>0</v>
      </c>
      <c r="Q7" s="803"/>
      <c r="R7" s="76">
        <f ca="1">SUMIF('数据-汇总表'!C$19:C$33,A7,'数据-汇总表'!R$19:R$27)</f>
        <v>0</v>
      </c>
      <c r="S7" s="53">
        <f>IF('数据-汇总表'!$I$17="按面积比例",SUMIF('数据-汇总表'!C$19:C$33,A7,'数据-汇总表'!K$19:K$33),SUMIF('数据-汇总表'!C$19:C$33,A7,'数据-汇总表'!N$19:N$33))</f>
        <v>0</v>
      </c>
      <c r="T7" s="1445">
        <f t="shared" ref="T7:T13" si="5">ROUND($L$14*S7/10000,0)</f>
        <v>0</v>
      </c>
      <c r="U7" s="77"/>
      <c r="V7" s="78"/>
      <c r="W7" s="78"/>
      <c r="X7" s="1263"/>
      <c r="Y7" s="79"/>
      <c r="Z7" s="80"/>
      <c r="AA7" s="73"/>
      <c r="AB7" s="73"/>
      <c r="AC7" s="1263"/>
      <c r="AD7" s="81"/>
      <c r="AE7" s="1264">
        <f t="shared" ref="AE7:AE13" ca="1" si="6">IF(AN7="",0,SUMIF(INDIRECT("'"&amp;AN7&amp;"'"&amp;"!E:E"),$AE$5,INDIRECT("'"&amp;AN7&amp;"'"&amp;"!F:F")))</f>
        <v>0</v>
      </c>
      <c r="AF7" s="1806"/>
      <c r="AG7" s="146">
        <f t="shared" ref="AG7:AG13" si="7">IF(AF7="",0,AE7-AF7)</f>
        <v>0</v>
      </c>
      <c r="AH7" s="82"/>
      <c r="AI7" s="84"/>
      <c r="AJ7" s="85"/>
      <c r="AK7" s="86"/>
      <c r="AL7" s="87"/>
      <c r="AM7" s="88"/>
      <c r="AN7" s="2307"/>
      <c r="AO7" s="54" t="e">
        <f t="shared" ref="AO7:AO13" ca="1" si="8">SUMIF(INDIRECT("'"&amp;AN7&amp;"'"&amp;"!A:A"),"总价",INDIRECT("'"&amp;AN7&amp;"'"&amp;"!B:B"))</f>
        <v>#REF!</v>
      </c>
      <c r="AP7" s="2308">
        <f t="shared" ref="AP7:AP13" si="9">IF(C7="住宅",K7*L7,0)</f>
        <v>0</v>
      </c>
      <c r="AQ7" s="54">
        <f t="shared" ref="AQ7:AQ13" si="10">ROUND($L$14*$N$14*S7/10000,0)</f>
        <v>0</v>
      </c>
      <c r="AR7" s="54">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hidden="1">
      <c r="A8" s="2304">
        <f>'数据-汇总表'!C21</f>
        <v>0</v>
      </c>
      <c r="B8" s="2305" t="str">
        <f t="shared" si="1"/>
        <v/>
      </c>
      <c r="C8" s="2306"/>
      <c r="D8" s="1053">
        <f>SUMIF(项目基本情况!D$12:I$12,C8,项目基本情况!D$14:I$14)</f>
        <v>0</v>
      </c>
      <c r="E8" s="1050" t="str">
        <f>IF(B8="","",SUMIF(项目基本情况!D$12:I$12,C8,项目基本情况!D$13:I$13))</f>
        <v/>
      </c>
      <c r="F8" s="71">
        <f>SUMIF(项目基本情况!D$12:I$12,C8,项目基本情况!D$15:I$15)</f>
        <v>0</v>
      </c>
      <c r="G8" s="72">
        <f t="shared" si="2"/>
        <v>0</v>
      </c>
      <c r="H8" s="801"/>
      <c r="I8" s="801"/>
      <c r="J8" s="73"/>
      <c r="K8" s="1253">
        <f>SUMIF('数据-汇总表'!C$19:C$33,A8,'数据-汇总表'!E$19:E$33)</f>
        <v>0</v>
      </c>
      <c r="L8" s="802"/>
      <c r="M8" s="74">
        <f>ROUND(K8*L8/10000,0)</f>
        <v>0</v>
      </c>
      <c r="N8" s="800"/>
      <c r="O8" s="74">
        <f t="shared" si="3"/>
        <v>0</v>
      </c>
      <c r="P8" s="75">
        <f t="shared" si="4"/>
        <v>0</v>
      </c>
      <c r="Q8" s="803"/>
      <c r="R8" s="76">
        <f ca="1">SUMIF('数据-汇总表'!C$19:C$33,A8,'数据-汇总表'!R$19:R$27)</f>
        <v>0</v>
      </c>
      <c r="S8" s="53">
        <f>IF('数据-汇总表'!$I$17="按面积比例",SUMIF('数据-汇总表'!C$19:C$33,A8,'数据-汇总表'!K$19:K$33),SUMIF('数据-汇总表'!C$19:C$33,A8,'数据-汇总表'!N$19:N$33))</f>
        <v>0</v>
      </c>
      <c r="T8" s="1445">
        <f t="shared" si="5"/>
        <v>0</v>
      </c>
      <c r="U8" s="804"/>
      <c r="V8" s="805"/>
      <c r="W8" s="805"/>
      <c r="X8" s="1263"/>
      <c r="Y8" s="806"/>
      <c r="Z8" s="80"/>
      <c r="AA8" s="73"/>
      <c r="AB8" s="73"/>
      <c r="AC8" s="1263"/>
      <c r="AD8" s="81"/>
      <c r="AE8" s="1264">
        <f t="shared" ca="1" si="6"/>
        <v>0</v>
      </c>
      <c r="AF8" s="1806"/>
      <c r="AG8" s="146">
        <f t="shared" si="7"/>
        <v>0</v>
      </c>
      <c r="AH8" s="807"/>
      <c r="AI8" s="84"/>
      <c r="AJ8" s="85"/>
      <c r="AK8" s="808"/>
      <c r="AL8" s="809"/>
      <c r="AM8" s="810"/>
      <c r="AN8" s="2307"/>
      <c r="AO8" s="54" t="e">
        <f t="shared" ca="1" si="8"/>
        <v>#REF!</v>
      </c>
      <c r="AP8" s="2308">
        <f t="shared" si="9"/>
        <v>0</v>
      </c>
      <c r="AQ8" s="54">
        <f t="shared" si="10"/>
        <v>0</v>
      </c>
      <c r="AR8" s="54">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hidden="1">
      <c r="A9" s="2304">
        <f>'数据-汇总表'!C22</f>
        <v>0</v>
      </c>
      <c r="B9" s="2305" t="str">
        <f t="shared" si="1"/>
        <v/>
      </c>
      <c r="C9" s="2306"/>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3">
        <f>SUMIF('数据-汇总表'!C$19:C$33,A9,'数据-汇总表'!E$19:E$33)</f>
        <v>0</v>
      </c>
      <c r="L9" s="802"/>
      <c r="M9" s="74">
        <f t="shared" si="0"/>
        <v>0</v>
      </c>
      <c r="N9" s="800"/>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45">
        <f t="shared" si="5"/>
        <v>0</v>
      </c>
      <c r="U9" s="77"/>
      <c r="V9" s="78"/>
      <c r="W9" s="78"/>
      <c r="X9" s="1263"/>
      <c r="Y9" s="79"/>
      <c r="Z9" s="80"/>
      <c r="AA9" s="73"/>
      <c r="AB9" s="73"/>
      <c r="AC9" s="1263"/>
      <c r="AD9" s="81"/>
      <c r="AE9" s="1264">
        <f t="shared" ca="1" si="6"/>
        <v>0</v>
      </c>
      <c r="AF9" s="1806"/>
      <c r="AG9" s="146">
        <f t="shared" si="7"/>
        <v>0</v>
      </c>
      <c r="AH9" s="82"/>
      <c r="AI9" s="84"/>
      <c r="AJ9" s="85"/>
      <c r="AK9" s="86"/>
      <c r="AL9" s="87"/>
      <c r="AM9" s="88"/>
      <c r="AN9" s="2307"/>
      <c r="AO9" s="54" t="e">
        <f t="shared" ca="1" si="8"/>
        <v>#REF!</v>
      </c>
      <c r="AP9" s="2308">
        <f t="shared" si="9"/>
        <v>0</v>
      </c>
      <c r="AQ9" s="54">
        <f t="shared" si="10"/>
        <v>0</v>
      </c>
      <c r="AR9" s="54">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hidden="1">
      <c r="A10" s="2304">
        <f>'数据-汇总表'!C23</f>
        <v>0</v>
      </c>
      <c r="B10" s="2305" t="str">
        <f t="shared" si="1"/>
        <v/>
      </c>
      <c r="C10" s="2306"/>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3">
        <f>SUMIF('数据-汇总表'!C$19:C$33,A10,'数据-汇总表'!E$19:E$33)</f>
        <v>0</v>
      </c>
      <c r="L10" s="802"/>
      <c r="M10" s="74">
        <f t="shared" si="0"/>
        <v>0</v>
      </c>
      <c r="N10" s="800"/>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6"/>
      <c r="AG10" s="146">
        <f t="shared" si="7"/>
        <v>0</v>
      </c>
      <c r="AH10" s="82"/>
      <c r="AI10" s="84"/>
      <c r="AJ10" s="85"/>
      <c r="AK10" s="86"/>
      <c r="AL10" s="87"/>
      <c r="AM10" s="88"/>
      <c r="AN10" s="2307"/>
      <c r="AO10" s="54" t="e">
        <f t="shared" ca="1" si="8"/>
        <v>#REF!</v>
      </c>
      <c r="AP10" s="2308">
        <f t="shared" si="9"/>
        <v>0</v>
      </c>
      <c r="AQ10" s="54">
        <f t="shared" si="10"/>
        <v>0</v>
      </c>
      <c r="AR10" s="54">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hidden="1">
      <c r="A11" s="2304">
        <f>'数据-汇总表'!C24</f>
        <v>0</v>
      </c>
      <c r="B11" s="2305" t="str">
        <f t="shared" si="1"/>
        <v/>
      </c>
      <c r="C11" s="2306"/>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6"/>
      <c r="AG11" s="146">
        <f t="shared" si="7"/>
        <v>0</v>
      </c>
      <c r="AH11" s="82"/>
      <c r="AI11" s="84"/>
      <c r="AJ11" s="85"/>
      <c r="AK11" s="93"/>
      <c r="AL11" s="94"/>
      <c r="AM11" s="95"/>
      <c r="AN11" s="2307"/>
      <c r="AO11" s="54" t="e">
        <f t="shared" ca="1" si="8"/>
        <v>#REF!</v>
      </c>
      <c r="AP11" s="2308">
        <f t="shared" si="9"/>
        <v>0</v>
      </c>
      <c r="AQ11" s="54">
        <f t="shared" si="10"/>
        <v>0</v>
      </c>
      <c r="AR11" s="54">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hidden="1">
      <c r="A12" s="2304">
        <f>'数据-汇总表'!C25</f>
        <v>0</v>
      </c>
      <c r="B12" s="2305" t="str">
        <f t="shared" si="1"/>
        <v/>
      </c>
      <c r="C12" s="2306"/>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6"/>
      <c r="AG12" s="146">
        <f t="shared" si="7"/>
        <v>0</v>
      </c>
      <c r="AH12" s="82"/>
      <c r="AI12" s="84"/>
      <c r="AJ12" s="85"/>
      <c r="AK12" s="93"/>
      <c r="AL12" s="94"/>
      <c r="AM12" s="95"/>
      <c r="AN12" s="2307"/>
      <c r="AO12" s="54" t="e">
        <f t="shared" ca="1" si="8"/>
        <v>#REF!</v>
      </c>
      <c r="AP12" s="2308">
        <f t="shared" si="9"/>
        <v>0</v>
      </c>
      <c r="AQ12" s="54">
        <f t="shared" si="10"/>
        <v>0</v>
      </c>
      <c r="AR12" s="54">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hidden="1">
      <c r="A13" s="2304">
        <f>'数据-汇总表'!C26</f>
        <v>0</v>
      </c>
      <c r="B13" s="2305" t="str">
        <f t="shared" si="1"/>
        <v/>
      </c>
      <c r="C13" s="2306"/>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6"/>
      <c r="AG13" s="146">
        <f t="shared" si="7"/>
        <v>0</v>
      </c>
      <c r="AH13" s="82"/>
      <c r="AI13" s="84"/>
      <c r="AJ13" s="85"/>
      <c r="AK13" s="86"/>
      <c r="AL13" s="87"/>
      <c r="AM13" s="88"/>
      <c r="AN13" s="2307"/>
      <c r="AO13" s="54" t="e">
        <f t="shared" ca="1" si="8"/>
        <v>#REF!</v>
      </c>
      <c r="AP13" s="2308">
        <f t="shared" si="9"/>
        <v>0</v>
      </c>
      <c r="AQ13" s="54">
        <f t="shared" si="10"/>
        <v>0</v>
      </c>
      <c r="AR13" s="54">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2014</v>
      </c>
      <c r="B14" s="2305" t="s">
        <v>2015</v>
      </c>
      <c r="C14" s="2310" t="s">
        <v>2014</v>
      </c>
      <c r="D14" s="1053"/>
      <c r="E14" s="1050"/>
      <c r="F14" s="71"/>
      <c r="G14" s="72"/>
      <c r="H14" s="1252"/>
      <c r="I14" s="1252"/>
      <c r="J14" s="1252"/>
      <c r="K14" s="1253">
        <f>SUMIF('数据-汇总表'!C$19:C$33,A14,'数据-汇总表'!E$19:E$33)</f>
        <v>11304.57</v>
      </c>
      <c r="L14" s="90">
        <v>2000</v>
      </c>
      <c r="M14" s="74">
        <f t="shared" si="0"/>
        <v>2261</v>
      </c>
      <c r="N14" s="91">
        <v>0.05</v>
      </c>
      <c r="O14" s="74">
        <f t="shared" si="3"/>
        <v>113</v>
      </c>
      <c r="P14" s="75">
        <f t="shared" si="4"/>
        <v>2148</v>
      </c>
      <c r="Q14" s="1256"/>
      <c r="R14" s="76"/>
      <c r="S14" s="53"/>
      <c r="T14" s="1445"/>
      <c r="U14" s="722"/>
      <c r="V14" s="1258"/>
      <c r="W14" s="1258"/>
      <c r="X14" s="1259"/>
      <c r="Y14" s="1260"/>
      <c r="Z14" s="1261"/>
      <c r="AA14" s="1262"/>
      <c r="AB14" s="1262"/>
      <c r="AC14" s="1263"/>
      <c r="AD14" s="1259"/>
      <c r="AE14" s="1264"/>
      <c r="AF14" s="54"/>
      <c r="AG14" s="146"/>
      <c r="AH14" s="1264"/>
      <c r="AI14" s="1817"/>
      <c r="AJ14" s="772"/>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2016</v>
      </c>
      <c r="B15" s="2305" t="s">
        <v>2015</v>
      </c>
      <c r="C15" s="2310" t="s">
        <v>2017</v>
      </c>
      <c r="D15" s="1053"/>
      <c r="E15" s="1050"/>
      <c r="F15" s="71"/>
      <c r="G15" s="72"/>
      <c r="H15" s="1252"/>
      <c r="I15" s="1252"/>
      <c r="J15" s="1252"/>
      <c r="K15" s="1253">
        <f>SUMIF('数据-汇总表'!C$19:C$33,A15,'数据-汇总表'!E$19:E$33)</f>
        <v>194.17000000000002</v>
      </c>
      <c r="L15" s="1254"/>
      <c r="M15" s="74"/>
      <c r="N15" s="1255"/>
      <c r="O15" s="74"/>
      <c r="P15" s="75"/>
      <c r="Q15" s="1256"/>
      <c r="R15" s="76"/>
      <c r="S15" s="53"/>
      <c r="T15" s="1445"/>
      <c r="U15" s="722"/>
      <c r="V15" s="1258"/>
      <c r="W15" s="1258"/>
      <c r="X15" s="1259"/>
      <c r="Y15" s="1260"/>
      <c r="Z15" s="1261"/>
      <c r="AA15" s="1262"/>
      <c r="AB15" s="1262"/>
      <c r="AC15" s="1263"/>
      <c r="AD15" s="1259"/>
      <c r="AE15" s="1264"/>
      <c r="AF15" s="54"/>
      <c r="AG15" s="146"/>
      <c r="AH15" s="1264"/>
      <c r="AI15" s="1817"/>
      <c r="AJ15" s="772"/>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2018</v>
      </c>
      <c r="B16" s="96"/>
      <c r="C16" s="1007"/>
      <c r="D16" s="2312"/>
      <c r="E16" s="96"/>
      <c r="F16" s="96"/>
      <c r="G16" s="97">
        <f>ROUND(SUMPRODUCT(G6:G13,K6:K13)/SUMPRODUCT((G6:G13&gt;0)*(K6:K13)),3)</f>
        <v>0.77900000000000003</v>
      </c>
      <c r="H16" s="98">
        <f>ROUND(SUMPRODUCT(H6:H13,K6:K13)/SUMPRODUCT((H6:H13&gt;0)*(K6:K13)),3)</f>
        <v>0.04</v>
      </c>
      <c r="I16" s="99"/>
      <c r="J16" s="99"/>
      <c r="K16" s="100">
        <f>SUM(K6:K15)</f>
        <v>36223.67</v>
      </c>
      <c r="L16" s="101">
        <f>ROUND(M16*10000/SUM(K6:K14),0)</f>
        <v>3029</v>
      </c>
      <c r="M16" s="101">
        <f>SUM(M6:M14)</f>
        <v>10915</v>
      </c>
      <c r="N16" s="102">
        <f>ROUND(SUMPRODUCT(M6:M14,N6:N14)/M16,3)</f>
        <v>0.05</v>
      </c>
      <c r="O16" s="101">
        <f>SUM(O6:O14)</f>
        <v>546</v>
      </c>
      <c r="P16" s="101">
        <f>SUM(P6:P14)</f>
        <v>10369</v>
      </c>
      <c r="Q16" s="103">
        <f>ROUND(SUMPRODUCT(Q6:Q13,K6:K13)/SUMPRODUCT((Q6:Q13&gt;0)*(K6:K13)),2)</f>
        <v>0.15</v>
      </c>
      <c r="R16" s="1257">
        <f ca="1">SUM(R6:R13)</f>
        <v>5780</v>
      </c>
      <c r="S16" s="104">
        <f>SUM(S6:S13)</f>
        <v>11304.57</v>
      </c>
      <c r="T16" s="105">
        <f>IF(SUMIF(T6:T13,"&lt;9E307")=M14,SUMIF(T6:T13,"&lt;9E307"),"有误，请检查")</f>
        <v>2261</v>
      </c>
      <c r="U16" s="106"/>
      <c r="V16" s="107"/>
      <c r="W16" s="107"/>
      <c r="X16" s="110"/>
      <c r="Y16" s="108"/>
      <c r="Z16" s="109"/>
      <c r="AA16" s="107"/>
      <c r="AB16" s="107"/>
      <c r="AC16" s="110"/>
      <c r="AD16" s="110"/>
      <c r="AE16" s="106"/>
      <c r="AF16" s="107"/>
      <c r="AG16" s="108"/>
      <c r="AH16" s="106"/>
      <c r="AI16" s="109"/>
      <c r="AJ16" s="109"/>
      <c r="AK16" s="107"/>
      <c r="AL16" s="107"/>
      <c r="AM16" s="108"/>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83"/>
      <c r="D17" s="2271"/>
      <c r="E17" s="2271"/>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7" t="s">
        <v>2019</v>
      </c>
      <c r="B18" s="2278"/>
      <c r="C18" s="2275"/>
      <c r="D18" s="2276"/>
      <c r="E18" s="2275"/>
      <c r="F18" s="2275"/>
      <c r="G18" s="2275"/>
      <c r="H18" s="2275"/>
      <c r="I18" s="2275"/>
      <c r="J18" s="2275"/>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2020</v>
      </c>
      <c r="B19" s="111">
        <v>0</v>
      </c>
      <c r="C19" s="2275" t="s">
        <v>2021</v>
      </c>
      <c r="D19" s="2276"/>
      <c r="E19" s="2275"/>
      <c r="F19" s="2275"/>
      <c r="G19" s="2275"/>
      <c r="H19" s="2275"/>
      <c r="I19" s="2275"/>
      <c r="J19" s="2275"/>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2022</v>
      </c>
      <c r="B20" s="112">
        <v>1.5</v>
      </c>
      <c r="C20" s="2275" t="s">
        <v>2023</v>
      </c>
      <c r="D20" s="2276"/>
      <c r="E20" s="2275"/>
      <c r="F20" s="2275"/>
      <c r="G20" s="2275"/>
      <c r="H20" s="2275"/>
      <c r="I20" s="2275"/>
      <c r="J20" s="2275"/>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2024</v>
      </c>
      <c r="B21" s="112">
        <v>0.1</v>
      </c>
      <c r="C21" s="2275"/>
      <c r="D21" s="2276"/>
      <c r="E21" s="2275"/>
      <c r="F21" s="2275"/>
      <c r="G21" s="2275"/>
      <c r="H21" s="2275"/>
      <c r="I21" s="2275"/>
      <c r="J21" s="2275"/>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2025</v>
      </c>
      <c r="B22" s="113">
        <f>B19+B20</f>
        <v>1.5</v>
      </c>
      <c r="C22" s="2275"/>
      <c r="D22" s="2276"/>
      <c r="E22" s="2275"/>
      <c r="F22" s="2275"/>
      <c r="G22" s="2275"/>
      <c r="H22" s="2275"/>
      <c r="I22" s="2275"/>
      <c r="J22" s="2275"/>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2026</v>
      </c>
      <c r="B23" s="113">
        <f>B19+B21</f>
        <v>0.1</v>
      </c>
      <c r="C23" s="2275"/>
      <c r="D23" s="2276"/>
      <c r="E23" s="2275"/>
      <c r="F23" s="2275"/>
      <c r="G23" s="2275"/>
      <c r="H23" s="2275"/>
      <c r="I23" s="2275"/>
      <c r="J23" s="2275"/>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2027</v>
      </c>
      <c r="B24" s="114">
        <f>B20-B21</f>
        <v>1.4</v>
      </c>
      <c r="C24" s="2275"/>
      <c r="D24" s="2276"/>
      <c r="E24" s="2275"/>
      <c r="F24" s="2275"/>
      <c r="G24" s="2275"/>
      <c r="H24" s="2275"/>
      <c r="I24" s="2275"/>
      <c r="J24" s="2275"/>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2028</v>
      </c>
      <c r="B26" s="2318" t="s">
        <v>2029</v>
      </c>
      <c r="C26" s="2319" t="s">
        <v>2030</v>
      </c>
      <c r="D26" s="2276"/>
      <c r="E26" s="2275"/>
      <c r="F26" s="2275"/>
      <c r="G26" s="2275"/>
      <c r="H26" s="2275"/>
      <c r="I26" s="2275"/>
      <c r="J26" s="2275"/>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2031</v>
      </c>
      <c r="B27" s="115">
        <v>400</v>
      </c>
      <c r="C27" s="1766" t="s">
        <v>2032</v>
      </c>
      <c r="D27" s="2321"/>
      <c r="E27" s="1429"/>
      <c r="F27" s="1429"/>
      <c r="G27" s="2275"/>
      <c r="H27" s="2275"/>
      <c r="I27" s="2275"/>
      <c r="J27" s="2275"/>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2" customFormat="1" ht="27.75">
      <c r="A28" s="2323" t="s">
        <v>2033</v>
      </c>
      <c r="B28" s="118">
        <v>400</v>
      </c>
      <c r="C28" s="2324"/>
      <c r="D28" s="2321"/>
      <c r="E28" s="1429"/>
      <c r="F28" s="1429"/>
      <c r="G28" s="2275"/>
      <c r="H28" s="2275"/>
      <c r="I28" s="2275"/>
      <c r="J28" s="2275"/>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2" customFormat="1" ht="28.5" thickBot="1">
      <c r="A29" s="2325" t="s">
        <v>2034</v>
      </c>
      <c r="B29" s="120">
        <v>0</v>
      </c>
      <c r="C29" s="1766" t="s">
        <v>2035</v>
      </c>
      <c r="D29" s="2321"/>
      <c r="E29" s="1429"/>
      <c r="F29" s="1429"/>
      <c r="G29" s="2275"/>
      <c r="H29" s="2275"/>
      <c r="I29" s="2275"/>
      <c r="J29" s="2275"/>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2" customFormat="1" ht="27">
      <c r="A30" s="2326" t="s">
        <v>2036</v>
      </c>
      <c r="B30" s="723">
        <v>200</v>
      </c>
      <c r="C30" s="2324"/>
      <c r="D30" s="2321"/>
      <c r="E30" s="1429"/>
      <c r="F30" s="1429"/>
      <c r="G30" s="2275"/>
      <c r="H30" s="2275"/>
      <c r="I30" s="2275"/>
      <c r="J30" s="2275"/>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2" customFormat="1" ht="27">
      <c r="A31" s="2323" t="s">
        <v>2037</v>
      </c>
      <c r="B31" s="119">
        <f>B30-B32</f>
        <v>200</v>
      </c>
      <c r="C31" s="1766"/>
      <c r="D31" s="2321"/>
      <c r="E31" s="1429"/>
      <c r="F31" s="1429"/>
      <c r="G31" s="2275"/>
      <c r="H31" s="2275"/>
      <c r="I31" s="2275"/>
      <c r="J31" s="2275"/>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2" customFormat="1" ht="27.75" thickBot="1">
      <c r="A32" s="2327" t="s">
        <v>2038</v>
      </c>
      <c r="B32" s="724">
        <v>0</v>
      </c>
      <c r="C32" s="2324"/>
      <c r="D32" s="2276"/>
      <c r="E32" s="2275"/>
      <c r="F32" s="2275"/>
      <c r="G32" s="2275"/>
      <c r="H32" s="2275"/>
      <c r="I32" s="2275"/>
      <c r="J32" s="2275"/>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2" customFormat="1" ht="14.25">
      <c r="A33" s="2320" t="s">
        <v>2039</v>
      </c>
      <c r="B33" s="725">
        <v>0.03</v>
      </c>
      <c r="C33" s="1765" t="s">
        <v>2040</v>
      </c>
      <c r="D33" s="2276"/>
      <c r="E33" s="2275"/>
      <c r="F33" s="2275"/>
      <c r="G33" s="2275"/>
      <c r="H33" s="2275"/>
      <c r="I33" s="2275"/>
      <c r="J33" s="2275"/>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2" customFormat="1" ht="14.25">
      <c r="A34" s="2323" t="s">
        <v>2041</v>
      </c>
      <c r="B34" s="121">
        <v>0.03</v>
      </c>
      <c r="C34" s="1765" t="s">
        <v>2042</v>
      </c>
      <c r="D34" s="2276" t="s">
        <v>2043</v>
      </c>
      <c r="E34" s="731"/>
      <c r="F34" s="2275"/>
      <c r="G34" s="2275"/>
      <c r="H34" s="2275"/>
      <c r="I34" s="2275"/>
      <c r="J34" s="2275"/>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2" customFormat="1" ht="14.25">
      <c r="A35" s="2323" t="s">
        <v>2044</v>
      </c>
      <c r="B35" s="118">
        <v>200</v>
      </c>
      <c r="C35" s="1765" t="s">
        <v>2045</v>
      </c>
      <c r="D35" s="2321"/>
      <c r="E35" s="1429"/>
      <c r="F35" s="1429"/>
      <c r="G35" s="2275"/>
      <c r="H35" s="2275"/>
      <c r="I35" s="2275"/>
      <c r="J35" s="2275"/>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5" t="s">
        <v>2046</v>
      </c>
      <c r="B36" s="122">
        <v>1.4999999999999999E-2</v>
      </c>
      <c r="C36" s="1765" t="s">
        <v>2047</v>
      </c>
      <c r="D36" s="2276"/>
      <c r="E36" s="2275"/>
      <c r="F36" s="2275"/>
      <c r="G36" s="2275"/>
      <c r="H36" s="2275"/>
      <c r="I36" s="2275"/>
      <c r="J36" s="2275"/>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2048</v>
      </c>
      <c r="B37" s="123">
        <v>1.4999999999999999E-2</v>
      </c>
      <c r="C37" s="1765" t="s">
        <v>2049</v>
      </c>
      <c r="D37" s="2276"/>
      <c r="E37" s="2275"/>
      <c r="F37" s="2275"/>
      <c r="G37" s="2275"/>
      <c r="H37" s="2275"/>
      <c r="I37" s="2275"/>
      <c r="J37" s="2275"/>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2050</v>
      </c>
      <c r="B38" s="121">
        <v>0.02</v>
      </c>
      <c r="C38" s="1765" t="s">
        <v>2049</v>
      </c>
      <c r="D38" s="2276"/>
      <c r="E38" s="2275"/>
      <c r="F38" s="2275"/>
      <c r="G38" s="2275"/>
      <c r="H38" s="2275"/>
      <c r="I38" s="2275"/>
      <c r="J38" s="2275"/>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2051</v>
      </c>
      <c r="B39" s="361">
        <f ca="1">存贷款利率!I1</f>
        <v>1.4999999999999999E-2</v>
      </c>
      <c r="C39" s="1765"/>
      <c r="D39" s="2276"/>
      <c r="E39" s="2275"/>
      <c r="F39" s="2275"/>
      <c r="G39" s="2275"/>
      <c r="H39" s="2275"/>
      <c r="I39" s="2275"/>
      <c r="J39" s="2275"/>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2052</v>
      </c>
      <c r="B40" s="1302">
        <f ca="1">存贷款利率!G1</f>
        <v>4.7500000000000001E-2</v>
      </c>
      <c r="C40" s="1765" t="s">
        <v>2053</v>
      </c>
      <c r="D40" s="1583"/>
      <c r="E40" s="2276"/>
      <c r="F40" s="2275"/>
      <c r="G40" s="2275"/>
      <c r="H40" s="2275"/>
      <c r="I40" s="2275"/>
      <c r="J40" s="2275"/>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2054</v>
      </c>
      <c r="B41" s="124">
        <f>B42+B43</f>
        <v>5.6000000000000001E-2</v>
      </c>
      <c r="C41" s="1766"/>
      <c r="D41" s="1583"/>
      <c r="E41" s="2276"/>
      <c r="F41" s="2275"/>
      <c r="G41" s="2275"/>
      <c r="H41" s="2275"/>
      <c r="I41" s="2275"/>
      <c r="J41" s="2275"/>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2055</v>
      </c>
      <c r="B42" s="125">
        <v>0.05</v>
      </c>
      <c r="C42" s="2329">
        <f>IF(B2&lt;DATE(2016,5,1),0,B42)</f>
        <v>0.05</v>
      </c>
      <c r="D42" s="2276"/>
      <c r="E42" s="2275"/>
      <c r="F42" s="2275"/>
      <c r="G42" s="2275"/>
      <c r="H42" s="2275"/>
      <c r="I42" s="2275"/>
      <c r="J42" s="2275"/>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2056</v>
      </c>
      <c r="B43" s="126">
        <f>B42*(B44+B45+B46)+B47</f>
        <v>6.000000000000001E-3</v>
      </c>
      <c r="C43" s="1766"/>
      <c r="D43" s="2276"/>
      <c r="E43" s="2275"/>
      <c r="F43" s="2275"/>
      <c r="G43" s="2275"/>
      <c r="H43" s="2275"/>
      <c r="I43" s="2275"/>
      <c r="J43" s="2275"/>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2057</v>
      </c>
      <c r="B44" s="127">
        <v>7.0000000000000007E-2</v>
      </c>
      <c r="C44" s="1765" t="s">
        <v>2058</v>
      </c>
      <c r="D44" s="2276"/>
      <c r="E44" s="2275"/>
      <c r="F44" s="2275"/>
      <c r="G44" s="2275"/>
      <c r="H44" s="2275"/>
      <c r="I44" s="2275"/>
      <c r="J44" s="2275"/>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2059</v>
      </c>
      <c r="B45" s="125">
        <v>0.03</v>
      </c>
      <c r="C45" s="1766" t="s">
        <v>2060</v>
      </c>
      <c r="D45" s="2276"/>
      <c r="E45" s="2275"/>
      <c r="F45" s="2275"/>
      <c r="G45" s="2275"/>
      <c r="H45" s="2275"/>
      <c r="I45" s="2275"/>
      <c r="J45" s="2275"/>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2061</v>
      </c>
      <c r="B46" s="125">
        <v>0.02</v>
      </c>
      <c r="C46" s="1766" t="s">
        <v>2062</v>
      </c>
      <c r="D46" s="2276"/>
      <c r="E46" s="2275"/>
      <c r="F46" s="2275"/>
      <c r="G46" s="2275"/>
      <c r="H46" s="2275"/>
      <c r="I46" s="2275"/>
      <c r="J46" s="2275"/>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2063</v>
      </c>
      <c r="B47" s="128">
        <v>0</v>
      </c>
      <c r="C47" s="1766" t="s">
        <v>2064</v>
      </c>
      <c r="D47" s="2276"/>
      <c r="E47" s="2275"/>
      <c r="F47" s="2275"/>
      <c r="G47" s="2275"/>
      <c r="H47" s="2275"/>
      <c r="I47" s="2275"/>
      <c r="J47" s="2275"/>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2065</v>
      </c>
      <c r="B48" s="129">
        <v>0.03</v>
      </c>
      <c r="C48" s="1773" t="s">
        <v>2066</v>
      </c>
      <c r="D48" s="2276"/>
      <c r="E48" s="2275"/>
      <c r="F48" s="2275"/>
      <c r="G48" s="2275"/>
      <c r="H48" s="2275"/>
      <c r="I48" s="2275"/>
      <c r="J48" s="2275"/>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2067</v>
      </c>
      <c r="B49" s="125">
        <v>5.0000000000000001E-4</v>
      </c>
      <c r="C49" s="1773" t="s">
        <v>2068</v>
      </c>
      <c r="D49" s="2276"/>
      <c r="E49" s="2275"/>
      <c r="F49" s="2275"/>
      <c r="G49" s="2275"/>
      <c r="H49" s="2275"/>
      <c r="I49" s="2275"/>
      <c r="J49" s="2275"/>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2069</v>
      </c>
      <c r="B50" s="130">
        <v>1.2E-2</v>
      </c>
      <c r="C50" s="1429"/>
      <c r="D50" s="2276"/>
      <c r="E50" s="2275"/>
      <c r="F50" s="2275"/>
      <c r="G50" s="2275"/>
      <c r="H50" s="2275"/>
      <c r="I50" s="2275"/>
      <c r="J50" s="2275"/>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2070</v>
      </c>
      <c r="B51" s="131">
        <v>0.12</v>
      </c>
      <c r="C51" s="1429"/>
      <c r="D51" s="2276"/>
      <c r="E51" s="2275"/>
      <c r="F51" s="2275"/>
      <c r="G51" s="2275"/>
      <c r="H51" s="2275"/>
      <c r="I51" s="2275"/>
      <c r="J51" s="2275"/>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2071</v>
      </c>
      <c r="B52" s="132">
        <f>SUMIF(A54:A63,B53,B54:B63)</f>
        <v>10</v>
      </c>
      <c r="C52" s="1429"/>
      <c r="D52" s="2276"/>
      <c r="E52" s="2275"/>
      <c r="F52" s="2275"/>
      <c r="G52" s="2275"/>
      <c r="H52" s="2275"/>
      <c r="I52" s="2275"/>
      <c r="J52" s="2275"/>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2072</v>
      </c>
      <c r="B53" s="2334" t="s">
        <v>212</v>
      </c>
      <c r="C53" s="1429" t="s">
        <v>2073</v>
      </c>
      <c r="D53" s="2335" t="s">
        <v>2074</v>
      </c>
      <c r="E53" s="2275"/>
      <c r="F53" s="2275"/>
      <c r="G53" s="2275"/>
      <c r="H53" s="2275"/>
      <c r="I53" s="2275"/>
      <c r="J53" s="2275"/>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2075</v>
      </c>
      <c r="B54" s="83">
        <v>10</v>
      </c>
      <c r="C54" s="1429">
        <v>30</v>
      </c>
      <c r="D54" s="2276"/>
      <c r="E54" s="2275"/>
      <c r="F54" s="2275"/>
      <c r="G54" s="2275"/>
      <c r="H54" s="2275"/>
      <c r="I54" s="2275"/>
      <c r="J54" s="2275"/>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2076</v>
      </c>
      <c r="B55" s="83"/>
      <c r="C55" s="1429">
        <v>24</v>
      </c>
      <c r="D55" s="2276"/>
      <c r="E55" s="2275"/>
      <c r="F55" s="2275"/>
      <c r="G55" s="2275"/>
      <c r="H55" s="2275"/>
      <c r="I55" s="2337"/>
      <c r="J55" s="2275"/>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2077</v>
      </c>
      <c r="B56" s="83"/>
      <c r="C56" s="1429">
        <v>18</v>
      </c>
      <c r="D56" s="2276"/>
      <c r="E56" s="2275"/>
      <c r="F56" s="2275"/>
      <c r="G56" s="2275"/>
      <c r="H56" s="2275"/>
      <c r="I56" s="2275"/>
      <c r="J56" s="2275"/>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2078</v>
      </c>
      <c r="B57" s="83"/>
      <c r="C57" s="1429">
        <v>12</v>
      </c>
      <c r="D57" s="2276"/>
      <c r="E57" s="2275"/>
      <c r="F57" s="2275"/>
      <c r="G57" s="2275"/>
      <c r="H57" s="2275"/>
      <c r="I57" s="2275"/>
      <c r="J57" s="2275"/>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2079</v>
      </c>
      <c r="B58" s="83"/>
      <c r="C58" s="1429">
        <v>3</v>
      </c>
      <c r="D58" s="2276"/>
      <c r="E58" s="2275"/>
      <c r="F58" s="2275"/>
      <c r="G58" s="2275"/>
      <c r="H58" s="2275"/>
      <c r="I58" s="2275"/>
      <c r="J58" s="2275"/>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2080</v>
      </c>
      <c r="B59" s="83"/>
      <c r="C59" s="1429">
        <v>1.5</v>
      </c>
      <c r="D59" s="2276"/>
      <c r="E59" s="2275"/>
      <c r="F59" s="2275"/>
      <c r="G59" s="2275"/>
      <c r="H59" s="2275"/>
      <c r="I59" s="2275"/>
      <c r="J59" s="2275"/>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2081</v>
      </c>
      <c r="B60" s="83"/>
      <c r="C60" s="2275"/>
      <c r="D60" s="2276"/>
      <c r="E60" s="2275"/>
      <c r="F60" s="2275"/>
      <c r="G60" s="2275"/>
      <c r="H60" s="2275"/>
      <c r="I60" s="2275"/>
      <c r="J60" s="2275"/>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2082</v>
      </c>
      <c r="B61" s="83"/>
      <c r="C61" s="2275"/>
      <c r="D61" s="2276"/>
      <c r="E61" s="2275"/>
      <c r="F61" s="2275"/>
      <c r="G61" s="2275"/>
      <c r="H61" s="2275"/>
      <c r="I61" s="2275"/>
      <c r="J61" s="2275"/>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2083</v>
      </c>
      <c r="B62" s="83"/>
      <c r="C62" s="2275"/>
      <c r="D62" s="2276"/>
      <c r="E62" s="2275"/>
      <c r="F62" s="2275"/>
      <c r="G62" s="2275"/>
      <c r="H62" s="2275"/>
      <c r="I62" s="2275"/>
      <c r="J62" s="2275"/>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2084</v>
      </c>
      <c r="B63" s="133"/>
      <c r="C63" s="2275"/>
      <c r="D63" s="2276"/>
      <c r="E63" s="2275"/>
      <c r="F63" s="2275"/>
      <c r="G63" s="2275"/>
      <c r="H63" s="2275"/>
      <c r="I63" s="2275"/>
      <c r="J63" s="2275"/>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9"/>
      <c r="D64" s="2340"/>
      <c r="K64" s="797"/>
      <c r="L64" s="797"/>
    </row>
    <row r="65" spans="1:12" s="966" customFormat="1">
      <c r="A65" s="2339"/>
      <c r="D65" s="2340"/>
      <c r="K65" s="797"/>
      <c r="L65" s="797"/>
    </row>
    <row r="66" spans="1:12" s="966" customFormat="1">
      <c r="A66" s="2339"/>
      <c r="D66" s="2340"/>
      <c r="K66" s="797"/>
      <c r="L66" s="797"/>
    </row>
    <row r="67" spans="1:12" s="966" customFormat="1">
      <c r="A67" s="2339"/>
      <c r="D67" s="2340"/>
      <c r="K67" s="797"/>
      <c r="L67" s="797"/>
    </row>
    <row r="68" spans="1:12" s="966" customFormat="1">
      <c r="A68" s="2339"/>
      <c r="D68" s="2340"/>
      <c r="K68" s="797"/>
      <c r="L68" s="797"/>
    </row>
    <row r="69" spans="1:12" s="966" customFormat="1">
      <c r="A69" s="2339"/>
      <c r="D69" s="2340"/>
      <c r="K69" s="797"/>
      <c r="L69" s="797"/>
    </row>
    <row r="70" spans="1:12" s="966" customFormat="1">
      <c r="A70" s="2339"/>
      <c r="D70" s="2340"/>
      <c r="K70" s="797"/>
      <c r="L70" s="797"/>
    </row>
    <row r="71" spans="1:12" s="966" customFormat="1">
      <c r="A71" s="2339"/>
      <c r="D71" s="2340"/>
      <c r="K71" s="797"/>
      <c r="L71" s="797"/>
    </row>
    <row r="72" spans="1:12" s="966" customFormat="1">
      <c r="A72" s="2339"/>
      <c r="D72" s="2340"/>
      <c r="K72" s="797"/>
      <c r="L72" s="797"/>
    </row>
    <row r="73" spans="1:12" s="966" customFormat="1">
      <c r="A73" s="2339"/>
      <c r="D73" s="2340"/>
      <c r="K73" s="797"/>
      <c r="L73" s="797"/>
    </row>
    <row r="74" spans="1:12" s="966" customFormat="1">
      <c r="A74" s="2339"/>
      <c r="D74" s="2340"/>
      <c r="K74" s="797"/>
      <c r="L74" s="797"/>
    </row>
    <row r="75" spans="1:12" s="966" customFormat="1">
      <c r="A75" s="2339"/>
      <c r="D75" s="2340"/>
      <c r="K75" s="797"/>
      <c r="L75" s="797"/>
    </row>
    <row r="76" spans="1:12" s="966" customFormat="1">
      <c r="A76" s="2339"/>
      <c r="D76" s="2340"/>
      <c r="K76" s="797"/>
      <c r="L76" s="797"/>
    </row>
    <row r="77" spans="1:12" s="966" customFormat="1">
      <c r="A77" s="2339"/>
      <c r="D77" s="2340"/>
      <c r="K77" s="797"/>
      <c r="L77" s="797"/>
    </row>
    <row r="78" spans="1:12" s="966" customFormat="1">
      <c r="A78" s="2339"/>
      <c r="D78" s="2340"/>
      <c r="K78" s="797"/>
      <c r="L78" s="797"/>
    </row>
    <row r="79" spans="1:12" s="966" customFormat="1">
      <c r="A79" s="2339"/>
      <c r="D79" s="2340"/>
      <c r="K79" s="797"/>
      <c r="L79" s="797"/>
    </row>
    <row r="80" spans="1:12" s="966" customFormat="1">
      <c r="A80" s="2339"/>
      <c r="D80" s="2340"/>
      <c r="K80" s="797"/>
      <c r="L80" s="797"/>
    </row>
    <row r="81" spans="1:12" s="966" customFormat="1">
      <c r="A81" s="2339"/>
      <c r="D81" s="2340"/>
      <c r="K81" s="797"/>
      <c r="L81" s="797"/>
    </row>
    <row r="82" spans="1:12" s="966" customFormat="1">
      <c r="A82" s="2339"/>
      <c r="D82" s="2340"/>
      <c r="K82" s="797"/>
      <c r="L82" s="797"/>
    </row>
    <row r="83" spans="1:12" s="966" customFormat="1">
      <c r="A83" s="2339"/>
      <c r="D83" s="2340"/>
      <c r="K83" s="797"/>
      <c r="L83" s="797"/>
    </row>
    <row r="84" spans="1:12" s="966" customFormat="1">
      <c r="A84" s="2339"/>
      <c r="D84" s="2340"/>
      <c r="K84" s="797"/>
      <c r="L84" s="797"/>
    </row>
    <row r="85" spans="1:12" s="966" customFormat="1">
      <c r="A85" s="2339"/>
      <c r="D85" s="2340"/>
      <c r="K85" s="797"/>
      <c r="L85" s="797"/>
    </row>
    <row r="86" spans="1:12" s="966" customFormat="1">
      <c r="A86" s="2339"/>
      <c r="D86" s="2340"/>
      <c r="K86" s="797"/>
      <c r="L86" s="797"/>
    </row>
    <row r="87" spans="1:12" s="966" customFormat="1">
      <c r="A87" s="2339"/>
      <c r="D87" s="2340"/>
      <c r="K87" s="797"/>
      <c r="L87" s="797"/>
    </row>
    <row r="88" spans="1:12" s="966" customFormat="1">
      <c r="A88" s="2339"/>
      <c r="D88" s="2340"/>
      <c r="K88" s="797"/>
      <c r="L88" s="797"/>
    </row>
    <row r="89" spans="1:12" s="966" customFormat="1">
      <c r="A89" s="2339"/>
      <c r="D89" s="2340"/>
      <c r="K89" s="797"/>
      <c r="L89" s="797"/>
    </row>
    <row r="90" spans="1:12" s="966" customFormat="1">
      <c r="A90" s="2339"/>
      <c r="D90" s="2340"/>
      <c r="K90" s="797"/>
      <c r="L90" s="797"/>
    </row>
    <row r="91" spans="1:12" s="966" customFormat="1">
      <c r="A91" s="2339"/>
      <c r="D91" s="2340"/>
      <c r="K91" s="797"/>
      <c r="L91" s="797"/>
    </row>
    <row r="92" spans="1:12" s="966" customFormat="1">
      <c r="A92" s="2339"/>
      <c r="D92" s="2340"/>
      <c r="K92" s="797"/>
      <c r="L92" s="797"/>
    </row>
    <row r="93" spans="1:12" s="966" customFormat="1">
      <c r="A93" s="2339"/>
      <c r="D93" s="2340"/>
      <c r="K93" s="797"/>
      <c r="L93" s="797"/>
    </row>
    <row r="94" spans="1:12" s="966" customFormat="1">
      <c r="A94" s="2339"/>
      <c r="D94" s="2340"/>
      <c r="K94" s="797"/>
      <c r="L94" s="797"/>
    </row>
    <row r="95" spans="1:12" s="966" customFormat="1">
      <c r="A95" s="2339"/>
      <c r="D95" s="2340"/>
      <c r="K95" s="797"/>
      <c r="L95" s="797"/>
    </row>
    <row r="96" spans="1:12" s="966" customFormat="1">
      <c r="A96" s="2339"/>
      <c r="D96" s="2340"/>
      <c r="K96" s="797"/>
      <c r="L96" s="797"/>
    </row>
    <row r="97" spans="1:12" s="966" customFormat="1">
      <c r="A97" s="2339"/>
      <c r="D97" s="2340"/>
      <c r="K97" s="797"/>
      <c r="L97" s="797"/>
    </row>
    <row r="98" spans="1:12" s="966" customFormat="1">
      <c r="A98" s="2339"/>
      <c r="D98" s="2340"/>
      <c r="K98" s="797"/>
      <c r="L98" s="797"/>
    </row>
    <row r="99" spans="1:12" s="966" customFormat="1">
      <c r="A99" s="2339"/>
      <c r="D99" s="2340"/>
      <c r="K99" s="797"/>
      <c r="L99" s="797"/>
    </row>
    <row r="100" spans="1:12" s="966" customFormat="1">
      <c r="A100" s="2339"/>
      <c r="D100" s="2340"/>
      <c r="K100" s="797"/>
      <c r="L100" s="797"/>
    </row>
    <row r="101" spans="1:12" s="966" customFormat="1">
      <c r="A101" s="2339"/>
      <c r="D101" s="2340"/>
      <c r="K101" s="797"/>
      <c r="L101" s="797"/>
    </row>
    <row r="102" spans="1:12" s="966" customFormat="1">
      <c r="A102" s="2339"/>
      <c r="D102" s="2340"/>
      <c r="K102" s="797"/>
      <c r="L102" s="797"/>
    </row>
    <row r="103" spans="1:12" s="966" customFormat="1">
      <c r="A103" s="2339"/>
      <c r="D103" s="2340"/>
      <c r="K103" s="797"/>
      <c r="L103" s="797"/>
    </row>
    <row r="104" spans="1:12" s="966" customFormat="1">
      <c r="A104" s="2339"/>
      <c r="D104" s="2340"/>
      <c r="K104" s="797"/>
      <c r="L104" s="797"/>
    </row>
    <row r="105" spans="1:12" s="966" customFormat="1">
      <c r="A105" s="2339"/>
      <c r="D105" s="2340"/>
      <c r="K105" s="797"/>
      <c r="L105" s="797"/>
    </row>
    <row r="106" spans="1:12" s="966" customFormat="1">
      <c r="A106" s="2339"/>
      <c r="D106" s="2340"/>
      <c r="K106" s="797"/>
      <c r="L106" s="797"/>
    </row>
    <row r="107" spans="1:12" s="966" customFormat="1">
      <c r="A107" s="2339"/>
      <c r="D107" s="2340"/>
      <c r="K107" s="797"/>
      <c r="L107" s="797"/>
    </row>
    <row r="108" spans="1:12" s="966" customFormat="1">
      <c r="A108" s="2339"/>
      <c r="D108" s="2340"/>
      <c r="K108" s="797"/>
      <c r="L108" s="797"/>
    </row>
    <row r="109" spans="1:12" s="966" customFormat="1">
      <c r="A109" s="2339"/>
      <c r="D109" s="2340"/>
      <c r="K109" s="797"/>
      <c r="L109" s="797"/>
    </row>
    <row r="110" spans="1:12" s="966" customFormat="1">
      <c r="A110" s="2339"/>
      <c r="D110" s="2340"/>
      <c r="K110" s="797"/>
      <c r="L110" s="797"/>
    </row>
    <row r="111" spans="1:12" s="966" customFormat="1">
      <c r="A111" s="2339"/>
      <c r="D111" s="2340"/>
      <c r="K111" s="797"/>
      <c r="L111" s="797"/>
    </row>
    <row r="112" spans="1:12" s="966" customFormat="1">
      <c r="A112" s="2339"/>
      <c r="D112" s="2340"/>
      <c r="K112" s="797"/>
      <c r="L112" s="797"/>
    </row>
    <row r="113" spans="1:12" s="966" customFormat="1">
      <c r="A113" s="2339"/>
      <c r="D113" s="2340"/>
      <c r="K113" s="797"/>
      <c r="L113" s="797"/>
    </row>
    <row r="114" spans="1:12" s="966" customFormat="1">
      <c r="A114" s="2339"/>
      <c r="D114" s="2340"/>
      <c r="K114" s="797"/>
      <c r="L114" s="797"/>
    </row>
    <row r="115" spans="1:12" s="966" customFormat="1">
      <c r="A115" s="2339"/>
      <c r="D115" s="2340"/>
      <c r="K115" s="797"/>
      <c r="L115" s="797"/>
    </row>
    <row r="116" spans="1:12" s="966" customFormat="1">
      <c r="A116" s="2339"/>
      <c r="D116" s="2340"/>
      <c r="K116" s="797"/>
      <c r="L116" s="797"/>
    </row>
    <row r="117" spans="1:12" s="966" customFormat="1">
      <c r="A117" s="2339"/>
      <c r="D117" s="2340"/>
      <c r="K117" s="797"/>
      <c r="L117" s="797"/>
    </row>
    <row r="118" spans="1:12" s="966" customFormat="1">
      <c r="A118" s="2339"/>
      <c r="D118" s="2340"/>
      <c r="K118" s="797"/>
      <c r="L118" s="797"/>
    </row>
    <row r="119" spans="1:12" s="966" customFormat="1">
      <c r="A119" s="2339"/>
      <c r="D119" s="2340"/>
      <c r="K119" s="797"/>
      <c r="L119" s="797"/>
    </row>
    <row r="120" spans="1:12" s="966" customFormat="1">
      <c r="A120" s="2339"/>
      <c r="D120" s="2340"/>
      <c r="K120" s="797"/>
      <c r="L120" s="797"/>
    </row>
    <row r="121" spans="1:12" s="966" customFormat="1">
      <c r="A121" s="2339"/>
      <c r="D121" s="2340"/>
      <c r="K121" s="797"/>
      <c r="L121" s="797"/>
    </row>
    <row r="122" spans="1:12" s="966" customFormat="1">
      <c r="A122" s="2339"/>
      <c r="D122" s="2340"/>
      <c r="K122" s="797"/>
      <c r="L122" s="797"/>
    </row>
    <row r="123" spans="1:12" s="966" customFormat="1">
      <c r="A123" s="2339"/>
      <c r="D123" s="2340"/>
      <c r="K123" s="797"/>
      <c r="L123" s="797"/>
    </row>
    <row r="124" spans="1:12" s="966" customFormat="1">
      <c r="A124" s="2339"/>
      <c r="D124" s="2340"/>
      <c r="K124" s="797"/>
      <c r="L124" s="797"/>
    </row>
    <row r="125" spans="1:12" s="966" customFormat="1">
      <c r="A125" s="2339"/>
      <c r="D125" s="2340"/>
      <c r="K125" s="797"/>
      <c r="L125" s="797"/>
    </row>
    <row r="126" spans="1:12" s="966" customFormat="1">
      <c r="A126" s="2339"/>
      <c r="D126" s="2340"/>
      <c r="K126" s="797"/>
      <c r="L126" s="797"/>
    </row>
    <row r="127" spans="1:12" s="966" customFormat="1">
      <c r="A127" s="2339"/>
      <c r="D127" s="2340"/>
      <c r="K127" s="797"/>
      <c r="L127" s="797"/>
    </row>
    <row r="128" spans="1:12" s="966" customFormat="1">
      <c r="A128" s="2339"/>
      <c r="D128" s="2340"/>
      <c r="K128" s="797"/>
      <c r="L128" s="797"/>
    </row>
    <row r="129" spans="1:12" s="966" customFormat="1">
      <c r="A129" s="2339"/>
      <c r="D129" s="2340"/>
      <c r="K129" s="797"/>
      <c r="L129" s="797"/>
    </row>
    <row r="130" spans="1:12" s="966" customFormat="1">
      <c r="A130" s="2339"/>
      <c r="D130" s="2340"/>
      <c r="K130" s="797"/>
      <c r="L130" s="797"/>
    </row>
    <row r="131" spans="1:12" s="966" customFormat="1">
      <c r="A131" s="2339"/>
      <c r="D131" s="2340"/>
      <c r="K131" s="797"/>
      <c r="L131" s="797"/>
    </row>
    <row r="132" spans="1:12" s="966" customFormat="1">
      <c r="A132" s="2339"/>
      <c r="D132" s="2340"/>
      <c r="K132" s="797"/>
      <c r="L132" s="797"/>
    </row>
    <row r="133" spans="1:12" s="966"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59" t="s">
        <v>2085</v>
      </c>
      <c r="B1" s="3060"/>
      <c r="C1" s="3060"/>
      <c r="D1" s="3060"/>
      <c r="E1" s="3060"/>
      <c r="F1" s="3060"/>
      <c r="G1" s="306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2086</v>
      </c>
      <c r="D2" s="2364"/>
      <c r="E2" s="2365"/>
      <c r="F2" s="2284"/>
      <c r="G2" s="2363" t="s">
        <v>2087</v>
      </c>
      <c r="H2" s="2366"/>
      <c r="I2" s="2366"/>
      <c r="J2" s="2366"/>
      <c r="K2" s="2366"/>
      <c r="L2" s="2366"/>
      <c r="M2" s="2366"/>
      <c r="N2" s="2366"/>
      <c r="O2" s="2366"/>
      <c r="P2" s="2366"/>
      <c r="Q2" s="2366"/>
      <c r="R2" s="2366"/>
    </row>
    <row r="3" spans="1:29" ht="54">
      <c r="A3" s="414" t="s">
        <v>2088</v>
      </c>
      <c r="B3" s="1270" t="s">
        <v>2089</v>
      </c>
      <c r="C3" s="2368" t="s">
        <v>2090</v>
      </c>
      <c r="D3" s="2369"/>
      <c r="E3" s="430" t="s">
        <v>2088</v>
      </c>
      <c r="F3" s="2370" t="s">
        <v>2091</v>
      </c>
      <c r="G3" s="2371" t="s">
        <v>2092</v>
      </c>
      <c r="H3" s="2366"/>
      <c r="I3" s="2366"/>
      <c r="J3" s="2366"/>
      <c r="K3" s="2366"/>
      <c r="L3" s="2366"/>
      <c r="M3" s="2366"/>
      <c r="N3" s="2366"/>
      <c r="O3" s="2366"/>
      <c r="P3" s="2366"/>
      <c r="Q3" s="2366"/>
      <c r="R3" s="2366"/>
    </row>
    <row r="4" spans="1:29" ht="41.25">
      <c r="A4" s="430"/>
      <c r="B4" s="1797" t="s">
        <v>2093</v>
      </c>
      <c r="C4" s="2372" t="s">
        <v>2094</v>
      </c>
      <c r="D4" s="2369"/>
      <c r="E4" s="2373"/>
      <c r="F4" s="42" t="s">
        <v>2095</v>
      </c>
      <c r="G4" s="2374" t="s">
        <v>2096</v>
      </c>
      <c r="H4" s="2366"/>
      <c r="I4" s="2366"/>
      <c r="J4" s="2366"/>
      <c r="K4" s="2366"/>
      <c r="L4" s="2366"/>
      <c r="M4" s="2366"/>
      <c r="N4" s="2366"/>
      <c r="O4" s="2366"/>
      <c r="P4" s="2366"/>
      <c r="Q4" s="2366"/>
      <c r="R4" s="2366"/>
    </row>
    <row r="5" spans="1:29" ht="41.25">
      <c r="A5" s="430"/>
      <c r="B5" s="1797" t="s">
        <v>2097</v>
      </c>
      <c r="C5" s="2372" t="s">
        <v>2098</v>
      </c>
      <c r="D5" s="2369"/>
      <c r="E5" s="2373"/>
      <c r="F5" s="1797" t="s">
        <v>2099</v>
      </c>
      <c r="G5" s="2374" t="s">
        <v>2100</v>
      </c>
      <c r="H5" s="2366"/>
      <c r="I5" s="2366"/>
      <c r="J5" s="2366"/>
      <c r="K5" s="2366"/>
      <c r="L5" s="2366"/>
      <c r="M5" s="2366"/>
      <c r="N5" s="2366"/>
      <c r="O5" s="2366"/>
      <c r="P5" s="2366"/>
      <c r="Q5" s="2366"/>
      <c r="R5" s="2366"/>
    </row>
    <row r="6" spans="1:29" ht="54">
      <c r="A6" s="430"/>
      <c r="B6" s="1797" t="s">
        <v>2101</v>
      </c>
      <c r="C6" s="2374" t="s">
        <v>2096</v>
      </c>
      <c r="D6" s="2369"/>
      <c r="E6" s="2373"/>
      <c r="F6" s="1797" t="s">
        <v>2102</v>
      </c>
      <c r="G6" s="2374" t="s">
        <v>2103</v>
      </c>
      <c r="H6" s="2366"/>
      <c r="I6" s="2366"/>
      <c r="J6" s="2366"/>
      <c r="K6" s="2366"/>
      <c r="L6" s="2366"/>
      <c r="M6" s="2366"/>
      <c r="N6" s="2366"/>
      <c r="O6" s="2366"/>
      <c r="P6" s="2366"/>
      <c r="Q6" s="2366"/>
      <c r="R6" s="2366"/>
    </row>
    <row r="7" spans="1:29" ht="41.25" thickBot="1">
      <c r="A7" s="430"/>
      <c r="B7" s="1797" t="s">
        <v>2099</v>
      </c>
      <c r="C7" s="2374" t="s">
        <v>2100</v>
      </c>
      <c r="D7" s="2375"/>
      <c r="E7" s="2376"/>
      <c r="F7" s="2377" t="s">
        <v>2104</v>
      </c>
      <c r="G7" s="2378" t="s">
        <v>2105</v>
      </c>
      <c r="H7" s="2366"/>
      <c r="I7" s="2366"/>
      <c r="J7" s="2366"/>
      <c r="K7" s="2366"/>
      <c r="L7" s="2366"/>
      <c r="M7" s="2366"/>
      <c r="N7" s="2366"/>
      <c r="O7" s="2366"/>
      <c r="P7" s="2366"/>
      <c r="Q7" s="2366"/>
      <c r="R7" s="2366"/>
    </row>
    <row r="8" spans="1:29" ht="27">
      <c r="A8" s="430"/>
      <c r="B8" s="1797" t="s">
        <v>2102</v>
      </c>
      <c r="C8" s="2374" t="s">
        <v>2103</v>
      </c>
      <c r="D8" s="2375"/>
      <c r="E8" s="2375"/>
      <c r="F8" s="1135"/>
      <c r="G8" s="1135"/>
      <c r="H8" s="2366"/>
      <c r="I8" s="2366"/>
      <c r="J8" s="2366"/>
      <c r="K8" s="2366"/>
      <c r="L8" s="2366"/>
      <c r="M8" s="2366"/>
      <c r="N8" s="2366"/>
      <c r="O8" s="2366"/>
      <c r="P8" s="2366"/>
      <c r="Q8" s="2366"/>
      <c r="R8" s="2366"/>
    </row>
    <row r="9" spans="1:29" ht="27">
      <c r="A9" s="430"/>
      <c r="B9" s="1797" t="s">
        <v>2106</v>
      </c>
      <c r="C9" s="2372" t="s">
        <v>2107</v>
      </c>
      <c r="D9" s="2369"/>
      <c r="E9" s="2375"/>
      <c r="F9" s="1135"/>
      <c r="G9" s="1135"/>
      <c r="H9" s="2366"/>
      <c r="I9" s="2366"/>
      <c r="J9" s="2366"/>
      <c r="K9" s="2366"/>
      <c r="L9" s="2366"/>
      <c r="M9" s="2366"/>
      <c r="N9" s="2366"/>
      <c r="O9" s="2366"/>
      <c r="P9" s="2366"/>
      <c r="Q9" s="2366"/>
      <c r="R9" s="2366"/>
    </row>
    <row r="10" spans="1:29" s="116" customFormat="1" ht="15.75" thickBot="1">
      <c r="A10" s="2379"/>
      <c r="B10" s="2380" t="s">
        <v>2108</v>
      </c>
      <c r="C10" s="2381"/>
      <c r="D10" s="2369"/>
      <c r="E10" s="2369"/>
      <c r="F10" s="1135"/>
      <c r="G10" s="1135"/>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6" customFormat="1" ht="15">
      <c r="A11" s="2385"/>
      <c r="B11" s="2375"/>
      <c r="C11" s="2369"/>
      <c r="D11" s="2369"/>
      <c r="E11" s="2369"/>
      <c r="F11" s="2375"/>
      <c r="G11" s="1153"/>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3"/>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2109</v>
      </c>
      <c r="B13" s="2386"/>
      <c r="C13" s="2386"/>
      <c r="D13" s="2393"/>
      <c r="E13" s="2386"/>
      <c r="F13" s="2386"/>
      <c r="G13" s="2386"/>
    </row>
    <row r="14" spans="1:29" ht="15.75" thickBot="1">
      <c r="A14" s="2397"/>
      <c r="B14" s="2398"/>
      <c r="C14" s="2399" t="s">
        <v>2110</v>
      </c>
      <c r="D14" s="2369"/>
      <c r="E14" s="2400"/>
      <c r="F14" s="2400"/>
      <c r="G14" s="2363" t="s">
        <v>2111</v>
      </c>
    </row>
    <row r="15" spans="1:29" ht="57">
      <c r="A15" s="67" t="s">
        <v>2112</v>
      </c>
      <c r="B15" s="1269" t="s">
        <v>2089</v>
      </c>
      <c r="C15" s="2401" t="str">
        <f>C3</f>
        <v>估价对象周边居住用地比例、居住小区规模和社区发展完善程度，综合评价居住社区成熟度一般</v>
      </c>
      <c r="D15" s="2369"/>
      <c r="E15" s="2402" t="s">
        <v>2113</v>
      </c>
      <c r="F15" s="1269" t="s">
        <v>2114</v>
      </c>
      <c r="G15" s="134" t="str">
        <f>G3</f>
        <v>估价对象位于XX开发区，园区建设成熟度XX，产业集聚程度XX</v>
      </c>
    </row>
    <row r="16" spans="1:29" ht="42.75">
      <c r="A16" s="644"/>
      <c r="B16" s="2403" t="s">
        <v>2093</v>
      </c>
      <c r="C16" s="2404" t="str">
        <f>C4</f>
        <v>估价对象位于XX商圈，周边商业氛围成熟，人流量大，商业繁华度好</v>
      </c>
      <c r="D16" s="2369"/>
      <c r="E16" s="2405"/>
      <c r="F16" s="2406" t="s">
        <v>2095</v>
      </c>
      <c r="G16" s="135" t="str">
        <f>G4</f>
        <v>估价对象周边道路状况、公共交通通达情况、停车便捷程度，综合评价交通便捷度较好</v>
      </c>
    </row>
    <row r="17" spans="1:18" ht="42.75">
      <c r="A17" s="644"/>
      <c r="B17" s="2403" t="s">
        <v>2097</v>
      </c>
      <c r="C17" s="2404" t="str">
        <f>C5</f>
        <v>估价对象位于XX商圈，周边办公楼项目较多，入驻率高，办公集聚程度较好</v>
      </c>
      <c r="D17" s="2375"/>
      <c r="E17" s="2405"/>
      <c r="F17" s="2406" t="s">
        <v>2115</v>
      </c>
      <c r="G17" s="1571"/>
    </row>
    <row r="18" spans="1:18" ht="57">
      <c r="A18" s="644"/>
      <c r="B18" s="2406" t="s">
        <v>2101</v>
      </c>
      <c r="C18" s="135" t="str">
        <f>C6</f>
        <v>估价对象周边道路状况、公共交通通达情况、停车便捷程度，综合评价交通便捷度较好</v>
      </c>
      <c r="D18" s="2375"/>
      <c r="E18" s="2405"/>
      <c r="F18" s="2406" t="s">
        <v>2104</v>
      </c>
      <c r="G18" s="135" t="str">
        <f>G7</f>
        <v>该园区内是否有污染型企业，绿化情况，卫生条件，整体环境状况判断</v>
      </c>
    </row>
    <row r="19" spans="1:18" ht="28.5">
      <c r="A19" s="644"/>
      <c r="B19" s="2406" t="s">
        <v>2116</v>
      </c>
      <c r="C19" s="1571"/>
      <c r="D19" s="2369"/>
      <c r="E19" s="2405"/>
      <c r="F19" s="1797" t="s">
        <v>2099</v>
      </c>
      <c r="G19" s="135" t="str">
        <f>G5</f>
        <v>估价对象所在区域公共配套设施齐备情况</v>
      </c>
    </row>
    <row r="20" spans="1:18" ht="28.5">
      <c r="A20" s="644"/>
      <c r="B20" s="2406" t="s">
        <v>2117</v>
      </c>
      <c r="C20" s="2404" t="str">
        <f>C9</f>
        <v>区域自然环境：；人文环境；综合评价环境状况一般</v>
      </c>
      <c r="D20" s="2375"/>
      <c r="E20" s="2405"/>
      <c r="F20" s="1797" t="s">
        <v>2118</v>
      </c>
      <c r="G20" s="135" t="str">
        <f>G6</f>
        <v>估价对象所在区域基础设施水平</v>
      </c>
    </row>
    <row r="21" spans="1:18" ht="28.5">
      <c r="A21" s="644"/>
      <c r="B21" s="1797" t="s">
        <v>2099</v>
      </c>
      <c r="C21" s="135" t="str">
        <f>C7</f>
        <v>估价对象所在区域公共配套设施齐备情况</v>
      </c>
      <c r="D21" s="2369"/>
      <c r="E21" s="2405"/>
      <c r="F21" s="2406" t="s">
        <v>2119</v>
      </c>
      <c r="G21" s="2407"/>
    </row>
    <row r="22" spans="1:18" ht="13.5" customHeight="1">
      <c r="A22" s="644"/>
      <c r="B22" s="1797" t="s">
        <v>2102</v>
      </c>
      <c r="C22" s="135" t="str">
        <f>C8</f>
        <v>估价对象所在区域基础设施水平</v>
      </c>
      <c r="D22" s="2369"/>
      <c r="E22" s="2405"/>
      <c r="F22" s="2406" t="s">
        <v>2108</v>
      </c>
      <c r="G22" s="1571"/>
    </row>
    <row r="23" spans="1:18" s="2366" customFormat="1" ht="15.75" thickBot="1">
      <c r="A23" s="644"/>
      <c r="B23" s="2406" t="s">
        <v>2119</v>
      </c>
      <c r="C23" s="2407"/>
      <c r="D23" s="2394"/>
      <c r="E23" s="2408"/>
      <c r="F23" s="2409" t="s">
        <v>2120</v>
      </c>
      <c r="G23" s="2410"/>
      <c r="H23" s="2394"/>
      <c r="I23" s="2395"/>
      <c r="J23" s="2394"/>
      <c r="K23" s="2394"/>
      <c r="L23" s="2395"/>
      <c r="M23" s="2394"/>
      <c r="N23" s="2394"/>
      <c r="O23" s="2395"/>
      <c r="P23" s="2394"/>
      <c r="Q23" s="2394"/>
      <c r="R23" s="2396"/>
    </row>
    <row r="24" spans="1:18" s="2366" customFormat="1" ht="15.75" thickBot="1">
      <c r="A24" s="2411"/>
      <c r="B24" s="2409" t="s">
        <v>2121</v>
      </c>
      <c r="C24" s="136">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36223.67</v>
      </c>
      <c r="C1" s="1744"/>
      <c r="D1" s="1744"/>
      <c r="E1" s="1744"/>
      <c r="F1" s="1744"/>
      <c r="G1" s="1742"/>
    </row>
    <row r="2" spans="1:10" ht="16.5">
      <c r="A2" s="1745" t="s">
        <v>1353</v>
      </c>
      <c r="B2" s="1745">
        <f>SUM(C14:C23)</f>
        <v>5780</v>
      </c>
      <c r="C2" s="1744"/>
      <c r="D2" s="1744"/>
      <c r="E2" s="1744"/>
      <c r="F2" s="1744"/>
      <c r="G2" s="1742"/>
    </row>
    <row r="3" spans="1:10" ht="16.5">
      <c r="A3" s="1745" t="s">
        <v>1362</v>
      </c>
      <c r="B3" s="1746">
        <f>项目基本情况!D3</f>
        <v>43160</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21007</v>
      </c>
      <c r="C5" s="1745">
        <f ca="1">ROUND(B5*10000/$B$1,0)</f>
        <v>5799</v>
      </c>
      <c r="D5" s="1745">
        <f ca="1">ROUND(B5*10000/$B$2,0)</f>
        <v>36344</v>
      </c>
      <c r="E5" s="1744"/>
      <c r="F5" s="1742"/>
      <c r="G5" s="1742"/>
    </row>
    <row r="6" spans="1:10" ht="16.5">
      <c r="A6" s="1745" t="s">
        <v>1356</v>
      </c>
      <c r="B6" s="1745">
        <f ca="1">SUM(G14:G23)</f>
        <v>21007</v>
      </c>
      <c r="C6" s="1745">
        <f ca="1">ROUND(B6*10000/$B$1,0)</f>
        <v>5799</v>
      </c>
      <c r="D6" s="1745">
        <f ca="1">ROUND(B6*10000/$B$2,0)</f>
        <v>36344</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36223.67</v>
      </c>
      <c r="C14" s="1743">
        <f>结果表!C118</f>
        <v>5780</v>
      </c>
      <c r="D14" s="1743">
        <f ca="1">结果表!H118</f>
        <v>21007</v>
      </c>
      <c r="E14" s="1743">
        <f ca="1">ROUND(D14*10000/B14,0)</f>
        <v>5799</v>
      </c>
      <c r="F14" s="1743">
        <f ca="1">ROUND(D14*10000/C14,0)</f>
        <v>36344</v>
      </c>
      <c r="G14" s="1743">
        <f ca="1">结果表!D122</f>
        <v>21007</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zoomScaleSheetLayoutView="100" zoomScalePageLayoutView="80" workbookViewId="0">
      <selection activeCell="D119" sqref="D119:I119"/>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3" t="s">
        <v>2122</v>
      </c>
      <c r="B1" s="2417"/>
      <c r="C1" s="2418"/>
      <c r="D1" s="2417"/>
      <c r="E1" s="2417"/>
      <c r="F1" s="2419" t="s">
        <v>2123</v>
      </c>
      <c r="G1" s="2068" t="s">
        <v>2124</v>
      </c>
      <c r="H1" s="2420" t="str">
        <f>IF(G1="现房","——","估价对象范围")</f>
        <v>估价对象范围</v>
      </c>
      <c r="I1" s="2421" t="s">
        <v>3056</v>
      </c>
    </row>
    <row r="2" spans="1:12" ht="21.75" customHeight="1" thickBot="1">
      <c r="A2" s="3133" t="str">
        <f>项目基本情况!S2</f>
        <v>青岛市黄岛区滨海大道以南、石雀滩路北D地块1宗住宅用途出让国有建设用地使用权及在建建筑物房地产</v>
      </c>
      <c r="B2" s="3134"/>
      <c r="C2" s="3134"/>
      <c r="D2" s="3134"/>
      <c r="E2" s="3134"/>
      <c r="F2" s="3134"/>
      <c r="G2" s="3134"/>
      <c r="H2" s="3134"/>
      <c r="I2" s="3135"/>
    </row>
    <row r="3" spans="1:12" ht="12.75">
      <c r="A3" s="3136" t="s">
        <v>2125</v>
      </c>
      <c r="B3" s="3137"/>
      <c r="C3" s="3137"/>
      <c r="D3" s="3137"/>
      <c r="E3" s="3137"/>
      <c r="F3" s="3137"/>
      <c r="G3" s="3137"/>
      <c r="H3" s="3137"/>
      <c r="I3" s="3137"/>
    </row>
    <row r="4" spans="1:12" ht="14.25">
      <c r="A4" s="2424" t="s">
        <v>2126</v>
      </c>
      <c r="B4" s="2425" t="s">
        <v>2127</v>
      </c>
      <c r="C4" s="2426" t="s">
        <v>3054</v>
      </c>
      <c r="D4" s="2426" t="s">
        <v>3055</v>
      </c>
      <c r="E4" s="3117" t="s">
        <v>2128</v>
      </c>
      <c r="F4" s="3130"/>
      <c r="G4" s="3130"/>
      <c r="H4" s="3130"/>
      <c r="I4" s="3118"/>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108" t="s">
        <v>2129</v>
      </c>
      <c r="B5" s="3034">
        <v>25</v>
      </c>
      <c r="C5" s="3138"/>
      <c r="D5" s="3126"/>
      <c r="E5" s="139" t="s">
        <v>2130</v>
      </c>
      <c r="F5" s="2428"/>
      <c r="G5" s="2428"/>
      <c r="H5" s="2428"/>
      <c r="I5" s="1833"/>
    </row>
    <row r="6" spans="1:12" ht="12.75">
      <c r="A6" s="3108"/>
      <c r="B6" s="3034"/>
      <c r="C6" s="3140"/>
      <c r="D6" s="3126"/>
      <c r="E6" s="139" t="s">
        <v>2131</v>
      </c>
      <c r="F6" s="2428"/>
      <c r="G6" s="2428"/>
      <c r="H6" s="2428"/>
      <c r="I6" s="1833"/>
    </row>
    <row r="7" spans="1:12" ht="12.75">
      <c r="A7" s="3108"/>
      <c r="B7" s="3034"/>
      <c r="C7" s="3139"/>
      <c r="D7" s="3126"/>
      <c r="E7" s="139" t="s">
        <v>2132</v>
      </c>
      <c r="F7" s="2428"/>
      <c r="G7" s="2428"/>
      <c r="H7" s="2428"/>
      <c r="I7" s="1833"/>
    </row>
    <row r="8" spans="1:12" ht="12.75">
      <c r="A8" s="3108" t="s">
        <v>2133</v>
      </c>
      <c r="B8" s="3034">
        <v>15</v>
      </c>
      <c r="C8" s="3138"/>
      <c r="D8" s="3126"/>
      <c r="E8" s="139" t="s">
        <v>2134</v>
      </c>
      <c r="F8" s="2428"/>
      <c r="G8" s="2428"/>
      <c r="H8" s="2428"/>
      <c r="I8" s="1833"/>
    </row>
    <row r="9" spans="1:12" ht="12.75">
      <c r="A9" s="3108"/>
      <c r="B9" s="3034"/>
      <c r="C9" s="3139"/>
      <c r="D9" s="3126"/>
      <c r="E9" s="139" t="s">
        <v>2135</v>
      </c>
      <c r="F9" s="2428"/>
      <c r="G9" s="2428"/>
      <c r="H9" s="2428"/>
      <c r="I9" s="1833"/>
    </row>
    <row r="10" spans="1:12" ht="12.75">
      <c r="A10" s="3108" t="s">
        <v>2136</v>
      </c>
      <c r="B10" s="3034">
        <v>15</v>
      </c>
      <c r="C10" s="3138"/>
      <c r="D10" s="3126"/>
      <c r="E10" s="139" t="s">
        <v>2137</v>
      </c>
      <c r="F10" s="2428"/>
      <c r="G10" s="2428"/>
      <c r="H10" s="2428"/>
      <c r="I10" s="1833"/>
    </row>
    <row r="11" spans="1:12" ht="12.75">
      <c r="A11" s="3108"/>
      <c r="B11" s="3034"/>
      <c r="C11" s="3139"/>
      <c r="D11" s="3126"/>
      <c r="E11" s="139" t="s">
        <v>2138</v>
      </c>
      <c r="F11" s="2428"/>
      <c r="G11" s="2428"/>
      <c r="H11" s="2428"/>
      <c r="I11" s="1833"/>
    </row>
    <row r="12" spans="1:12" ht="12.75">
      <c r="A12" s="3108" t="s">
        <v>2139</v>
      </c>
      <c r="B12" s="3034">
        <v>15</v>
      </c>
      <c r="C12" s="3138"/>
      <c r="D12" s="3126"/>
      <c r="E12" s="139" t="s">
        <v>2140</v>
      </c>
      <c r="F12" s="2428"/>
      <c r="G12" s="2428"/>
      <c r="H12" s="2428"/>
      <c r="I12" s="1833"/>
    </row>
    <row r="13" spans="1:12" ht="12.75">
      <c r="A13" s="3108"/>
      <c r="B13" s="3034"/>
      <c r="C13" s="3139"/>
      <c r="D13" s="3126"/>
      <c r="E13" s="139" t="s">
        <v>2141</v>
      </c>
      <c r="F13" s="2428"/>
      <c r="G13" s="2428"/>
      <c r="H13" s="2428"/>
      <c r="I13" s="1833"/>
    </row>
    <row r="14" spans="1:12" ht="12.75">
      <c r="A14" s="3108" t="s">
        <v>2142</v>
      </c>
      <c r="B14" s="3034">
        <v>30</v>
      </c>
      <c r="C14" s="3138">
        <v>6</v>
      </c>
      <c r="D14" s="3126">
        <v>4</v>
      </c>
      <c r="E14" s="139" t="s">
        <v>2143</v>
      </c>
      <c r="F14" s="2428"/>
      <c r="G14" s="2428"/>
      <c r="H14" s="2428"/>
      <c r="I14" s="1833"/>
    </row>
    <row r="15" spans="1:12" ht="12.75">
      <c r="A15" s="3108"/>
      <c r="B15" s="3034"/>
      <c r="C15" s="3140"/>
      <c r="D15" s="3126"/>
      <c r="E15" s="139" t="s">
        <v>2144</v>
      </c>
      <c r="F15" s="2428"/>
      <c r="G15" s="2428"/>
      <c r="H15" s="2428"/>
      <c r="I15" s="1833"/>
    </row>
    <row r="16" spans="1:12" ht="12.75">
      <c r="A16" s="3108"/>
      <c r="B16" s="3034"/>
      <c r="C16" s="3139"/>
      <c r="D16" s="3126"/>
      <c r="E16" s="139" t="s">
        <v>2145</v>
      </c>
      <c r="F16" s="2428"/>
      <c r="G16" s="2428"/>
      <c r="H16" s="2428"/>
      <c r="I16" s="1833"/>
    </row>
    <row r="17" spans="1:35" ht="15">
      <c r="A17" s="2429" t="s">
        <v>2146</v>
      </c>
      <c r="B17" s="63"/>
      <c r="C17" s="140">
        <f>SUM(C5:C16)</f>
        <v>6</v>
      </c>
      <c r="D17" s="140">
        <f>SUM(D5:D16)</f>
        <v>4</v>
      </c>
      <c r="E17" s="137"/>
      <c r="F17" s="137"/>
      <c r="G17" s="137"/>
      <c r="H17" s="137"/>
      <c r="I17" s="137"/>
      <c r="K17" s="2427"/>
      <c r="L17" s="2430" t="s">
        <v>2147</v>
      </c>
      <c r="M17" s="2430" t="s">
        <v>2148</v>
      </c>
    </row>
    <row r="18" spans="1:35" ht="15.75" thickBot="1">
      <c r="A18" s="2431" t="s">
        <v>2149</v>
      </c>
      <c r="B18" s="2432"/>
      <c r="C18" s="141">
        <f>ROUND(C17/SUM(C17:D17),2)</f>
        <v>0.6</v>
      </c>
      <c r="D18" s="141">
        <f>1-C18</f>
        <v>0.4</v>
      </c>
      <c r="E18" s="137"/>
      <c r="F18" s="137"/>
      <c r="G18" s="137"/>
      <c r="H18" s="137"/>
      <c r="I18" s="137"/>
      <c r="K18" s="2427" t="s">
        <v>2150</v>
      </c>
      <c r="L18" s="2427">
        <f>IF(C1="",'数据-汇总表'!E3,SUMIF(项目类型,C1,'数据-汇总表'!E17:E26)+SUMIF(项目类型,C1,'数据-汇总表'!I17:I26))</f>
        <v>36223.67</v>
      </c>
      <c r="M18" s="2427">
        <f>IF(C1="",'数据-汇总表'!E3,SUMIF(项目类型,C1,'数据-汇总表'!E17:E26))</f>
        <v>36223.67</v>
      </c>
    </row>
    <row r="19" spans="1:35" ht="15">
      <c r="A19" s="2433" t="s">
        <v>2151</v>
      </c>
      <c r="B19" s="2434" t="s">
        <v>2152</v>
      </c>
      <c r="C19" s="142">
        <f ca="1">SUMIF(INDIRECT("'"&amp;C4&amp;"'"&amp;"!A:A"),结果表!B19,INDIRECT("'"&amp;C4&amp;"'"&amp;"!B:B"))</f>
        <v>15347</v>
      </c>
      <c r="D19" s="143">
        <f ca="1">SUMIF(INDIRECT("'"&amp;D4&amp;"'"&amp;"!A:A"),结果表!B19,INDIRECT("'"&amp;D4&amp;"'"&amp;"!B:B"))</f>
        <v>29498</v>
      </c>
      <c r="E19" s="2433" t="s">
        <v>2153</v>
      </c>
      <c r="F19" s="2434" t="s">
        <v>2152</v>
      </c>
      <c r="G19" s="144">
        <f ca="1">ROUND(C19*$C$18+D19*$D$18,0)</f>
        <v>21007</v>
      </c>
      <c r="H19" s="2435" t="s">
        <v>2154</v>
      </c>
      <c r="I19" s="137"/>
      <c r="K19" s="2427" t="s">
        <v>2155</v>
      </c>
      <c r="L19" s="2427">
        <f>IF(C1="",'数据-汇总表'!D3,SUMIF(项目类型,C1,'数据-汇总表'!D17:D26)+SUMIF(项目类型,C1,'数据-汇总表'!H17:H27))</f>
        <v>5780</v>
      </c>
      <c r="M19" s="2427">
        <f>IF(C1="",'数据-汇总表'!D3,SUMIF(项目类型,C1,'数据-汇总表'!D17:D26))</f>
        <v>5780</v>
      </c>
    </row>
    <row r="20" spans="1:35" ht="15">
      <c r="A20" s="2436"/>
      <c r="B20" s="1249" t="s">
        <v>2156</v>
      </c>
      <c r="C20" s="145">
        <f ca="1">SUMIF(INDIRECT("'"&amp;C4&amp;"'"&amp;"!A:A"),结果表!B20,INDIRECT("'"&amp;C4&amp;"'"&amp;"!B:B"))</f>
        <v>4237</v>
      </c>
      <c r="D20" s="146">
        <f ca="1">SUMIF(INDIRECT("'"&amp;D4&amp;"'"&amp;"!A:A"),结果表!B20,INDIRECT("'"&amp;D4&amp;"'"&amp;"!B:B"))</f>
        <v>8143</v>
      </c>
      <c r="E20" s="2436"/>
      <c r="F20" s="1249" t="s">
        <v>2156</v>
      </c>
      <c r="G20" s="147">
        <f ca="1">ROUND(C20*$C$18+D20*$D$18,0)</f>
        <v>5799</v>
      </c>
      <c r="H20" s="982" t="s">
        <v>2157</v>
      </c>
      <c r="I20" s="137"/>
    </row>
    <row r="21" spans="1:35" ht="15" customHeight="1" thickBot="1">
      <c r="A21" s="1002"/>
      <c r="B21" s="2437" t="s">
        <v>2158</v>
      </c>
      <c r="C21" s="788">
        <f ca="1">ROUND(C19*10000/L19,0)</f>
        <v>26552</v>
      </c>
      <c r="D21" s="789">
        <f ca="1">ROUND(D19*10000/L19,0)</f>
        <v>51035</v>
      </c>
      <c r="E21" s="1002"/>
      <c r="F21" s="2437" t="s">
        <v>2158</v>
      </c>
      <c r="G21" s="148">
        <f ca="1">ROUND(G19*10000/L19,0)</f>
        <v>36344</v>
      </c>
      <c r="H21" s="2438" t="s">
        <v>2157</v>
      </c>
      <c r="I21" s="137"/>
    </row>
    <row r="22" spans="1:35" ht="15" thickBot="1">
      <c r="A22" s="2279" t="s">
        <v>2159</v>
      </c>
      <c r="B22" s="2439"/>
      <c r="C22" s="2440"/>
      <c r="D22" s="790">
        <f ca="1">IF(C19&lt;D19,D19/C19-1,C19/D19-1)</f>
        <v>0.92206945982928268</v>
      </c>
      <c r="E22" s="137"/>
      <c r="F22" s="137"/>
      <c r="G22" s="137"/>
      <c r="H22" s="137"/>
      <c r="I22" s="137"/>
      <c r="J22" s="794">
        <f ca="1">G21*666.67/10000</f>
        <v>2422.9454479999995</v>
      </c>
    </row>
    <row r="23" spans="1:35" ht="13.5" thickBot="1">
      <c r="A23" s="2417"/>
      <c r="B23" s="2417"/>
      <c r="C23" s="2417"/>
      <c r="D23" s="2417"/>
      <c r="E23" s="137"/>
      <c r="F23" s="137"/>
      <c r="G23" s="137"/>
      <c r="H23" s="137"/>
      <c r="I23" s="137"/>
    </row>
    <row r="24" spans="1:35" ht="14.25">
      <c r="A24" s="3147" t="s">
        <v>2160</v>
      </c>
      <c r="B24" s="2434" t="s">
        <v>2152</v>
      </c>
      <c r="C24" s="144">
        <f>IF(B30=0,0,D30)</f>
        <v>0</v>
      </c>
      <c r="D24" s="2441"/>
      <c r="E24" s="137"/>
      <c r="F24" s="137"/>
      <c r="G24" s="137"/>
      <c r="H24" s="137"/>
      <c r="I24" s="137"/>
    </row>
    <row r="25" spans="1:35" ht="14.25">
      <c r="A25" s="3148"/>
      <c r="B25" s="1249" t="s">
        <v>2156</v>
      </c>
      <c r="C25" s="149">
        <f>IF(B30=0,0,C30)</f>
        <v>0</v>
      </c>
      <c r="D25" s="2442"/>
      <c r="E25" s="137"/>
      <c r="F25" s="137"/>
      <c r="G25" s="137"/>
      <c r="H25" s="137"/>
      <c r="I25" s="137"/>
    </row>
    <row r="26" spans="1:35" ht="13.5" customHeight="1">
      <c r="A26" s="2443" t="s">
        <v>2161</v>
      </c>
      <c r="B26" s="150" t="s">
        <v>2162</v>
      </c>
      <c r="C26" s="150" t="s">
        <v>2163</v>
      </c>
      <c r="D26" s="151" t="s">
        <v>2164</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2165</v>
      </c>
      <c r="B30" s="150"/>
      <c r="C30" s="150"/>
      <c r="D30" s="150"/>
      <c r="E30" s="2926" t="s">
        <v>3044</v>
      </c>
      <c r="F30" s="137"/>
      <c r="G30" s="137"/>
      <c r="H30" s="137"/>
      <c r="I30" s="137"/>
    </row>
    <row r="31" spans="1:35" s="2445" customFormat="1" ht="15"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2166</v>
      </c>
      <c r="B32" s="2447"/>
      <c r="C32" s="152">
        <f ca="1">IF(D32="总价",G19-C24,G20-C25)</f>
        <v>21007</v>
      </c>
      <c r="D32" s="2448" t="s">
        <v>2167</v>
      </c>
      <c r="E32" s="137"/>
      <c r="F32" s="137"/>
      <c r="G32" s="137"/>
      <c r="H32" s="137"/>
      <c r="I32" s="137"/>
    </row>
    <row r="33" spans="1:15" ht="15">
      <c r="A33" s="959" t="s">
        <v>2168</v>
      </c>
      <c r="B33" s="2449"/>
      <c r="C33" s="2450" t="s">
        <v>3147</v>
      </c>
      <c r="D33" s="2451" t="s">
        <v>3054</v>
      </c>
      <c r="E33" s="2452" t="s">
        <v>2169</v>
      </c>
      <c r="F33" s="2453" t="str">
        <f>IF(D32="楼面单价","取值（单价）","取值（总价）")</f>
        <v>取值（总价）</v>
      </c>
      <c r="G33" s="137"/>
      <c r="H33" s="137"/>
      <c r="I33" s="137"/>
    </row>
    <row r="34" spans="1:15" ht="15">
      <c r="A34" s="2454"/>
      <c r="B34" s="2455" t="s">
        <v>2170</v>
      </c>
      <c r="C34" s="156">
        <f ca="1">IF(C33="自定义",F34,C32-C35)</f>
        <v>19936</v>
      </c>
      <c r="D34" s="1057">
        <f ca="1">IF(C33="自定义",ROUND(C34/C32,3),IF(C33="收益比率",SUMIF(INDIRECT("'"&amp;D33&amp;"'"&amp;"!b:b"),"土地收益比率",INDIRECT("'"&amp;D33&amp;"'"&amp;"!c:c")),SUMIF(INDIRECT("'"&amp;D33&amp;"'"&amp;"!b:b"),"土地成本比率",INDIRECT("'"&amp;D33&amp;"'"&amp;"!c:c"))))</f>
        <v>0.94899999999999995</v>
      </c>
      <c r="E34" s="2456" t="s">
        <v>2171</v>
      </c>
      <c r="F34" s="1738"/>
      <c r="G34" s="137"/>
      <c r="H34" s="137"/>
      <c r="I34" s="137"/>
    </row>
    <row r="35" spans="1:15" ht="15.75" thickBot="1">
      <c r="A35" s="2457"/>
      <c r="B35" s="2458" t="s">
        <v>2172</v>
      </c>
      <c r="C35" s="1443">
        <f ca="1">IF(C33="自定义",F35,ROUND(C32*D35,0))</f>
        <v>1071</v>
      </c>
      <c r="D35" s="1444">
        <f ca="1">IF(C33="自定义",ROUND(C35/C32,3),IF(C33="收益比率",SUMIF(INDIRECT("'"&amp;D33&amp;"'"&amp;"!b:b"),"建筑物收益比率",INDIRECT("'"&amp;D33&amp;"'"&amp;"!c:c")),SUMIF(INDIRECT("'"&amp;D33&amp;"'"&amp;"!b:b"),"建筑物成本比率",INDIRECT("'"&amp;D33&amp;"'"&amp;"!c:c"))))</f>
        <v>5.0999999999999997E-2</v>
      </c>
      <c r="E35" s="2459" t="s">
        <v>2173</v>
      </c>
      <c r="F35" s="162"/>
      <c r="G35" s="137"/>
      <c r="H35" s="137"/>
      <c r="I35" s="137"/>
    </row>
    <row r="36" spans="1:15" ht="15.75" thickBot="1">
      <c r="A36" s="3127" t="s">
        <v>2174</v>
      </c>
      <c r="B36" s="2460" t="s">
        <v>2175</v>
      </c>
      <c r="C36" s="153"/>
      <c r="D36" s="2461"/>
      <c r="E36" s="2462"/>
      <c r="F36" s="2463"/>
      <c r="G36" s="137"/>
      <c r="H36" s="137"/>
      <c r="I36" s="137"/>
    </row>
    <row r="37" spans="1:15" ht="15.75" thickBot="1">
      <c r="A37" s="3128"/>
      <c r="B37" s="2265" t="s">
        <v>2176</v>
      </c>
      <c r="C37" s="155"/>
      <c r="D37" s="1394"/>
      <c r="E37" s="1394"/>
      <c r="F37" s="2463"/>
      <c r="G37" s="137"/>
      <c r="H37" s="137"/>
      <c r="I37" s="137"/>
    </row>
    <row r="38" spans="1:15" ht="15.75" thickBot="1">
      <c r="A38" s="3129"/>
      <c r="B38" s="2464" t="s">
        <v>2177</v>
      </c>
      <c r="C38" s="726"/>
      <c r="D38" s="2465" t="s">
        <v>2178</v>
      </c>
      <c r="E38" s="1394"/>
      <c r="F38" s="2463"/>
      <c r="G38" s="137"/>
      <c r="H38" s="137"/>
      <c r="I38" s="137"/>
    </row>
    <row r="39" spans="1:15" ht="15">
      <c r="A39" s="2436" t="s">
        <v>2179</v>
      </c>
      <c r="B39" s="2466" t="s">
        <v>2180</v>
      </c>
      <c r="C39" s="2467" t="s">
        <v>2181</v>
      </c>
      <c r="D39" s="2467" t="s">
        <v>2182</v>
      </c>
      <c r="E39" s="2468" t="s">
        <v>2183</v>
      </c>
      <c r="F39" s="2463"/>
      <c r="G39" s="137"/>
      <c r="H39" s="137"/>
      <c r="I39" s="137"/>
    </row>
    <row r="40" spans="1:15" ht="14.25">
      <c r="A40" s="2469" t="s">
        <v>2184</v>
      </c>
      <c r="B40" s="157"/>
      <c r="C40" s="158"/>
      <c r="D40" s="158"/>
      <c r="E40" s="159"/>
      <c r="F40" s="2463"/>
      <c r="G40" s="137"/>
      <c r="H40" s="137"/>
      <c r="I40" s="137"/>
    </row>
    <row r="41" spans="1:15" ht="14.25">
      <c r="A41" s="2469" t="s">
        <v>2185</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3"/>
      <c r="B43" s="2163"/>
      <c r="C43" s="2163"/>
      <c r="D43" s="2163"/>
      <c r="E43" s="2163"/>
      <c r="F43" s="2471"/>
      <c r="G43" s="2471"/>
      <c r="H43" s="2471"/>
      <c r="I43" s="2472"/>
    </row>
    <row r="44" spans="1:15" ht="18.75">
      <c r="A44" s="2473" t="s">
        <v>2186</v>
      </c>
      <c r="B44" s="2474"/>
      <c r="C44" s="2474"/>
      <c r="D44" s="2475"/>
      <c r="E44" s="2475"/>
      <c r="F44" s="2476"/>
      <c r="G44" s="2476"/>
      <c r="H44" s="2476"/>
      <c r="I44" s="2476"/>
      <c r="J44" s="2477" t="s">
        <v>2187</v>
      </c>
      <c r="K44" s="2478"/>
      <c r="L44" s="2478"/>
      <c r="M44" s="2478"/>
      <c r="N44" s="2478"/>
      <c r="O44" s="2478"/>
    </row>
    <row r="45" spans="1:15" ht="14.25" customHeight="1" thickBot="1">
      <c r="A45" s="3144" t="s">
        <v>2188</v>
      </c>
      <c r="B45" s="3145"/>
      <c r="C45" s="3146"/>
      <c r="D45" s="163">
        <f ca="1">ROUND(H101*F45,0)</f>
        <v>21007</v>
      </c>
      <c r="E45" s="164" t="s">
        <v>2189</v>
      </c>
      <c r="F45" s="165">
        <v>1</v>
      </c>
      <c r="G45" s="166" t="s">
        <v>2190</v>
      </c>
      <c r="H45" s="137"/>
      <c r="I45" s="137"/>
      <c r="J45" s="3063" t="s">
        <v>2191</v>
      </c>
      <c r="K45" s="3063"/>
      <c r="L45" s="3063"/>
      <c r="M45" s="3063"/>
      <c r="N45" s="3063"/>
      <c r="O45" s="3063"/>
    </row>
    <row r="46" spans="1:15" ht="14.25" customHeight="1">
      <c r="A46" s="3141" t="s">
        <v>2192</v>
      </c>
      <c r="B46" s="3142"/>
      <c r="C46" s="3142"/>
      <c r="D46" s="3142"/>
      <c r="E46" s="3142"/>
      <c r="F46" s="3142"/>
      <c r="G46" s="3143"/>
      <c r="H46" s="2479"/>
      <c r="I46" s="167"/>
      <c r="J46" s="1811">
        <v>1</v>
      </c>
      <c r="K46" s="3063" t="s">
        <v>2193</v>
      </c>
      <c r="L46" s="3063"/>
      <c r="M46" s="3064"/>
      <c r="N46" s="3064"/>
      <c r="O46" s="3064"/>
    </row>
    <row r="47" spans="1:15" ht="12" customHeight="1">
      <c r="A47" s="168" t="s">
        <v>2194</v>
      </c>
      <c r="B47" s="169"/>
      <c r="C47" s="170"/>
      <c r="D47" s="171" t="s">
        <v>2195</v>
      </c>
      <c r="E47" s="24" t="s">
        <v>2196</v>
      </c>
      <c r="F47" s="172" t="s">
        <v>2197</v>
      </c>
      <c r="G47" s="173" t="s">
        <v>2198</v>
      </c>
      <c r="H47" s="2479"/>
      <c r="I47" s="167"/>
      <c r="J47" s="1811">
        <v>2</v>
      </c>
      <c r="K47" s="3063" t="s">
        <v>2199</v>
      </c>
      <c r="L47" s="3063"/>
      <c r="M47" s="3065">
        <f>'数据-取费表'!B2</f>
        <v>43160</v>
      </c>
      <c r="N47" s="3065"/>
      <c r="O47" s="3065"/>
    </row>
    <row r="48" spans="1:15" ht="25.5">
      <c r="A48" s="3131" t="s">
        <v>2200</v>
      </c>
      <c r="B48" s="3132"/>
      <c r="C48" s="3132"/>
      <c r="D48" s="139">
        <f>IF(H48="情况1",0,IF(H48="情况2",D52,IF(H48="情况3",D53,IF(H48="情况4",D54))))</f>
        <v>0</v>
      </c>
      <c r="E48" s="1800" t="str">
        <f>IF(H48="情况4","(销售额-原购置价)×税（费）率","销售额×税（费）率")</f>
        <v>销售额×税（费）率</v>
      </c>
      <c r="F48" s="174" t="str">
        <f>IF(H48="情况1","免征",'数据-取费表'!B41)</f>
        <v>免征</v>
      </c>
      <c r="G48" s="2480" t="s">
        <v>2201</v>
      </c>
      <c r="H48" s="2481" t="s">
        <v>2202</v>
      </c>
      <c r="I48" s="2479"/>
      <c r="J48" s="1811">
        <v>3</v>
      </c>
      <c r="K48" s="3063" t="s">
        <v>2203</v>
      </c>
      <c r="L48" s="3063"/>
      <c r="M48" s="3066">
        <f ca="1">H101</f>
        <v>21007</v>
      </c>
      <c r="N48" s="3066"/>
      <c r="O48" s="3066"/>
    </row>
    <row r="49" spans="1:35" ht="25.5" customHeight="1">
      <c r="A49" s="175" t="s">
        <v>2204</v>
      </c>
      <c r="B49" s="3111" t="s">
        <v>2205</v>
      </c>
      <c r="C49" s="3111"/>
      <c r="D49" s="176">
        <v>0</v>
      </c>
      <c r="E49" s="23" t="s">
        <v>2206</v>
      </c>
      <c r="F49" s="28" t="s">
        <v>34</v>
      </c>
      <c r="G49" s="3092"/>
      <c r="H49" s="137"/>
      <c r="I49" s="2482"/>
      <c r="J49" s="1811">
        <v>4</v>
      </c>
      <c r="K49" s="3063" t="str">
        <f>IF(项目基本情况!E8="房地产抵押价值","房地产抵押价值","抵押担保权已注销时的房地产抵押价值")</f>
        <v>房地产抵押价值</v>
      </c>
      <c r="L49" s="3063"/>
      <c r="M49" s="3066">
        <f ca="1">IF(项目基本情况!E8="房地产抵押价值",H107,H109)</f>
        <v>21007</v>
      </c>
      <c r="N49" s="3066"/>
      <c r="O49" s="3066"/>
    </row>
    <row r="50" spans="1:35" ht="25.5" customHeight="1">
      <c r="A50" s="177"/>
      <c r="B50" s="3111" t="s">
        <v>2207</v>
      </c>
      <c r="C50" s="3111"/>
      <c r="D50" s="178"/>
      <c r="E50" s="31"/>
      <c r="F50" s="179"/>
      <c r="G50" s="3093"/>
      <c r="H50" s="137"/>
      <c r="I50" s="2482"/>
      <c r="J50" s="3063" t="s">
        <v>2208</v>
      </c>
      <c r="K50" s="3063"/>
      <c r="L50" s="3063"/>
      <c r="M50" s="3063"/>
      <c r="N50" s="3063"/>
      <c r="O50" s="3063"/>
    </row>
    <row r="51" spans="1:35" ht="12" customHeight="1">
      <c r="A51" s="180"/>
      <c r="B51" s="3111" t="s">
        <v>2209</v>
      </c>
      <c r="C51" s="3111"/>
      <c r="D51" s="181"/>
      <c r="E51" s="30"/>
      <c r="F51" s="179"/>
      <c r="G51" s="3094"/>
      <c r="H51" s="137"/>
      <c r="I51" s="2482"/>
      <c r="J51" s="2483" t="s">
        <v>2210</v>
      </c>
      <c r="K51" s="3063" t="s">
        <v>2211</v>
      </c>
      <c r="L51" s="3063"/>
      <c r="M51" s="2483" t="s">
        <v>2212</v>
      </c>
      <c r="N51" s="2483" t="s">
        <v>2213</v>
      </c>
      <c r="O51" s="2483" t="s">
        <v>2214</v>
      </c>
    </row>
    <row r="52" spans="1:35" ht="24" customHeight="1">
      <c r="A52" s="182" t="s">
        <v>2215</v>
      </c>
      <c r="B52" s="3111" t="s">
        <v>2216</v>
      </c>
      <c r="C52" s="3111"/>
      <c r="D52" s="181">
        <f ca="1">ROUND(D45*'数据-取费表'!B41/(1+'数据-取费表'!C42),0)</f>
        <v>1120</v>
      </c>
      <c r="E52" s="11" t="s">
        <v>2217</v>
      </c>
      <c r="F52" s="183">
        <f>'数据-取费表'!B41</f>
        <v>5.6000000000000001E-2</v>
      </c>
      <c r="G52" s="2484"/>
      <c r="H52" s="137"/>
      <c r="I52" s="2482"/>
      <c r="J52" s="1811">
        <v>1</v>
      </c>
      <c r="K52" s="3086" t="s">
        <v>2218</v>
      </c>
      <c r="L52" s="3086"/>
      <c r="M52" s="1753">
        <f>D48</f>
        <v>0</v>
      </c>
      <c r="N52" s="1811" t="str">
        <f>E48</f>
        <v>销售额×税（费）率</v>
      </c>
      <c r="O52" s="1754" t="str">
        <f>F48</f>
        <v>免征</v>
      </c>
    </row>
    <row r="53" spans="1:35" ht="12" customHeight="1">
      <c r="A53" s="182" t="s">
        <v>2219</v>
      </c>
      <c r="B53" s="3112" t="s">
        <v>2220</v>
      </c>
      <c r="C53" s="3113"/>
      <c r="D53" s="181">
        <f ca="1">ROUND(D45*'数据-取费表'!B41/(1+'数据-取费表'!C42),0)</f>
        <v>1120</v>
      </c>
      <c r="E53" s="11" t="s">
        <v>2217</v>
      </c>
      <c r="F53" s="183">
        <f>'数据-取费表'!B41</f>
        <v>5.6000000000000001E-2</v>
      </c>
      <c r="G53" s="2484"/>
      <c r="H53" s="137"/>
      <c r="I53" s="2482"/>
      <c r="J53" s="1811">
        <v>2</v>
      </c>
      <c r="K53" s="3086" t="s">
        <v>2221</v>
      </c>
      <c r="L53" s="3086"/>
      <c r="M53" s="1753">
        <f t="shared" ref="M53:O54" ca="1" si="0">D55</f>
        <v>11</v>
      </c>
      <c r="N53" s="1811" t="str">
        <f t="shared" si="0"/>
        <v>销售额×税（费）率</v>
      </c>
      <c r="O53" s="1754">
        <f t="shared" si="0"/>
        <v>5.0000000000000001E-4</v>
      </c>
    </row>
    <row r="54" spans="1:35" ht="12" customHeight="1">
      <c r="A54" s="182" t="s">
        <v>2222</v>
      </c>
      <c r="B54" s="3112" t="s">
        <v>2223</v>
      </c>
      <c r="C54" s="3113"/>
      <c r="D54" s="181">
        <f ca="1">C68</f>
        <v>1120</v>
      </c>
      <c r="E54" s="30" t="s">
        <v>2224</v>
      </c>
      <c r="F54" s="183">
        <f>'数据-取费表'!B41</f>
        <v>5.6000000000000001E-2</v>
      </c>
      <c r="G54" s="2484"/>
      <c r="H54" s="2485"/>
      <c r="I54" s="2482"/>
      <c r="J54" s="1811">
        <v>3</v>
      </c>
      <c r="K54" s="3086" t="s">
        <v>2225</v>
      </c>
      <c r="L54" s="3086"/>
      <c r="M54" s="1753">
        <f t="shared" ca="1" si="0"/>
        <v>11890</v>
      </c>
      <c r="N54" s="1811" t="str">
        <f t="shared" si="0"/>
        <v>增值额×税（费）率</v>
      </c>
      <c r="O54" s="1755" t="str">
        <f t="shared" si="0"/>
        <v>——</v>
      </c>
    </row>
    <row r="55" spans="1:35" ht="24" customHeight="1">
      <c r="A55" s="3150" t="s">
        <v>2226</v>
      </c>
      <c r="B55" s="3132"/>
      <c r="C55" s="3132"/>
      <c r="D55" s="184">
        <f ca="1">IF(H55="个人住宅",0,ROUND(D45*I55,0))</f>
        <v>11</v>
      </c>
      <c r="E55" s="11" t="s">
        <v>2227</v>
      </c>
      <c r="F55" s="183">
        <f>IF(H55="正常",I55,"免征")</f>
        <v>5.0000000000000001E-4</v>
      </c>
      <c r="G55" s="2484"/>
      <c r="H55" s="2481" t="s">
        <v>2228</v>
      </c>
      <c r="I55" s="185">
        <f>'数据-取费表'!B49</f>
        <v>5.0000000000000001E-4</v>
      </c>
      <c r="J55" s="1811" t="str">
        <f>IF(H59="非个人房产","",4)</f>
        <v/>
      </c>
      <c r="K55" s="3086" t="str">
        <f>IF(H59="非个人房产","——","个人所得税")</f>
        <v>——</v>
      </c>
      <c r="L55" s="3086"/>
      <c r="M55" s="1756" t="str">
        <f>D59</f>
        <v>——</v>
      </c>
      <c r="N55" s="1809" t="str">
        <f>E59</f>
        <v>——</v>
      </c>
      <c r="O55" s="1757" t="str">
        <f>F59</f>
        <v>——</v>
      </c>
    </row>
    <row r="56" spans="1:35" ht="24.75">
      <c r="A56" s="3150" t="s">
        <v>2229</v>
      </c>
      <c r="B56" s="3132"/>
      <c r="C56" s="3132"/>
      <c r="D56" s="184">
        <f ca="1">IF(H56="个人住宅",D57,D58)</f>
        <v>11890</v>
      </c>
      <c r="E56" s="11" t="s">
        <v>2230</v>
      </c>
      <c r="F56" s="183" t="str">
        <f>IF(H56="正常",F58,"免征")</f>
        <v>——</v>
      </c>
      <c r="G56" s="2486" t="s">
        <v>2231</v>
      </c>
      <c r="H56" s="2487" t="s">
        <v>2228</v>
      </c>
      <c r="I56" s="2488"/>
      <c r="J56" s="1811" t="str">
        <f>IF(项目基本情况!K6="上海银行",IF(J55="",4,J55+1),"")</f>
        <v/>
      </c>
      <c r="K56" s="3069" t="str">
        <f>IF(项目基本情况!K6="上海银行","其他处置费用","")</f>
        <v/>
      </c>
      <c r="L56" s="3070"/>
      <c r="M56" s="1753" t="str">
        <f>IF(项目基本情况!K6="上海银行",M69,"")</f>
        <v/>
      </c>
      <c r="N56" s="3072" t="str">
        <f>IF(项目基本情况!K6="上海银行","包含处置中涉及的律师、诉讼、拍卖、评估等费用","")</f>
        <v/>
      </c>
      <c r="O56" s="3073"/>
    </row>
    <row r="57" spans="1:35" ht="12.75">
      <c r="A57" s="182" t="s">
        <v>2204</v>
      </c>
      <c r="B57" s="3117" t="s">
        <v>2232</v>
      </c>
      <c r="C57" s="3118"/>
      <c r="D57" s="186">
        <v>0</v>
      </c>
      <c r="E57" s="23" t="s">
        <v>2206</v>
      </c>
      <c r="F57" s="154"/>
      <c r="G57" s="2484"/>
      <c r="H57" s="2488"/>
      <c r="I57" s="2488"/>
      <c r="J57" s="3086">
        <f>IF(AND(J55="",J56=""),4,IF(项目基本情况!K6="上海银行",结果表!J56+1,结果表!J55+1))</f>
        <v>4</v>
      </c>
      <c r="K57" s="3086" t="s">
        <v>2233</v>
      </c>
      <c r="L57" s="2489" t="s">
        <v>2234</v>
      </c>
      <c r="M57" s="1758"/>
      <c r="N57" s="1759">
        <f ca="1">SUMIF(M52:M56,"&lt;9e307")</f>
        <v>11901</v>
      </c>
      <c r="O57" s="2490"/>
      <c r="P57" s="1752">
        <f ca="1">N57/M49</f>
        <v>0.56652544389965254</v>
      </c>
    </row>
    <row r="58" spans="1:35" ht="24.75">
      <c r="A58" s="182" t="s">
        <v>2215</v>
      </c>
      <c r="B58" s="3117" t="s">
        <v>2235</v>
      </c>
      <c r="C58" s="3130"/>
      <c r="D58" s="184">
        <f ca="1">IF(H58="转让取得",C81,C97)</f>
        <v>11890</v>
      </c>
      <c r="E58" s="11" t="s">
        <v>2230</v>
      </c>
      <c r="F58" s="24" t="s">
        <v>34</v>
      </c>
      <c r="G58" s="2484"/>
      <c r="H58" s="2487" t="s">
        <v>2236</v>
      </c>
      <c r="I58" s="2488"/>
      <c r="J58" s="3086"/>
      <c r="K58" s="3086"/>
      <c r="L58" s="2489" t="s">
        <v>2237</v>
      </c>
      <c r="M58" s="1760"/>
      <c r="N58" s="2491" t="str">
        <f ca="1">NUMBERSTRING(INT(N57*10000),2)&amp;"元整"</f>
        <v>壹亿壹仟玖佰零壹万元整</v>
      </c>
      <c r="O58" s="2492"/>
    </row>
    <row r="59" spans="1:35" ht="24.75" thickBot="1">
      <c r="A59" s="3090" t="s">
        <v>2238</v>
      </c>
      <c r="B59" s="3091"/>
      <c r="C59" s="3091"/>
      <c r="D59" s="187" t="str">
        <f>IF(H59="非个人房产","——",IF(H59="个人住宅",0,ROUND(D45*I59,0)))</f>
        <v>——</v>
      </c>
      <c r="E59" s="188" t="str">
        <f>IF(H59="非个人房产","——","销售额×税（费）率")</f>
        <v>——</v>
      </c>
      <c r="F59" s="189" t="str">
        <f>IF(H59="非个人房产","——",IF(H59="个人住宅","免征",I59))</f>
        <v>——</v>
      </c>
      <c r="G59" s="2493" t="s">
        <v>2231</v>
      </c>
      <c r="H59" s="2487" t="s">
        <v>2239</v>
      </c>
      <c r="I59" s="190">
        <v>0.01</v>
      </c>
      <c r="J59" s="3088">
        <f>J57+1</f>
        <v>5</v>
      </c>
      <c r="K59" s="3086" t="s">
        <v>2240</v>
      </c>
      <c r="L59" s="1811" t="s">
        <v>2234</v>
      </c>
      <c r="M59" s="1761"/>
      <c r="N59" s="1762">
        <f ca="1">M49-N57</f>
        <v>9106</v>
      </c>
      <c r="O59" s="2494"/>
    </row>
    <row r="60" spans="1:35" ht="12" customHeight="1">
      <c r="A60" s="2495"/>
      <c r="B60" s="2417"/>
      <c r="C60" s="2417"/>
      <c r="D60" s="2417"/>
      <c r="E60" s="2164"/>
      <c r="F60" s="2488"/>
      <c r="G60" s="2488"/>
      <c r="H60" s="2496"/>
      <c r="I60" s="137"/>
      <c r="J60" s="3089"/>
      <c r="K60" s="3086"/>
      <c r="L60" s="2489" t="s">
        <v>2237</v>
      </c>
      <c r="M60" s="1760"/>
      <c r="N60" s="2491" t="str">
        <f ca="1">NUMBERSTRING(INT(N59*10000),2)&amp;"元整"</f>
        <v>玖仟壹佰零陆万元整</v>
      </c>
      <c r="O60" s="2492"/>
    </row>
    <row r="61" spans="1:35" ht="13.5" thickBot="1">
      <c r="A61" s="3149" t="s">
        <v>2241</v>
      </c>
      <c r="B61" s="3149"/>
      <c r="C61" s="3149"/>
      <c r="D61" s="3149"/>
      <c r="E61" s="3149"/>
      <c r="F61" s="2488"/>
      <c r="G61" s="2488"/>
      <c r="H61" s="2496"/>
      <c r="I61" s="137"/>
      <c r="J61" s="1811">
        <f>J59+1</f>
        <v>6</v>
      </c>
      <c r="K61" s="3086" t="s">
        <v>2242</v>
      </c>
      <c r="L61" s="3086"/>
      <c r="M61" s="1763"/>
      <c r="N61" s="1764">
        <f ca="1">ROUND(N59*10000/'数据-汇总表'!E3,0)</f>
        <v>2514</v>
      </c>
      <c r="O61" s="2497"/>
    </row>
    <row r="62" spans="1:35" ht="12.75">
      <c r="A62" s="3106" t="s">
        <v>2243</v>
      </c>
      <c r="B62" s="3107"/>
      <c r="C62" s="1803"/>
      <c r="D62" s="1803" t="s">
        <v>2244</v>
      </c>
      <c r="E62" s="191" t="s">
        <v>2245</v>
      </c>
      <c r="F62" s="2488"/>
      <c r="G62" s="2488"/>
      <c r="H62" s="2496"/>
      <c r="I62" s="137"/>
    </row>
    <row r="63" spans="1:35" ht="12.75">
      <c r="A63" s="202" t="s">
        <v>775</v>
      </c>
      <c r="B63" s="192" t="s">
        <v>2246</v>
      </c>
      <c r="C63" s="193">
        <f ca="1">ROUND((C64+C65)/(1+'数据-取费表'!C42),0)</f>
        <v>20007</v>
      </c>
      <c r="D63" s="194"/>
      <c r="E63" s="195"/>
      <c r="F63" s="2488"/>
      <c r="G63" s="2488"/>
      <c r="H63" s="2496"/>
      <c r="I63" s="137"/>
      <c r="J63" s="3071" t="s">
        <v>2247</v>
      </c>
      <c r="K63" s="2498" t="s">
        <v>2248</v>
      </c>
      <c r="L63" s="1751">
        <f ca="1">IF(M49&gt;10000,M49*0.5%,IF(AND(M49&gt;1000,M49&lt;=10000),M49*1%,IF(AND(M49&gt;100,M49&lt;=1000),M49*3%,IF(AND(M49&gt;10,M49&lt;=100),M49*5%,M49*8%))))</f>
        <v>105.035</v>
      </c>
      <c r="M63" s="24">
        <f ca="1">ROUND(L63,1)</f>
        <v>105</v>
      </c>
      <c r="Z63" s="2422"/>
      <c r="AI63" s="2423"/>
    </row>
    <row r="64" spans="1:35" ht="14.25" customHeight="1">
      <c r="A64" s="196" t="s">
        <v>770</v>
      </c>
      <c r="B64" s="197" t="s">
        <v>2249</v>
      </c>
      <c r="C64" s="198">
        <f ca="1">D45</f>
        <v>21007</v>
      </c>
      <c r="D64" s="199" t="s">
        <v>32</v>
      </c>
      <c r="E64" s="200"/>
      <c r="F64" s="2488"/>
      <c r="G64" s="2488"/>
      <c r="H64" s="2496"/>
      <c r="I64" s="137"/>
      <c r="J64" s="3071"/>
      <c r="K64" s="2498" t="s">
        <v>2250</v>
      </c>
      <c r="L64" s="1751">
        <f ca="1">IF(M49&gt;2000,M49*0.5%,IF(AND(M49&gt;1000,M49&lt;=2000),M49*0.6%,IF(AND(M49&gt;500,M49&lt;=1000),M49*0.7%,IF(AND(M49&gt;200,M49&lt;=500),M49*0.8%,IF(AND(M49&gt;100,M49&lt;=200),M49*0.9%,IF(AND(M49&gt;50,M49&lt;=100),M49*1%,IF(AND(M49&gt;20,M49&lt;=50),M49*1.5%,IF(AND(M49&gt;10,M49&lt;=20),M49*2%,IF(AND(M49&gt;1,M49&lt;=10),M49*2.5%)))))))))</f>
        <v>105.035</v>
      </c>
      <c r="M64" s="24">
        <f t="shared" ref="M64:M65" ca="1" si="1">ROUND(L64,1)</f>
        <v>105</v>
      </c>
      <c r="N64" s="137" t="s">
        <v>2251</v>
      </c>
      <c r="Z64" s="2422"/>
      <c r="AI64" s="2423"/>
    </row>
    <row r="65" spans="1:35" ht="14.25" customHeight="1">
      <c r="A65" s="196" t="s">
        <v>771</v>
      </c>
      <c r="B65" s="197" t="s">
        <v>2252</v>
      </c>
      <c r="C65" s="201"/>
      <c r="D65" s="199"/>
      <c r="E65" s="200"/>
      <c r="F65" s="2488"/>
      <c r="G65" s="2488"/>
      <c r="H65" s="2496"/>
      <c r="I65" s="137"/>
      <c r="J65" s="3071"/>
      <c r="K65" s="2498" t="s">
        <v>2253</v>
      </c>
      <c r="L65" s="1751">
        <f ca="1">IF(M49&gt;1000,M49*0.1%,IF(AND(M49&gt;500,M49&lt;=1000),M49*0.5%,IF(AND(M49&gt;50,M49&lt;=500),M49*1%,IF(AND(M49&gt;1,M49&lt;=50),M49*1.5%))))</f>
        <v>21.007000000000001</v>
      </c>
      <c r="M65" s="24">
        <f t="shared" ca="1" si="1"/>
        <v>21</v>
      </c>
      <c r="N65" s="137" t="s">
        <v>2251</v>
      </c>
      <c r="Z65" s="2422"/>
      <c r="AI65" s="2423"/>
    </row>
    <row r="66" spans="1:35" ht="14.25" customHeight="1">
      <c r="A66" s="202" t="s">
        <v>772</v>
      </c>
      <c r="B66" s="203" t="s">
        <v>2254</v>
      </c>
      <c r="C66" s="204"/>
      <c r="D66" s="205" t="s">
        <v>32</v>
      </c>
      <c r="E66" s="1775" t="s">
        <v>1371</v>
      </c>
      <c r="F66" s="2488"/>
      <c r="G66" s="2488"/>
      <c r="H66" s="2496"/>
      <c r="I66" s="137"/>
      <c r="J66" s="3071"/>
      <c r="K66" s="2498" t="s">
        <v>2255</v>
      </c>
      <c r="L66" s="1751">
        <f ca="1">M49*0.5%</f>
        <v>105.035</v>
      </c>
      <c r="M66" s="24">
        <f ca="1">IF(L66&gt;0.5,0.5,ROUND(L66,0))</f>
        <v>0.5</v>
      </c>
      <c r="N66" s="137" t="s">
        <v>2256</v>
      </c>
      <c r="Z66" s="2422"/>
      <c r="AI66" s="2423"/>
    </row>
    <row r="67" spans="1:35" ht="14.25" customHeight="1">
      <c r="A67" s="202" t="s">
        <v>773</v>
      </c>
      <c r="B67" s="203" t="s">
        <v>2257</v>
      </c>
      <c r="C67" s="206">
        <f ca="1">C63-C66</f>
        <v>20007</v>
      </c>
      <c r="D67" s="199" t="s">
        <v>32</v>
      </c>
      <c r="E67" s="200"/>
      <c r="F67" s="2488"/>
      <c r="G67" s="2488"/>
      <c r="H67" s="2496"/>
      <c r="I67" s="137"/>
      <c r="J67" s="3071"/>
      <c r="K67" s="2498" t="s">
        <v>2258</v>
      </c>
      <c r="L67" s="1751">
        <f ca="1">IF(M49&gt;=10000,(8.25+(M49-10000)*0.01%),IF(AND(M49&gt;=8000,M49&lt;10000),(7.85+(M49-8000)*0.02%),IF(AND(M49&gt;=5000,M49&lt;8000),(6.65+(M49-5000)*0.04%),IF(AND(M49&gt;=2000,M49&lt;5000),(4.25+(PM49-2000)*0.08%),IF(AND(M49&gt;=1000,M49&lt;2000),(2.75+(M49-1000)*0.15%),IF(AND(M49&gt;=100,M49&lt;1000),(0.5+(M49-100)*0.25%),IF(AND(M49&gt;0,M49&lt;100),M49*0.5%)))))))</f>
        <v>9.3506999999999998</v>
      </c>
      <c r="M67" s="24">
        <f ca="1">ROUND(L67*0.9,1)</f>
        <v>8.4</v>
      </c>
      <c r="Z67" s="2422"/>
      <c r="AI67" s="2423"/>
    </row>
    <row r="68" spans="1:35" ht="14.25" customHeight="1" thickBot="1">
      <c r="A68" s="207" t="s">
        <v>774</v>
      </c>
      <c r="B68" s="208" t="s">
        <v>2259</v>
      </c>
      <c r="C68" s="209">
        <f ca="1">IF(C67&lt;=0,0,ROUND(C67*D68,0))</f>
        <v>1120</v>
      </c>
      <c r="D68" s="210">
        <f>'数据-取费表'!B41</f>
        <v>5.6000000000000001E-2</v>
      </c>
      <c r="E68" s="211"/>
      <c r="F68" s="2488"/>
      <c r="G68" s="2488"/>
      <c r="H68" s="2496"/>
      <c r="I68" s="137"/>
      <c r="J68" s="3071"/>
      <c r="K68" s="2498" t="s">
        <v>2260</v>
      </c>
      <c r="L68" s="1751">
        <f ca="1">IF(M49&gt;10000,M49*0.5%,IF(AND(M49&gt;5000,M49&lt;=10000),M49*1%,IF(AND(M49&gt;1000,M49&lt;=5000),M49*2%,IF(AND(M49&gt;200,M49&lt;=1000),M49*3%,M49*5%))))</f>
        <v>105.035</v>
      </c>
      <c r="M68" s="24">
        <f ca="1">ROUND(L68,1)</f>
        <v>105</v>
      </c>
      <c r="Z68" s="2422"/>
      <c r="AI68" s="2423"/>
    </row>
    <row r="69" spans="1:35" s="2445" customFormat="1" ht="16.5" customHeight="1">
      <c r="A69" s="2499"/>
      <c r="B69" s="2500"/>
      <c r="C69" s="2501"/>
      <c r="D69" s="2502"/>
      <c r="E69" s="2503"/>
      <c r="F69" s="2164"/>
      <c r="G69" s="2164"/>
      <c r="H69" s="2163"/>
      <c r="I69" s="2417"/>
      <c r="J69" s="3071"/>
      <c r="K69" s="2498" t="s">
        <v>2261</v>
      </c>
      <c r="L69" s="2504"/>
      <c r="M69" s="24">
        <f ca="1">ROUND(SUM(M63:M68),0)</f>
        <v>345</v>
      </c>
      <c r="N69" s="1752">
        <f ca="1">M69/M49</f>
        <v>1.64230970628838E-2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115" t="s">
        <v>2262</v>
      </c>
      <c r="B70" s="3116"/>
      <c r="C70" s="3116"/>
      <c r="D70" s="3116"/>
      <c r="E70" s="3116"/>
      <c r="F70" s="3116"/>
      <c r="G70" s="3116"/>
      <c r="H70" s="311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06" t="s">
        <v>2243</v>
      </c>
      <c r="B71" s="3107"/>
      <c r="C71" s="1803"/>
      <c r="D71" s="1803" t="s">
        <v>2244</v>
      </c>
      <c r="E71" s="212" t="s">
        <v>2245</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2263</v>
      </c>
      <c r="C72" s="206">
        <f ca="1">ROUND(D45/(1+'数据-取费表'!C42),0)</f>
        <v>20007</v>
      </c>
      <c r="D72" s="199" t="s">
        <v>32</v>
      </c>
      <c r="E72" s="1802"/>
      <c r="F72" s="1796"/>
      <c r="G72" s="1796"/>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2264</v>
      </c>
      <c r="C73" s="206">
        <f ca="1">C74+C78</f>
        <v>120</v>
      </c>
      <c r="D73" s="199" t="s">
        <v>32</v>
      </c>
      <c r="E73" s="1802"/>
      <c r="F73" s="1796"/>
      <c r="G73" s="1796"/>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2265</v>
      </c>
      <c r="C74" s="199">
        <f>ROUND(IF(G77="2016年5月1日后购买",C75/(1+'数据-取费表'!C42)+C76+C77,C75+C76+C77),0)</f>
        <v>0</v>
      </c>
      <c r="D74" s="199" t="s">
        <v>32</v>
      </c>
      <c r="E74" s="1802"/>
      <c r="F74" s="1796"/>
      <c r="G74" s="1796"/>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2266</v>
      </c>
      <c r="C75" s="217"/>
      <c r="D75" s="199" t="s">
        <v>32</v>
      </c>
      <c r="E75" s="218" t="s">
        <v>2267</v>
      </c>
      <c r="F75" s="2510" t="s">
        <v>2268</v>
      </c>
      <c r="G75" s="218" t="s">
        <v>2269</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2270</v>
      </c>
      <c r="C76" s="199">
        <f>IF(F75="购房发票",ROUND(C75*H75*D76,0),0)</f>
        <v>0</v>
      </c>
      <c r="D76" s="221">
        <v>0.05</v>
      </c>
      <c r="E76" s="3112" t="s">
        <v>2271</v>
      </c>
      <c r="F76" s="3111"/>
      <c r="G76" s="3111"/>
      <c r="H76" s="311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2272</v>
      </c>
      <c r="C77" s="199">
        <f>ROUND(IF(G77="个人住宅",0,IF(G77="2016年5月1日前购买",C75*D77,C75*D77/(1+'数据-取费表'!C42))),0)</f>
        <v>0</v>
      </c>
      <c r="D77" s="222">
        <f>'数据-取费表'!B48+'数据-取费表'!B49</f>
        <v>3.0499999999999999E-2</v>
      </c>
      <c r="E77" s="15" t="s">
        <v>2273</v>
      </c>
      <c r="F77" s="223"/>
      <c r="G77" s="2512" t="s">
        <v>2274</v>
      </c>
      <c r="H77" s="1807" t="str">
        <f>IF(G77="个人买卖住房","免征印花税"," ")</f>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2275</v>
      </c>
      <c r="C78" s="224">
        <f ca="1">ROUND(D45*D78/(1+'数据-取费表'!C42),0)</f>
        <v>120</v>
      </c>
      <c r="D78" s="225">
        <f>'数据-取费表'!B43</f>
        <v>6.000000000000001E-3</v>
      </c>
      <c r="E78" s="3103" t="s">
        <v>2276</v>
      </c>
      <c r="F78" s="3104"/>
      <c r="G78" s="3104"/>
      <c r="H78" s="310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2277</v>
      </c>
      <c r="C79" s="206">
        <f ca="1">C72-C73</f>
        <v>19887</v>
      </c>
      <c r="D79" s="199" t="s">
        <v>32</v>
      </c>
      <c r="E79" s="1802"/>
      <c r="F79" s="1796"/>
      <c r="G79" s="1796"/>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2278</v>
      </c>
      <c r="C80" s="226">
        <f ca="1">IF(C79&lt;=0,0,C79/C73)</f>
        <v>165.72499999999999</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2279</v>
      </c>
      <c r="C81" s="227">
        <f ca="1">ROUND(IF(C79&lt;=0,0,IF(C80&gt;=200%,C79*60%-C73*35%,IF(C80&gt;=100%,C79*50%-C73*15%,IF(C80&gt;=50%,C79*40%-C73*5%,IF(C80&lt;50%,C79*30%,0))))),0)</f>
        <v>11890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15" t="s">
        <v>2280</v>
      </c>
      <c r="B83" s="3116"/>
      <c r="C83" s="3116"/>
      <c r="D83" s="3116"/>
      <c r="E83" s="3116"/>
      <c r="F83" s="3116"/>
      <c r="G83" s="3116"/>
      <c r="H83" s="311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06" t="s">
        <v>2243</v>
      </c>
      <c r="B84" s="3107"/>
      <c r="C84" s="1803"/>
      <c r="D84" s="1803" t="s">
        <v>2244</v>
      </c>
      <c r="E84" s="212" t="s">
        <v>2245</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2263</v>
      </c>
      <c r="C85" s="206">
        <f ca="1">ROUND(D45/(1+'数据-取费表'!C42),0)</f>
        <v>20007</v>
      </c>
      <c r="D85" s="199" t="s">
        <v>32</v>
      </c>
      <c r="E85" s="1802"/>
      <c r="F85" s="1796"/>
      <c r="G85" s="1796"/>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2264</v>
      </c>
      <c r="C86" s="206">
        <f ca="1">IF(H88="仅含出让金",C87+C90+C91+C92+C93+C94,C87+C91+C92+C93+C94)</f>
        <v>120</v>
      </c>
      <c r="D86" s="234"/>
      <c r="E86" s="1802"/>
      <c r="F86" s="1796"/>
      <c r="G86" s="1796"/>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2281</v>
      </c>
      <c r="C87" s="224">
        <f>C88+C89</f>
        <v>0</v>
      </c>
      <c r="D87" s="225"/>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2282</v>
      </c>
      <c r="C88" s="235"/>
      <c r="D88" s="225"/>
      <c r="E88" s="236" t="s">
        <v>2283</v>
      </c>
      <c r="F88" s="1799"/>
      <c r="G88" s="237" t="s">
        <v>2284</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2272</v>
      </c>
      <c r="C89" s="224">
        <f>ROUND(C88*D89,0)</f>
        <v>0</v>
      </c>
      <c r="D89" s="225">
        <f>'数据-取费表'!B48+'数据-取费表'!B49</f>
        <v>3.0499999999999999E-2</v>
      </c>
      <c r="E89" s="236" t="s">
        <v>2285</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2286</v>
      </c>
      <c r="C90" s="235"/>
      <c r="D90" s="225"/>
      <c r="E90" s="236" t="str">
        <f>IF(H88="-","土地取得成本中已包含该笔费用"," ")</f>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2287</v>
      </c>
      <c r="B91" s="197" t="s">
        <v>2288</v>
      </c>
      <c r="C91" s="224">
        <f>IF(H91="——",成本法!C33,I91)</f>
        <v>0</v>
      </c>
      <c r="D91" s="225"/>
      <c r="E91" s="3103" t="s">
        <v>2289</v>
      </c>
      <c r="F91" s="3104"/>
      <c r="G91" s="3104"/>
      <c r="H91" s="2517" t="s">
        <v>2290</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2291</v>
      </c>
      <c r="B92" s="197" t="s">
        <v>2292</v>
      </c>
      <c r="C92" s="224">
        <f>ROUND((C87+C90+C91)*D92,0)</f>
        <v>0</v>
      </c>
      <c r="D92" s="225">
        <v>0.1</v>
      </c>
      <c r="E92" s="3103" t="s">
        <v>2293</v>
      </c>
      <c r="F92" s="3104"/>
      <c r="G92" s="3104"/>
      <c r="H92" s="310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2294</v>
      </c>
      <c r="B93" s="197" t="s">
        <v>2275</v>
      </c>
      <c r="C93" s="224">
        <f ca="1">ROUND(D45*D93/(1+'数据-取费表'!C42),0)</f>
        <v>120</v>
      </c>
      <c r="D93" s="225">
        <f>'数据-取费表'!B43</f>
        <v>6.000000000000001E-3</v>
      </c>
      <c r="E93" s="3103" t="s">
        <v>2276</v>
      </c>
      <c r="F93" s="3104"/>
      <c r="G93" s="3104"/>
      <c r="H93" s="310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2295</v>
      </c>
      <c r="B94" s="197" t="s">
        <v>2296</v>
      </c>
      <c r="C94" s="235">
        <f>ROUND((C87+C90+C91)*D94,0)</f>
        <v>0</v>
      </c>
      <c r="D94" s="225">
        <v>0.2</v>
      </c>
      <c r="E94" s="3151" t="s">
        <v>2297</v>
      </c>
      <c r="F94" s="3152"/>
      <c r="G94" s="3152"/>
      <c r="H94" s="315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2277</v>
      </c>
      <c r="C95" s="206">
        <f ca="1">ROUND(C85-C86,0)</f>
        <v>19887</v>
      </c>
      <c r="D95" s="199" t="s">
        <v>32</v>
      </c>
      <c r="E95" s="1802"/>
      <c r="F95" s="1796"/>
      <c r="G95" s="1796"/>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2278</v>
      </c>
      <c r="C96" s="226">
        <f ca="1">IF(C95&lt;=0,0,C95/C86)</f>
        <v>165.72499999999999</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2279</v>
      </c>
      <c r="C97" s="227">
        <f ca="1">ROUND(IF(C95&lt;=0,0,IF(C96&gt;=200%,C95*60%-C86*35%,IF(C96&gt;=100%,C95*50%-C86*15%,IF(C96&gt;=50%,C95*40%-C86*5%,IF(C96&lt;50%,C95*30%,0))))),0)</f>
        <v>11890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7"/>
    </row>
    <row r="99" spans="1:35" ht="21.75" customHeight="1" thickBot="1">
      <c r="A99" s="2473" t="s">
        <v>2298</v>
      </c>
      <c r="B99" s="2417"/>
      <c r="C99" s="2417"/>
      <c r="D99" s="2417"/>
      <c r="E99" s="2164"/>
      <c r="F99" s="2164"/>
      <c r="G99" s="2164"/>
      <c r="H99" s="2163"/>
      <c r="I99" s="137"/>
    </row>
    <row r="100" spans="1:35" ht="18.75" customHeight="1">
      <c r="A100" s="3055" t="s">
        <v>2299</v>
      </c>
      <c r="B100" s="3056"/>
      <c r="C100" s="3056"/>
      <c r="D100" s="3087"/>
      <c r="E100" s="3056" t="s">
        <v>2300</v>
      </c>
      <c r="F100" s="3056"/>
      <c r="G100" s="3056"/>
      <c r="H100" s="3087"/>
      <c r="I100" s="137"/>
    </row>
    <row r="101" spans="1:35" ht="18.75" customHeight="1">
      <c r="A101" s="3095" t="s">
        <v>2301</v>
      </c>
      <c r="B101" s="3096"/>
      <c r="C101" s="735" t="str">
        <f>C4</f>
        <v>成本法</v>
      </c>
      <c r="D101" s="736" t="str">
        <f>D4</f>
        <v>假设开发法</v>
      </c>
      <c r="E101" s="3067" t="s">
        <v>2302</v>
      </c>
      <c r="F101" s="3068"/>
      <c r="G101" s="2519" t="s">
        <v>2303</v>
      </c>
      <c r="H101" s="1047">
        <f ca="1">H118</f>
        <v>21007</v>
      </c>
      <c r="I101" s="137"/>
    </row>
    <row r="102" spans="1:35" ht="18.75" customHeight="1">
      <c r="A102" s="3097" t="s">
        <v>2304</v>
      </c>
      <c r="B102" s="2519" t="s">
        <v>2303</v>
      </c>
      <c r="C102" s="735">
        <f ca="1">C19</f>
        <v>15347</v>
      </c>
      <c r="D102" s="736">
        <f ca="1">D19</f>
        <v>29498</v>
      </c>
      <c r="E102" s="3067"/>
      <c r="F102" s="3068"/>
      <c r="G102" s="2519" t="s">
        <v>2305</v>
      </c>
      <c r="H102" s="370">
        <f ca="1">I118</f>
        <v>5799</v>
      </c>
      <c r="I102" s="137"/>
    </row>
    <row r="103" spans="1:35" ht="42.75" customHeight="1">
      <c r="A103" s="3097"/>
      <c r="B103" s="2519" t="s">
        <v>2305</v>
      </c>
      <c r="C103" s="737">
        <f ca="1">C20</f>
        <v>4237</v>
      </c>
      <c r="D103" s="738">
        <f ca="1">D20</f>
        <v>8143</v>
      </c>
      <c r="E103" s="3061" t="s">
        <v>2306</v>
      </c>
      <c r="F103" s="3062"/>
      <c r="G103" s="2520" t="s">
        <v>2307</v>
      </c>
      <c r="H103" s="1047">
        <f>IF(D36="正常操作",H104+H105+H106,H105+H106)</f>
        <v>0</v>
      </c>
      <c r="I103" s="137"/>
    </row>
    <row r="104" spans="1:35" ht="18.75" customHeight="1">
      <c r="A104" s="3097" t="s">
        <v>2308</v>
      </c>
      <c r="B104" s="2521" t="s">
        <v>2303</v>
      </c>
      <c r="C104" s="739">
        <f ca="1">H118</f>
        <v>21007</v>
      </c>
      <c r="D104" s="740"/>
      <c r="E104" s="2265" t="s">
        <v>2309</v>
      </c>
      <c r="F104" s="2256"/>
      <c r="G104" s="2520" t="s">
        <v>2307</v>
      </c>
      <c r="H104" s="1048">
        <f>IF(D36="同一抵押权人同一抵押物续贷",C36&amp;"（未扣减，详见特别提示）",C36)</f>
        <v>0</v>
      </c>
      <c r="I104" s="137"/>
    </row>
    <row r="105" spans="1:35" ht="18.75" customHeight="1" thickBot="1">
      <c r="A105" s="3109"/>
      <c r="B105" s="2522" t="s">
        <v>2305</v>
      </c>
      <c r="C105" s="741">
        <f ca="1">I118</f>
        <v>5799</v>
      </c>
      <c r="D105" s="742"/>
      <c r="E105" s="2265" t="s">
        <v>2310</v>
      </c>
      <c r="F105" s="2256"/>
      <c r="G105" s="2520" t="s">
        <v>2307</v>
      </c>
      <c r="H105" s="1048">
        <f>C37</f>
        <v>0</v>
      </c>
      <c r="I105" s="137"/>
    </row>
    <row r="106" spans="1:35" ht="18.75" customHeight="1">
      <c r="A106" s="2417" t="s">
        <v>2311</v>
      </c>
      <c r="B106" s="2417"/>
      <c r="C106" s="2417"/>
      <c r="D106" s="2417"/>
      <c r="E106" s="2523" t="s">
        <v>2312</v>
      </c>
      <c r="F106" s="2256"/>
      <c r="G106" s="2520" t="s">
        <v>2307</v>
      </c>
      <c r="H106" s="1048">
        <f>C38</f>
        <v>0</v>
      </c>
      <c r="I106" s="137"/>
    </row>
    <row r="107" spans="1:35" ht="18.75" customHeight="1">
      <c r="A107" s="137"/>
      <c r="B107" s="137"/>
      <c r="C107" s="137"/>
      <c r="D107" s="137"/>
      <c r="E107" s="3098" t="str">
        <f>IF(项目基本情况!E8="已注销","——","3.房地产抵押价值")</f>
        <v>3.房地产抵押价值</v>
      </c>
      <c r="F107" s="3068"/>
      <c r="G107" s="2519" t="s">
        <v>2303</v>
      </c>
      <c r="H107" s="1047">
        <f ca="1">IF(E107="——","——",H101-H103)</f>
        <v>21007</v>
      </c>
      <c r="I107" s="137"/>
    </row>
    <row r="108" spans="1:35" ht="18.75" customHeight="1">
      <c r="A108" s="137"/>
      <c r="B108" s="137"/>
      <c r="C108" s="137"/>
      <c r="D108" s="137"/>
      <c r="E108" s="3098"/>
      <c r="F108" s="3068"/>
      <c r="G108" s="2519" t="s">
        <v>2305</v>
      </c>
      <c r="H108" s="370">
        <f ca="1">ROUND(H107*10000/'数据-汇总表'!E3,0)</f>
        <v>5799</v>
      </c>
      <c r="I108" s="137"/>
    </row>
    <row r="109" spans="1:35" ht="18.75" customHeight="1">
      <c r="A109" s="137"/>
      <c r="B109" s="137"/>
      <c r="C109" s="137"/>
      <c r="D109" s="137"/>
      <c r="E109" s="3098" t="str">
        <f>IF(项目基本情况!E8="已注销及未注销","4.抵押担保权已注销时的房地产抵押价值",IF(项目基本情况!E8="已注销","3.抵押担保权已注销时的房地产抵押价值","——"))</f>
        <v>——</v>
      </c>
      <c r="F109" s="3068"/>
      <c r="G109" s="2519" t="s">
        <v>2303</v>
      </c>
      <c r="H109" s="347" t="str">
        <f>IF(E109="——","——",H101-H105-H106)</f>
        <v>——</v>
      </c>
      <c r="I109" s="137"/>
    </row>
    <row r="110" spans="1:35" ht="18.75" customHeight="1">
      <c r="A110" s="137"/>
      <c r="B110" s="137"/>
      <c r="C110" s="137"/>
      <c r="D110" s="137"/>
      <c r="E110" s="3098"/>
      <c r="F110" s="3068"/>
      <c r="G110" s="2519" t="s">
        <v>2305</v>
      </c>
      <c r="H110" s="370" t="str">
        <f>IF(H109="——","——",ROUND(H109*10000/'数据-汇总表'!E3,0))</f>
        <v>——</v>
      </c>
      <c r="I110" s="137"/>
    </row>
    <row r="111" spans="1:35" ht="18.75" customHeight="1">
      <c r="A111" s="137"/>
      <c r="B111" s="137"/>
      <c r="C111" s="137"/>
      <c r="D111" s="137"/>
      <c r="E111" s="3099" t="str">
        <f>IF(项目基本情况!E9="抵押净值",IF(OR(项目基本情况!E8="已注销",项目基本情况!E8="房地产抵押价值"),"4.抵押净值","5.抵押净值"),"——")</f>
        <v>——</v>
      </c>
      <c r="F111" s="3100"/>
      <c r="G111" s="2519" t="s">
        <v>2303</v>
      </c>
      <c r="H111" s="1047" t="str">
        <f>IF(E111="——","——",N59)</f>
        <v>——</v>
      </c>
      <c r="I111" s="137"/>
    </row>
    <row r="112" spans="1:35" ht="18.75" customHeight="1" thickBot="1">
      <c r="A112" s="137"/>
      <c r="B112" s="137"/>
      <c r="C112" s="137"/>
      <c r="D112" s="137"/>
      <c r="E112" s="3101"/>
      <c r="F112" s="3102"/>
      <c r="G112" s="2524" t="s">
        <v>2305</v>
      </c>
      <c r="H112" s="789" t="str">
        <f>IF(E111="——","——",N61)</f>
        <v>——</v>
      </c>
      <c r="I112" s="137"/>
    </row>
    <row r="113" spans="1:11" ht="18.75" customHeight="1">
      <c r="A113" s="137"/>
      <c r="B113" s="137"/>
      <c r="C113" s="137"/>
      <c r="D113" s="137"/>
      <c r="E113" s="3110" t="s">
        <v>2311</v>
      </c>
      <c r="F113" s="3110"/>
      <c r="G113" s="3110"/>
      <c r="H113" s="3110"/>
      <c r="I113" s="137"/>
    </row>
    <row r="114" spans="1:11" ht="3.75" customHeight="1">
      <c r="A114" s="2417"/>
      <c r="B114" s="2417"/>
      <c r="C114" s="2417"/>
      <c r="D114" s="2417"/>
      <c r="E114" s="2495"/>
      <c r="F114" s="2495"/>
      <c r="G114" s="2495"/>
      <c r="H114" s="2495"/>
      <c r="I114" s="2417"/>
    </row>
    <row r="115" spans="1:11" ht="18.75" customHeight="1">
      <c r="A115" s="3123" t="s">
        <v>2313</v>
      </c>
      <c r="B115" s="3124"/>
      <c r="C115" s="3124"/>
      <c r="D115" s="3124"/>
      <c r="E115" s="3124"/>
      <c r="F115" s="3124"/>
      <c r="G115" s="3124"/>
      <c r="H115" s="3124"/>
      <c r="I115" s="3125"/>
    </row>
    <row r="116" spans="1:11" ht="27" customHeight="1">
      <c r="A116" s="3034" t="s">
        <v>2314</v>
      </c>
      <c r="B116" s="3077" t="s">
        <v>2315</v>
      </c>
      <c r="C116" s="3077" t="s">
        <v>2316</v>
      </c>
      <c r="D116" s="3083" t="s">
        <v>2317</v>
      </c>
      <c r="E116" s="3084"/>
      <c r="F116" s="3119" t="s">
        <v>2318</v>
      </c>
      <c r="G116" s="3119"/>
      <c r="H116" s="3034" t="s">
        <v>2319</v>
      </c>
      <c r="I116" s="3034"/>
    </row>
    <row r="117" spans="1:11" ht="18.75" customHeight="1">
      <c r="A117" s="3034"/>
      <c r="B117" s="3078"/>
      <c r="C117" s="3078"/>
      <c r="D117" s="1797" t="s">
        <v>2320</v>
      </c>
      <c r="E117" s="1797" t="s">
        <v>2321</v>
      </c>
      <c r="F117" s="1797" t="s">
        <v>2320</v>
      </c>
      <c r="G117" s="1797" t="s">
        <v>2322</v>
      </c>
      <c r="H117" s="1797" t="s">
        <v>2320</v>
      </c>
      <c r="I117" s="1797" t="s">
        <v>2322</v>
      </c>
    </row>
    <row r="118" spans="1:11" ht="24.75" customHeight="1">
      <c r="A118" s="2525" t="str">
        <f>项目基本情况!S2</f>
        <v>青岛市黄岛区滨海大道以南、石雀滩路北D地块1宗住宅用途出让国有建设用地使用权及在建建筑物房地产</v>
      </c>
      <c r="B118" s="1797">
        <f>M18</f>
        <v>36223.67</v>
      </c>
      <c r="C118" s="1797">
        <f>M19</f>
        <v>5780</v>
      </c>
      <c r="D118" s="1797">
        <f ca="1">ROUND(IF(D32="总价",C34,E118*B118/10000),0)</f>
        <v>19936</v>
      </c>
      <c r="E118" s="1797">
        <f ca="1">ROUND(IF(C33="自定义",IF(D32="楼面单价",C34,D118*10000/B118),I118-G118),0)</f>
        <v>5503</v>
      </c>
      <c r="F118" s="1797">
        <f ca="1">ROUND(IF(D32="总价",C35,G118*B118/10000),0)</f>
        <v>1071</v>
      </c>
      <c r="G118" s="1797">
        <f ca="1">ROUND(IF(D32="楼面单价",C35,F118*10000/B118),0)</f>
        <v>296</v>
      </c>
      <c r="H118" s="1797">
        <f ca="1">ROUND(IF(D32="总价",C32,I118*B118/10000),0)</f>
        <v>21007</v>
      </c>
      <c r="I118" s="1797">
        <f ca="1">ROUND(IF(D32="楼面单价",C32,H118*10000/B118),0)</f>
        <v>5799</v>
      </c>
    </row>
    <row r="119" spans="1:11" ht="18.75" customHeight="1">
      <c r="A119" s="3034" t="s">
        <v>2323</v>
      </c>
      <c r="B119" s="3034"/>
      <c r="C119" s="3034"/>
      <c r="D119" s="3079" t="str">
        <f ca="1">NUMBERSTRING(INT(D118*10000),2)&amp;"元整"</f>
        <v>壹亿玖仟玖佰叁拾陆万元整</v>
      </c>
      <c r="E119" s="3080"/>
      <c r="F119" s="3079" t="str">
        <f ca="1">NUMBERSTRING(INT(F118*10000),2)&amp;"元整"</f>
        <v>壹仟零柒拾壹万元整</v>
      </c>
      <c r="G119" s="3080"/>
      <c r="H119" s="3079" t="str">
        <f ca="1">NUMBERSTRING(INT(H118*10000),2)&amp;"元整"</f>
        <v>贰亿壹仟零柒万元整</v>
      </c>
      <c r="I119" s="3080"/>
    </row>
    <row r="120" spans="1:11" ht="18.75" customHeight="1">
      <c r="A120" s="3074" t="str">
        <f>IF(项目基本情况!B9="房地产市场价值","",MID(E103,3,LEN(E103)-2))</f>
        <v>估价师知悉的法定优先受偿款</v>
      </c>
      <c r="B120" s="3075"/>
      <c r="C120" s="3076"/>
      <c r="D120" s="3074">
        <f>H103</f>
        <v>0</v>
      </c>
      <c r="E120" s="3075"/>
      <c r="F120" s="3075"/>
      <c r="G120" s="3075"/>
      <c r="H120" s="3075"/>
      <c r="I120" s="3076"/>
      <c r="K120" s="2422" t="str">
        <f>IF(D120=0,"故，本次评估不存在"&amp;A120,"故，本次评估"&amp;A120&amp;"为人民币"&amp;D120&amp;"万元整。")</f>
        <v>故，本次评估不存在估价师知悉的法定优先受偿款</v>
      </c>
    </row>
    <row r="121" spans="1:11" ht="18.75" customHeight="1">
      <c r="A121" s="3120" t="s">
        <v>2323</v>
      </c>
      <c r="B121" s="3121"/>
      <c r="C121" s="3122"/>
      <c r="D121" s="3079" t="str">
        <f>IF(D120=0,"零元整",NUMBERSTRING(INT(D120*10000),2)&amp;"元整")</f>
        <v>零元整</v>
      </c>
      <c r="E121" s="3081"/>
      <c r="F121" s="3081"/>
      <c r="G121" s="3081"/>
      <c r="H121" s="3081"/>
      <c r="I121" s="3080"/>
    </row>
    <row r="122" spans="1:11" ht="18.75" customHeight="1">
      <c r="A122" s="3085" t="str">
        <f>IF(项目基本情况!B9="房地产市场价值","",MID(E107,3,LEN(E107)-2))</f>
        <v>房地产抵押价值</v>
      </c>
      <c r="B122" s="3085"/>
      <c r="C122" s="3085"/>
      <c r="D122" s="3074">
        <f ca="1">H107</f>
        <v>21007</v>
      </c>
      <c r="E122" s="3075"/>
      <c r="F122" s="3075"/>
      <c r="G122" s="3075"/>
      <c r="H122" s="3075"/>
      <c r="I122" s="3076"/>
    </row>
    <row r="123" spans="1:11" ht="18.75" customHeight="1">
      <c r="A123" s="3034" t="s">
        <v>2323</v>
      </c>
      <c r="B123" s="3034"/>
      <c r="C123" s="3034"/>
      <c r="D123" s="3079" t="str">
        <f ca="1">NUMBERSTRING(INT(D122*10000),2)&amp;"元整"</f>
        <v>贰亿壹仟零柒万元整</v>
      </c>
      <c r="E123" s="3081"/>
      <c r="F123" s="3081"/>
      <c r="G123" s="3081"/>
      <c r="H123" s="3081"/>
      <c r="I123" s="3080"/>
    </row>
    <row r="124" spans="1:11" ht="18.75" customHeight="1">
      <c r="A124" s="3085" t="str">
        <f>IF(项目基本情况!B9="房地产市场价值","",MID(E109,3,LEN(E109)-2))</f>
        <v/>
      </c>
      <c r="B124" s="3085"/>
      <c r="C124" s="3085"/>
      <c r="D124" s="3074" t="str">
        <f>H109</f>
        <v>——</v>
      </c>
      <c r="E124" s="3075"/>
      <c r="F124" s="3075"/>
      <c r="G124" s="3075"/>
      <c r="H124" s="3075"/>
      <c r="I124" s="3076"/>
    </row>
    <row r="125" spans="1:11" ht="18.75" customHeight="1">
      <c r="A125" s="3034" t="s">
        <v>2323</v>
      </c>
      <c r="B125" s="3034"/>
      <c r="C125" s="3034"/>
      <c r="D125" s="3079" t="e">
        <f>NUMBERSTRING(INT(D124*10000),2)&amp;"元整"</f>
        <v>#VALUE!</v>
      </c>
      <c r="E125" s="3081"/>
      <c r="F125" s="3081"/>
      <c r="G125" s="3081"/>
      <c r="H125" s="3081"/>
      <c r="I125" s="3080"/>
    </row>
    <row r="126" spans="1:11" ht="18.75" customHeight="1">
      <c r="A126" s="3085" t="str">
        <f>IF(项目基本情况!B9="房地产市场价值","",MID(E111,3,LEN(E111)-2))</f>
        <v/>
      </c>
      <c r="B126" s="3085"/>
      <c r="C126" s="3085"/>
      <c r="D126" s="3074" t="str">
        <f>H111</f>
        <v>——</v>
      </c>
      <c r="E126" s="3075"/>
      <c r="F126" s="3075"/>
      <c r="G126" s="3075"/>
      <c r="H126" s="3075"/>
      <c r="I126" s="3076"/>
    </row>
    <row r="127" spans="1:11" ht="18.75" customHeight="1">
      <c r="A127" s="3034" t="s">
        <v>2323</v>
      </c>
      <c r="B127" s="3034"/>
      <c r="C127" s="3034"/>
      <c r="D127" s="3079" t="e">
        <f>NUMBERSTRING(INT(D126*10000),2)&amp;"元整"</f>
        <v>#VALUE!</v>
      </c>
      <c r="E127" s="3081"/>
      <c r="F127" s="3081"/>
      <c r="G127" s="3081"/>
      <c r="H127" s="3081"/>
      <c r="I127" s="3080"/>
    </row>
    <row r="128" spans="1:11" ht="21.75" customHeight="1">
      <c r="A128" s="3082" t="s">
        <v>2324</v>
      </c>
      <c r="B128" s="3082"/>
      <c r="C128" s="3082"/>
      <c r="D128" s="3082"/>
      <c r="E128" s="3082"/>
      <c r="F128" s="3082"/>
      <c r="G128" s="3082"/>
      <c r="H128" s="3082"/>
      <c r="I128" s="3082"/>
    </row>
    <row r="129" spans="1:35" ht="21.75" customHeight="1">
      <c r="A129" s="2526" t="s">
        <v>2325</v>
      </c>
      <c r="B129" s="2527"/>
      <c r="C129" s="2528" t="s">
        <v>2326</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2327</v>
      </c>
      <c r="G135" s="2543"/>
      <c r="H135" s="2543"/>
      <c r="I135" s="2544" t="s">
        <v>2328</v>
      </c>
    </row>
    <row r="136" spans="1:35" ht="21.75" customHeight="1">
      <c r="A136" s="794"/>
      <c r="B136" s="2545" t="s">
        <v>2329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2330</v>
      </c>
    </row>
    <row r="139" spans="1:35" ht="21.75" customHeight="1">
      <c r="A139" s="794"/>
      <c r="B139" s="2545" t="s">
        <v>2331</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2330</v>
      </c>
    </row>
    <row r="142" spans="1:35" ht="21.75" customHeight="1">
      <c r="A142" s="794"/>
      <c r="B142" s="2545"/>
      <c r="C142" s="2546"/>
      <c r="D142" s="2547"/>
      <c r="E142" s="2547"/>
      <c r="F142" s="2339"/>
      <c r="G142" s="794"/>
      <c r="H142" s="794"/>
      <c r="I142" s="794"/>
    </row>
    <row r="143" spans="1:35" s="138" customFormat="1" ht="21.75" customHeight="1">
      <c r="A143" s="794"/>
      <c r="B143" s="2545"/>
      <c r="C143" s="2546"/>
      <c r="D143" s="2547"/>
      <c r="E143" s="2547"/>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00B0F0"/>
    <pageSetUpPr fitToPage="1"/>
  </sheetPr>
  <dimension ref="A1:I57"/>
  <sheetViews>
    <sheetView topLeftCell="A31" workbookViewId="0">
      <selection activeCell="J46" sqref="J4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2332</v>
      </c>
      <c r="B1" s="1939"/>
      <c r="C1" s="241"/>
      <c r="D1" s="241"/>
      <c r="E1" s="241"/>
      <c r="F1" s="241"/>
      <c r="G1" s="1381">
        <f>MATCH(B1,'数据-取费表'!A6:A16,0)+5</f>
        <v>7</v>
      </c>
    </row>
    <row r="2" spans="1:9" s="243" customFormat="1" ht="18" customHeight="1">
      <c r="A2" s="244" t="s">
        <v>2333</v>
      </c>
      <c r="B2" s="245">
        <f ca="1">IF(D2="——",C52,C52-E2)</f>
        <v>15347</v>
      </c>
      <c r="C2" s="242" t="s">
        <v>2334</v>
      </c>
      <c r="D2" s="2548" t="s">
        <v>70</v>
      </c>
      <c r="E2" s="1442">
        <f ca="1">SUMIF(INDIRECT("'"&amp;G2&amp;"'"&amp;"!A:A"),"承租人权益价值",INDIRECT("'"&amp;G2&amp;"'"&amp;"!c:c"))</f>
        <v>0</v>
      </c>
      <c r="F2" s="2549" t="s">
        <v>2334</v>
      </c>
      <c r="G2" s="2550" t="s">
        <v>3054</v>
      </c>
    </row>
    <row r="3" spans="1:9" s="243" customFormat="1" ht="18" customHeight="1" thickBot="1">
      <c r="A3" s="246" t="s">
        <v>2335</v>
      </c>
      <c r="B3" s="247">
        <f ca="1">ROUND(B2*10000/(IF(B1="",'数据-汇总表'!E3,INDIRECT("'数据-取费表'!k"&amp;$G$1))),0)</f>
        <v>4237</v>
      </c>
      <c r="C3" s="242" t="s">
        <v>2336</v>
      </c>
      <c r="D3" s="242"/>
      <c r="E3" s="242"/>
      <c r="F3" s="242"/>
      <c r="G3" s="242"/>
    </row>
    <row r="4" spans="1:9" s="251" customFormat="1" ht="15.75">
      <c r="A4" s="248" t="s">
        <v>2337</v>
      </c>
      <c r="B4" s="249"/>
      <c r="C4" s="249"/>
      <c r="D4" s="249"/>
      <c r="E4" s="249"/>
      <c r="F4" s="249"/>
      <c r="G4" s="250"/>
    </row>
    <row r="5" spans="1:9" s="257" customFormat="1" ht="13.5" customHeight="1">
      <c r="A5" s="298" t="s">
        <v>2338</v>
      </c>
      <c r="B5" s="253" t="s">
        <v>2339</v>
      </c>
      <c r="C5" s="254">
        <f>C6+C7+C8</f>
        <v>12379</v>
      </c>
      <c r="D5" s="254" t="s">
        <v>2340</v>
      </c>
      <c r="E5" s="255" t="s">
        <v>2341</v>
      </c>
      <c r="F5" s="255" t="s">
        <v>2342</v>
      </c>
      <c r="G5" s="256"/>
    </row>
    <row r="6" spans="1:9" s="257" customFormat="1" ht="13.5" customHeight="1">
      <c r="A6" s="951" t="s">
        <v>2343</v>
      </c>
      <c r="B6" s="258" t="s">
        <v>2344</v>
      </c>
      <c r="C6" s="259">
        <f>'土地比较法-住宅、综合'!B2</f>
        <v>12013</v>
      </c>
      <c r="D6" s="260"/>
      <c r="E6" s="261"/>
      <c r="F6" s="261"/>
      <c r="G6" s="262"/>
    </row>
    <row r="7" spans="1:9" s="257" customFormat="1" ht="13.5" customHeight="1">
      <c r="A7" s="951" t="s">
        <v>2345</v>
      </c>
      <c r="B7" s="258" t="s">
        <v>2346</v>
      </c>
      <c r="C7" s="263">
        <f>ROUND(C6*F7,0)</f>
        <v>366</v>
      </c>
      <c r="D7" s="263"/>
      <c r="E7" s="261"/>
      <c r="F7" s="264">
        <f>'数据-取费表'!B48+'数据-取费表'!B49</f>
        <v>3.0499999999999999E-2</v>
      </c>
      <c r="G7" s="262"/>
    </row>
    <row r="8" spans="1:9" s="266" customFormat="1">
      <c r="A8" s="951" t="s">
        <v>2347</v>
      </c>
      <c r="B8" s="258" t="s">
        <v>2348</v>
      </c>
      <c r="C8" s="263">
        <f>IF(G8="已包含在土地购买价格中","0",IF(B1="",'数据-取费表'!B29,IF(G9="全部缴纳",C9+C10,H9)))</f>
        <v>0</v>
      </c>
      <c r="D8" s="265"/>
      <c r="E8" s="263"/>
      <c r="F8" s="264"/>
      <c r="G8" s="2551" t="s">
        <v>3149</v>
      </c>
    </row>
    <row r="9" spans="1:9" s="257" customFormat="1" ht="13.5" customHeight="1">
      <c r="A9" s="952" t="s">
        <v>800</v>
      </c>
      <c r="B9" s="267" t="s">
        <v>2349</v>
      </c>
      <c r="C9" s="268">
        <f ca="1">ROUND(D9*E9/10000,0)</f>
        <v>989</v>
      </c>
      <c r="D9" s="1034">
        <f ca="1">IF(B1="",'数据-汇总表'!E5,IF(INDIRECT("'数据-取费表'!c"&amp;$G$1)="住宅",INDIRECT("'数据-取费表'!k"&amp;$G$1),0))</f>
        <v>24724.93</v>
      </c>
      <c r="E9" s="268">
        <f>'数据-取费表'!B27</f>
        <v>400</v>
      </c>
      <c r="F9" s="264"/>
      <c r="G9" s="2552" t="s">
        <v>3150</v>
      </c>
      <c r="H9" s="1392"/>
      <c r="I9" s="2553" t="s">
        <v>2350</v>
      </c>
    </row>
    <row r="10" spans="1:9" s="257" customFormat="1" ht="13.5" customHeight="1">
      <c r="A10" s="952" t="s">
        <v>801</v>
      </c>
      <c r="B10" s="267" t="s">
        <v>2351</v>
      </c>
      <c r="C10" s="268">
        <f ca="1">ROUND(D10*E10/10000,0)</f>
        <v>460</v>
      </c>
      <c r="D10" s="1034">
        <f ca="1">IF(B1="",'数据-汇总表'!E6,IF(INDIRECT("'数据-取费表'!c"&amp;$G$1)="住宅",INDIRECT("'数据-取费表'!s"&amp;$G$1),INDIRECT("'数据-取费表'!k"&amp;$G$1)+INDIRECT("'数据-取费表'!s"&amp;$G$1)))</f>
        <v>11498.739999999998</v>
      </c>
      <c r="E10" s="268">
        <f>'数据-取费表'!B28</f>
        <v>400</v>
      </c>
      <c r="F10" s="264"/>
      <c r="G10" s="269"/>
    </row>
    <row r="11" spans="1:9" s="257" customFormat="1" ht="13.5" hidden="1" customHeight="1">
      <c r="A11" s="270" t="s">
        <v>7</v>
      </c>
      <c r="B11" s="258" t="s">
        <v>2352</v>
      </c>
      <c r="C11" s="254"/>
      <c r="D11" s="1036"/>
      <c r="E11" s="261"/>
      <c r="F11" s="261"/>
      <c r="G11" s="262"/>
    </row>
    <row r="12" spans="1:9" s="257" customFormat="1" ht="13.5" hidden="1" customHeight="1">
      <c r="A12" s="270" t="s">
        <v>8</v>
      </c>
      <c r="B12" s="258" t="s">
        <v>2353</v>
      </c>
      <c r="C12" s="254">
        <v>0</v>
      </c>
      <c r="D12" s="1036"/>
      <c r="E12" s="271"/>
      <c r="F12" s="264">
        <v>3.0499999999999999E-2</v>
      </c>
      <c r="G12" s="262"/>
    </row>
    <row r="13" spans="1:9" s="257" customFormat="1" ht="13.5" hidden="1" customHeight="1">
      <c r="A13" s="270" t="s">
        <v>9</v>
      </c>
      <c r="B13" s="258" t="s">
        <v>2354</v>
      </c>
      <c r="C13" s="254"/>
      <c r="D13" s="1036"/>
      <c r="E13" s="261"/>
      <c r="F13" s="261"/>
      <c r="G13" s="262"/>
    </row>
    <row r="14" spans="1:9" s="257" customFormat="1" ht="13.5" hidden="1" customHeight="1">
      <c r="A14" s="270" t="s">
        <v>10</v>
      </c>
      <c r="B14" s="258" t="s">
        <v>2355</v>
      </c>
      <c r="C14" s="254"/>
      <c r="D14" s="1036"/>
      <c r="E14" s="261"/>
      <c r="F14" s="261"/>
      <c r="G14" s="262" t="s">
        <v>2356</v>
      </c>
    </row>
    <row r="15" spans="1:9" s="257" customFormat="1" ht="13.5" hidden="1" customHeight="1">
      <c r="A15" s="270" t="s">
        <v>11</v>
      </c>
      <c r="B15" s="258" t="s">
        <v>2357</v>
      </c>
      <c r="C15" s="263"/>
      <c r="D15" s="1036"/>
      <c r="E15" s="261"/>
      <c r="F15" s="261"/>
      <c r="G15" s="262" t="s">
        <v>2358</v>
      </c>
    </row>
    <row r="16" spans="1:9" s="257" customFormat="1" ht="13.5" hidden="1" customHeight="1">
      <c r="A16" s="270" t="s">
        <v>12</v>
      </c>
      <c r="B16" s="258" t="s">
        <v>2355</v>
      </c>
      <c r="C16" s="263"/>
      <c r="D16" s="1036"/>
      <c r="E16" s="261"/>
      <c r="F16" s="261"/>
      <c r="G16" s="262"/>
    </row>
    <row r="17" spans="1:7" s="257" customFormat="1" ht="13.5" hidden="1" customHeight="1">
      <c r="A17" s="270" t="s">
        <v>13</v>
      </c>
      <c r="B17" s="258" t="s">
        <v>2359</v>
      </c>
      <c r="C17" s="272"/>
      <c r="D17" s="1037"/>
      <c r="E17" s="272"/>
      <c r="F17" s="272"/>
      <c r="G17" s="262" t="s">
        <v>2358</v>
      </c>
    </row>
    <row r="18" spans="1:7" s="257" customFormat="1" ht="13.5" hidden="1" customHeight="1">
      <c r="A18" s="270" t="s">
        <v>14</v>
      </c>
      <c r="B18" s="258" t="s">
        <v>2360</v>
      </c>
      <c r="C18" s="263">
        <v>0</v>
      </c>
      <c r="D18" s="1036"/>
      <c r="E18" s="261"/>
      <c r="F18" s="264">
        <v>3.0499999999999999E-2</v>
      </c>
      <c r="G18" s="262" t="s">
        <v>2361</v>
      </c>
    </row>
    <row r="19" spans="1:7" s="266" customFormat="1" ht="13.5" customHeight="1">
      <c r="A19" s="298" t="s">
        <v>2362</v>
      </c>
      <c r="B19" s="253" t="s">
        <v>2363</v>
      </c>
      <c r="C19" s="254">
        <f ca="1">IF(G19="已包含在土地取得成本中","0",ROUND(D19*E19/10000,0))</f>
        <v>724</v>
      </c>
      <c r="D19" s="1038">
        <f ca="1">D9+D10</f>
        <v>36223.67</v>
      </c>
      <c r="E19" s="254">
        <f>'数据-取费表'!B31</f>
        <v>200</v>
      </c>
      <c r="F19" s="274"/>
      <c r="G19" s="2551"/>
    </row>
    <row r="20" spans="1:7" s="257" customFormat="1" ht="13.5" customHeight="1">
      <c r="A20" s="298" t="s">
        <v>2364</v>
      </c>
      <c r="B20" s="253" t="s">
        <v>2365</v>
      </c>
      <c r="C20" s="275">
        <f ca="1">ROUND((C5+C19)*F20,0)</f>
        <v>197</v>
      </c>
      <c r="D20" s="275"/>
      <c r="E20" s="275"/>
      <c r="F20" s="276">
        <f>'数据-取费表'!B37</f>
        <v>1.4999999999999999E-2</v>
      </c>
      <c r="G20" s="277" t="s">
        <v>2366</v>
      </c>
    </row>
    <row r="21" spans="1:7" s="257" customFormat="1" ht="13.5" customHeight="1">
      <c r="A21" s="298" t="s">
        <v>2367</v>
      </c>
      <c r="B21" s="253" t="s">
        <v>2368</v>
      </c>
      <c r="C21" s="278">
        <f>F21</f>
        <v>0.02</v>
      </c>
      <c r="D21" s="279" t="s">
        <v>2369</v>
      </c>
      <c r="E21" s="275"/>
      <c r="F21" s="276">
        <f>'数据-取费表'!B38</f>
        <v>0.02</v>
      </c>
      <c r="G21" s="277" t="s">
        <v>2370</v>
      </c>
    </row>
    <row r="22" spans="1:7" s="257" customFormat="1" ht="13.5" customHeight="1">
      <c r="A22" s="298" t="s">
        <v>2371</v>
      </c>
      <c r="B22" s="253" t="s">
        <v>2372</v>
      </c>
      <c r="C22" s="1356">
        <f ca="1">ROUND(SUM(C23:C25),0)</f>
        <v>61</v>
      </c>
      <c r="D22" s="278">
        <f ca="1">C26</f>
        <v>0</v>
      </c>
      <c r="E22" s="279" t="s">
        <v>2369</v>
      </c>
      <c r="F22" s="280">
        <f ca="1">'数据-取费表'!B40</f>
        <v>4.7500000000000001E-2</v>
      </c>
      <c r="G22" s="277" t="str">
        <f>IF('数据-取费表'!B22&lt;=1,"单利计息","复利计息")</f>
        <v>复利计息</v>
      </c>
    </row>
    <row r="23" spans="1:7" s="257" customFormat="1" ht="13.5" customHeight="1">
      <c r="A23" s="953" t="s">
        <v>2373</v>
      </c>
      <c r="B23" s="258" t="s">
        <v>2374</v>
      </c>
      <c r="C23" s="1357">
        <f ca="1">ROUND(IF('数据-取费表'!B22&lt;=1,C5*F22*'数据-取费表'!B23,C5*(POWER((1+F22),'数据-取费表'!B23)-1)),0)</f>
        <v>58</v>
      </c>
      <c r="D23" s="281"/>
      <c r="E23" s="281"/>
      <c r="F23" s="282"/>
      <c r="G23" s="283" t="s">
        <v>2375</v>
      </c>
    </row>
    <row r="24" spans="1:7" s="257" customFormat="1" ht="13.5" customHeight="1">
      <c r="A24" s="953" t="s">
        <v>2376</v>
      </c>
      <c r="B24" s="258" t="s">
        <v>2377</v>
      </c>
      <c r="C24" s="1357">
        <f ca="1">ROUND(IF('数据-取费表'!B22&lt;=1,C19*F22*('数据-取费表'!B19/2+'数据-取费表'!B21),C19*(POWER((1+F22),('数据-取费表'!B19/2+'数据-取费表'!B21))-1)),0)</f>
        <v>3</v>
      </c>
      <c r="D24" s="281"/>
      <c r="E24" s="281"/>
      <c r="F24" s="282"/>
      <c r="G24" s="283" t="s">
        <v>2378</v>
      </c>
    </row>
    <row r="25" spans="1:7" s="257" customFormat="1" ht="24">
      <c r="A25" s="953" t="s">
        <v>2379</v>
      </c>
      <c r="B25" s="258" t="s">
        <v>2380</v>
      </c>
      <c r="C25" s="1357">
        <f ca="1">ROUND(IF('数据-取费表'!B22&lt;=1,C20*F22*'数据-取费表'!B23/2,C20*(POWER((1+F22),'数据-取费表'!B23/2)-1)),0)</f>
        <v>0</v>
      </c>
      <c r="D25" s="281"/>
      <c r="E25" s="284"/>
      <c r="F25" s="282"/>
      <c r="G25" s="285" t="s">
        <v>2381</v>
      </c>
    </row>
    <row r="26" spans="1:7" s="257" customFormat="1">
      <c r="A26" s="953" t="s">
        <v>795</v>
      </c>
      <c r="B26" s="258" t="s">
        <v>2382</v>
      </c>
      <c r="C26" s="281">
        <f ca="1">ROUND(IF('数据-取费表'!B22&lt;=1,F21*F22*'数据-取费表'!B23/2,F21*(POWER((1+F22),'数据-取费表'!B23/2)-1)),4)</f>
        <v>0</v>
      </c>
      <c r="D26" s="281"/>
      <c r="E26" s="284"/>
      <c r="F26" s="282"/>
      <c r="G26" s="286"/>
    </row>
    <row r="27" spans="1:7" s="257" customFormat="1" ht="24.75">
      <c r="A27" s="298" t="s">
        <v>2383</v>
      </c>
      <c r="B27" s="287" t="s">
        <v>2384</v>
      </c>
      <c r="C27" s="288">
        <f ca="1">C28</f>
        <v>133</v>
      </c>
      <c r="D27" s="278">
        <f ca="1">C29</f>
        <v>2.0000000000000001E-4</v>
      </c>
      <c r="E27" s="279" t="s">
        <v>2385</v>
      </c>
      <c r="F27" s="289">
        <f ca="1">IF(B1="",'数据-取费表'!Q16,INDIRECT("'数据-取费表'!q"&amp;$G$1))</f>
        <v>0.15</v>
      </c>
      <c r="G27" s="290" t="s">
        <v>2386</v>
      </c>
    </row>
    <row r="28" spans="1:7" s="257" customFormat="1" ht="13.5" customHeight="1">
      <c r="A28" s="953" t="s">
        <v>791</v>
      </c>
      <c r="B28" s="291" t="s">
        <v>2387</v>
      </c>
      <c r="C28" s="292">
        <f ca="1">ROUND((C5+C19+C20)*F27*'数据-取费表'!B21/'数据-取费表'!B20,0)</f>
        <v>133</v>
      </c>
      <c r="D28" s="278"/>
      <c r="E28" s="279"/>
      <c r="F28" s="289"/>
      <c r="G28" s="290"/>
    </row>
    <row r="29" spans="1:7" s="257" customFormat="1" ht="13.5" customHeight="1">
      <c r="A29" s="953" t="s">
        <v>792</v>
      </c>
      <c r="B29" s="291" t="s">
        <v>2388</v>
      </c>
      <c r="C29" s="281">
        <f ca="1">ROUND(C21*F27*'数据-取费表'!B21/'数据-取费表'!B20,4)</f>
        <v>2.0000000000000001E-4</v>
      </c>
      <c r="D29" s="278"/>
      <c r="E29" s="279"/>
      <c r="F29" s="289"/>
      <c r="G29" s="290"/>
    </row>
    <row r="30" spans="1:7" s="257" customFormat="1" ht="13.5" customHeight="1">
      <c r="A30" s="298" t="s">
        <v>2389</v>
      </c>
      <c r="B30" s="253" t="s">
        <v>2390</v>
      </c>
      <c r="C30" s="278">
        <f>ROUND(F30/(1+'数据-取费表'!C42),4)</f>
        <v>5.33E-2</v>
      </c>
      <c r="D30" s="279" t="s">
        <v>2385</v>
      </c>
      <c r="E30" s="284"/>
      <c r="F30" s="280">
        <f>'数据-取费表'!B41</f>
        <v>5.6000000000000001E-2</v>
      </c>
      <c r="G30" s="277" t="s">
        <v>2391</v>
      </c>
    </row>
    <row r="31" spans="1:7" ht="16.5" customHeight="1">
      <c r="A31" s="252">
        <v>1</v>
      </c>
      <c r="B31" s="253" t="s">
        <v>2392</v>
      </c>
      <c r="C31" s="254">
        <f ca="1">ROUND((C5+C19+C20+C22+C27)/(1-C21-D22-D27-C30),0)</f>
        <v>14564</v>
      </c>
      <c r="D31" s="273"/>
      <c r="E31" s="254"/>
      <c r="F31" s="293"/>
      <c r="G31" s="277" t="s">
        <v>2393</v>
      </c>
    </row>
    <row r="32" spans="1:7" s="251" customFormat="1" ht="15.75">
      <c r="A32" s="295" t="s">
        <v>2394</v>
      </c>
      <c r="B32" s="296"/>
      <c r="C32" s="296"/>
      <c r="D32" s="296"/>
      <c r="E32" s="296"/>
      <c r="F32" s="296"/>
      <c r="G32" s="297"/>
    </row>
    <row r="33" spans="1:7" s="257" customFormat="1" ht="13.5" customHeight="1">
      <c r="A33" s="298" t="s">
        <v>782</v>
      </c>
      <c r="B33" s="253" t="s">
        <v>2395</v>
      </c>
      <c r="C33" s="299">
        <f ca="1">SUM(C34:C38)</f>
        <v>619</v>
      </c>
      <c r="D33" s="275"/>
      <c r="E33" s="255"/>
      <c r="F33" s="284"/>
      <c r="G33" s="277"/>
    </row>
    <row r="34" spans="1:7" s="301" customFormat="1" ht="13.5" customHeight="1">
      <c r="A34" s="953" t="s">
        <v>791</v>
      </c>
      <c r="B34" s="258" t="s">
        <v>2396</v>
      </c>
      <c r="C34" s="263">
        <f ca="1">IF(B1="",IF(F34=100%,'数据-取费表'!M16,'数据-取费表'!O16),IF(F34=100%,INDIRECT("'数据-取费表'!m"&amp;$G$1)+INDIRECT("'数据-取费表'!t"&amp;$G$1),INDIRECT("'数据-取费表'!o"&amp;$G$1)+INDIRECT("'数据-取费表'!aq"&amp;$G$1)))</f>
        <v>546</v>
      </c>
      <c r="D34" s="260"/>
      <c r="E34" s="263"/>
      <c r="F34" s="300">
        <f ca="1">IF('数据-取费表'!B24=0,1,IF(B1="",'数据-取费表'!N16,INDIRECT("'数据-取费表'!n"&amp;$G$1)))</f>
        <v>0.05</v>
      </c>
      <c r="G34" s="262" t="s">
        <v>2397</v>
      </c>
    </row>
    <row r="35" spans="1:7" ht="13.5" customHeight="1">
      <c r="A35" s="953" t="s">
        <v>796</v>
      </c>
      <c r="B35" s="258" t="s">
        <v>2398</v>
      </c>
      <c r="C35" s="263">
        <f ca="1">ROUND(C34*F35,0)</f>
        <v>16</v>
      </c>
      <c r="D35" s="263"/>
      <c r="E35" s="263"/>
      <c r="F35" s="302">
        <f>'数据-取费表'!B33</f>
        <v>0.03</v>
      </c>
      <c r="G35" s="262" t="s">
        <v>2399</v>
      </c>
    </row>
    <row r="36" spans="1:7" ht="24">
      <c r="A36" s="953" t="s">
        <v>797</v>
      </c>
      <c r="B36" s="258" t="s">
        <v>2400</v>
      </c>
      <c r="C36" s="263">
        <f ca="1">ROUND(IF(B1="",SUMIF('数据-取费表'!C:C,"住宅",IF(F34=100%,'数据-取费表'!M:M,'数据-取费表'!O:O))*F36,IF(INDIRECT("'数据-取费表'!c"&amp;$G$1)="住宅",IF(F34=100%,INDIRECT("'数据-取费表'!m"&amp;$G$1)*F36,INDIRECT("'数据-取费表'!o"&amp;$G$1)*F36),0)),0)</f>
        <v>13</v>
      </c>
      <c r="D36" s="263"/>
      <c r="E36" s="263"/>
      <c r="F36" s="302">
        <f>'数据-取费表'!B34</f>
        <v>0.03</v>
      </c>
      <c r="G36" s="303" t="s">
        <v>2401</v>
      </c>
    </row>
    <row r="37" spans="1:7" s="301" customFormat="1" ht="13.5" customHeight="1">
      <c r="A37" s="953" t="s">
        <v>798</v>
      </c>
      <c r="B37" s="258" t="s">
        <v>2402</v>
      </c>
      <c r="C37" s="292">
        <f ca="1">ROUND(E37*D37*F34/10000,0)</f>
        <v>36</v>
      </c>
      <c r="D37" s="260">
        <f ca="1">D19</f>
        <v>36223.67</v>
      </c>
      <c r="E37" s="292">
        <f>'数据-取费表'!B35</f>
        <v>200</v>
      </c>
      <c r="F37" s="302"/>
      <c r="G37" s="304" t="s">
        <v>2403</v>
      </c>
    </row>
    <row r="38" spans="1:7" ht="13.5" customHeight="1">
      <c r="A38" s="953" t="s">
        <v>799</v>
      </c>
      <c r="B38" s="258" t="s">
        <v>2404</v>
      </c>
      <c r="C38" s="263">
        <f ca="1">ROUND(C34*F38,0)</f>
        <v>8</v>
      </c>
      <c r="D38" s="263"/>
      <c r="E38" s="263"/>
      <c r="F38" s="302">
        <f>'数据-取费表'!B36</f>
        <v>1.4999999999999999E-2</v>
      </c>
      <c r="G38" s="262" t="s">
        <v>2399</v>
      </c>
    </row>
    <row r="39" spans="1:7" s="257" customFormat="1" ht="13.5" customHeight="1">
      <c r="A39" s="298" t="s">
        <v>2405</v>
      </c>
      <c r="B39" s="253" t="s">
        <v>2406</v>
      </c>
      <c r="C39" s="275">
        <f ca="1">ROUND(C33*F20,0)</f>
        <v>9</v>
      </c>
      <c r="D39" s="275"/>
      <c r="E39" s="275"/>
      <c r="F39" s="276"/>
      <c r="G39" s="277" t="s">
        <v>2407</v>
      </c>
    </row>
    <row r="40" spans="1:7" s="257" customFormat="1" ht="13.5" customHeight="1">
      <c r="A40" s="298" t="s">
        <v>2408</v>
      </c>
      <c r="B40" s="253" t="s">
        <v>2409</v>
      </c>
      <c r="C40" s="1730">
        <f>F21</f>
        <v>0.02</v>
      </c>
      <c r="D40" s="279" t="s">
        <v>2410</v>
      </c>
      <c r="E40" s="275"/>
      <c r="F40" s="276"/>
      <c r="G40" s="277" t="s">
        <v>2411</v>
      </c>
    </row>
    <row r="41" spans="1:7" s="257" customFormat="1" ht="13.5" customHeight="1">
      <c r="A41" s="298" t="s">
        <v>2412</v>
      </c>
      <c r="B41" s="253" t="s">
        <v>2413</v>
      </c>
      <c r="C41" s="275">
        <f ca="1">ROUND(SUM(C42:C43),0)</f>
        <v>1</v>
      </c>
      <c r="D41" s="278">
        <f ca="1">C44</f>
        <v>0</v>
      </c>
      <c r="E41" s="279" t="s">
        <v>2410</v>
      </c>
      <c r="F41" s="280"/>
      <c r="G41" s="277" t="str">
        <f>IF('数据-取费表'!B22&lt;=1,"单利计息","复利计息")</f>
        <v>复利计息</v>
      </c>
    </row>
    <row r="42" spans="1:7" ht="13.5" customHeight="1">
      <c r="A42" s="953" t="s">
        <v>791</v>
      </c>
      <c r="B42" s="258" t="s">
        <v>2414</v>
      </c>
      <c r="C42" s="281">
        <f ca="1">ROUND(IF('数据-取费表'!B22&lt;=1,C33*F22*'数据-取费表'!B21/2,C33*(POWER((1+F22),'数据-取费表'!B21/2)-1)),0)</f>
        <v>1</v>
      </c>
      <c r="D42" s="281"/>
      <c r="E42" s="281"/>
      <c r="F42" s="282"/>
      <c r="G42" s="3154" t="s">
        <v>2415</v>
      </c>
    </row>
    <row r="43" spans="1:7" ht="13.5" customHeight="1">
      <c r="A43" s="953" t="s">
        <v>792</v>
      </c>
      <c r="B43" s="258" t="s">
        <v>2416</v>
      </c>
      <c r="C43" s="281">
        <f ca="1">ROUND(IF('数据-取费表'!B22&lt;=1,C39*F22*'数据-取费表'!B21/2,C39*(POWER((1+F22),'数据-取费表'!B21/2)-1)),0)</f>
        <v>0</v>
      </c>
      <c r="D43" s="281"/>
      <c r="E43" s="281"/>
      <c r="F43" s="282"/>
      <c r="G43" s="3155"/>
    </row>
    <row r="44" spans="1:7" ht="13.5" customHeight="1">
      <c r="A44" s="953" t="s">
        <v>793</v>
      </c>
      <c r="B44" s="258" t="s">
        <v>2417</v>
      </c>
      <c r="C44" s="281">
        <f ca="1">ROUND(IF('数据-取费表'!B22&lt;=1,C40*F22*'数据-取费表'!B21/2,C40*(POWER((1+F22),'数据-取费表'!B21/2)-1)),4)</f>
        <v>0</v>
      </c>
      <c r="D44" s="281"/>
      <c r="E44" s="281"/>
      <c r="F44" s="282"/>
      <c r="G44" s="3156"/>
    </row>
    <row r="45" spans="1:7" s="257" customFormat="1" ht="13.5" customHeight="1">
      <c r="A45" s="298" t="s">
        <v>2418</v>
      </c>
      <c r="B45" s="287" t="s">
        <v>2384</v>
      </c>
      <c r="C45" s="288">
        <f ca="1">C46</f>
        <v>94</v>
      </c>
      <c r="D45" s="278">
        <f ca="1">C47</f>
        <v>3.0000000000000001E-3</v>
      </c>
      <c r="E45" s="279" t="s">
        <v>2410</v>
      </c>
      <c r="F45" s="289"/>
      <c r="G45" s="290" t="s">
        <v>2419</v>
      </c>
    </row>
    <row r="46" spans="1:7" s="257" customFormat="1" ht="13.5" customHeight="1">
      <c r="A46" s="953" t="s">
        <v>791</v>
      </c>
      <c r="B46" s="291" t="s">
        <v>2420</v>
      </c>
      <c r="C46" s="292">
        <f ca="1">ROUND((C33+C39)*F27,0)</f>
        <v>94</v>
      </c>
      <c r="D46" s="306"/>
      <c r="E46" s="279"/>
      <c r="F46" s="289"/>
      <c r="G46" s="290"/>
    </row>
    <row r="47" spans="1:7" s="257" customFormat="1" ht="13.5" customHeight="1">
      <c r="A47" s="953" t="s">
        <v>792</v>
      </c>
      <c r="B47" s="291" t="s">
        <v>2421</v>
      </c>
      <c r="C47" s="281">
        <f ca="1">ROUND(C40*F27,4)</f>
        <v>3.0000000000000001E-3</v>
      </c>
      <c r="D47" s="306"/>
      <c r="E47" s="279"/>
      <c r="F47" s="289"/>
      <c r="G47" s="290"/>
    </row>
    <row r="48" spans="1:7" s="257" customFormat="1" ht="13.5" customHeight="1">
      <c r="A48" s="298" t="s">
        <v>2383</v>
      </c>
      <c r="B48" s="253" t="s">
        <v>2422</v>
      </c>
      <c r="C48" s="1730">
        <f>ROUND(F30/(1+'数据-取费表'!C42),4)</f>
        <v>5.33E-2</v>
      </c>
      <c r="D48" s="279" t="s">
        <v>2410</v>
      </c>
      <c r="E48" s="275"/>
      <c r="F48" s="280"/>
      <c r="G48" s="277" t="s">
        <v>2423</v>
      </c>
    </row>
    <row r="49" spans="1:7" ht="16.5" customHeight="1">
      <c r="A49" s="298" t="s">
        <v>2389</v>
      </c>
      <c r="B49" s="253" t="s">
        <v>2424</v>
      </c>
      <c r="C49" s="275">
        <f ca="1">ROUND((C33+C39+C41+C45)/(1-C40-D41-D45-C48),0)</f>
        <v>783</v>
      </c>
      <c r="D49" s="275"/>
      <c r="E49" s="275"/>
      <c r="F49" s="307"/>
      <c r="G49" s="277" t="s">
        <v>2425</v>
      </c>
    </row>
    <row r="50" spans="1:7" s="301" customFormat="1" ht="24">
      <c r="A50" s="298" t="s">
        <v>2426</v>
      </c>
      <c r="B50" s="253" t="s">
        <v>2427</v>
      </c>
      <c r="C50" s="275"/>
      <c r="D50" s="275"/>
      <c r="E50" s="275"/>
      <c r="F50" s="307">
        <f>IF('数据-取费表'!B24=0,'数据-取费表'!N16,1)</f>
        <v>1</v>
      </c>
      <c r="G50" s="290" t="s">
        <v>2428</v>
      </c>
    </row>
    <row r="51" spans="1:7" ht="16.5" customHeight="1">
      <c r="A51" s="298" t="s">
        <v>2429</v>
      </c>
      <c r="B51" s="253" t="s">
        <v>2430</v>
      </c>
      <c r="C51" s="275">
        <f ca="1">ROUND(C49*F50,0)</f>
        <v>783</v>
      </c>
      <c r="D51" s="275"/>
      <c r="E51" s="275"/>
      <c r="F51" s="307"/>
      <c r="G51" s="277" t="s">
        <v>2431</v>
      </c>
    </row>
    <row r="52" spans="1:7" s="251" customFormat="1" ht="16.5" thickBot="1">
      <c r="A52" s="308" t="s">
        <v>2432</v>
      </c>
      <c r="B52" s="309"/>
      <c r="C52" s="310">
        <f ca="1">C31+C51</f>
        <v>15347</v>
      </c>
      <c r="D52" s="309"/>
      <c r="E52" s="309"/>
      <c r="F52" s="309"/>
      <c r="G52" s="311"/>
    </row>
    <row r="55" spans="1:7" ht="15">
      <c r="B55" s="313" t="s">
        <v>2433</v>
      </c>
      <c r="C55" s="314"/>
    </row>
    <row r="56" spans="1:7">
      <c r="B56" s="316" t="s">
        <v>1514</v>
      </c>
      <c r="C56" s="318">
        <f ca="1">1-C57</f>
        <v>0.94899999999999995</v>
      </c>
    </row>
    <row r="57" spans="1:7">
      <c r="B57" s="316" t="s">
        <v>1515</v>
      </c>
      <c r="C57" s="317">
        <f ca="1">ROUND(C51/C52,3)</f>
        <v>5.0999999999999997E-2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8" t="str">
        <f>项目基本情况!B1</f>
        <v>青岛市黄岛区滨海大道以南、石雀滩路北D地块1宗住宅用途出让国有建设用地使用权及在建建筑物房地产抵押价值预评估</v>
      </c>
      <c r="C37" s="2968"/>
      <c r="D37" s="2968"/>
      <c r="E37" s="2968"/>
      <c r="F37" s="2968"/>
      <c r="G37" s="2968"/>
      <c r="H37" s="2968"/>
      <c r="I37" s="2968"/>
    </row>
    <row r="38" spans="1:9">
      <c r="A38" s="1018"/>
      <c r="B38" s="1018"/>
    </row>
    <row r="39" spans="1:9">
      <c r="A39" s="1016" t="s">
        <v>818</v>
      </c>
      <c r="B39" s="1016" t="s">
        <v>820</v>
      </c>
    </row>
    <row r="40" spans="1:9">
      <c r="A40" s="1016"/>
      <c r="B40" s="1944" t="str">
        <f>项目基本情况!B5</f>
        <v>青岛福瀛房地产开发有限公司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王鹏（注册号：1120050019)、郑燚（注册号：1120070131)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B1" sqref="B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2332</v>
      </c>
      <c r="B1" s="1939"/>
      <c r="C1" s="2554" t="s">
        <v>2434</v>
      </c>
      <c r="D1" s="241"/>
      <c r="E1" s="241"/>
      <c r="F1" s="241"/>
      <c r="G1" s="1381">
        <f>MATCH(B1,'数据-取费表'!A6:A16,0)+5</f>
        <v>7</v>
      </c>
      <c r="H1" s="1284" t="str">
        <f>IF(ISERROR(FIND("住宅",B1)),"非住宅","住宅")</f>
        <v>非住宅</v>
      </c>
    </row>
    <row r="2" spans="1:8" s="243" customFormat="1" ht="18" customHeight="1">
      <c r="A2" s="244" t="s">
        <v>2333</v>
      </c>
      <c r="B2" s="245">
        <f ca="1">ROUND(IF(D2="——",C52/10000,C52/10000-E2),0)</f>
        <v>35700</v>
      </c>
      <c r="C2" s="242" t="s">
        <v>2334</v>
      </c>
      <c r="D2" s="2548" t="s">
        <v>70</v>
      </c>
      <c r="E2" s="1442">
        <f ca="1">SUMIF(INDIRECT("'"&amp;G2&amp;"'"&amp;"!A:A"),"承租人权益价值",INDIRECT("'"&amp;G2&amp;"'"&amp;"!c:c"))</f>
        <v>0</v>
      </c>
      <c r="F2" s="2549" t="s">
        <v>2334</v>
      </c>
      <c r="G2" s="2550" t="s">
        <v>3151</v>
      </c>
    </row>
    <row r="3" spans="1:8" s="243" customFormat="1" ht="18" customHeight="1" thickBot="1">
      <c r="A3" s="246" t="s">
        <v>2335</v>
      </c>
      <c r="B3" s="247">
        <f ca="1">ROUND(B2*10000/(IF(B1="",'数据-汇总表'!E3,INDIRECT("'数据-取费表'!k"&amp;$G$1))),0)</f>
        <v>9855</v>
      </c>
      <c r="C3" s="242" t="s">
        <v>2336</v>
      </c>
      <c r="D3" s="242"/>
      <c r="E3" s="242"/>
      <c r="F3" s="242"/>
      <c r="G3" s="242"/>
    </row>
    <row r="4" spans="1:8" s="251" customFormat="1" ht="15.75">
      <c r="A4" s="248" t="s">
        <v>2337</v>
      </c>
      <c r="B4" s="249"/>
      <c r="C4" s="249"/>
      <c r="D4" s="249"/>
      <c r="E4" s="249"/>
      <c r="F4" s="249"/>
      <c r="G4" s="250"/>
    </row>
    <row r="5" spans="1:8" s="257" customFormat="1" ht="13.5" customHeight="1">
      <c r="A5" s="298" t="s">
        <v>2338</v>
      </c>
      <c r="B5" s="253" t="s">
        <v>2339</v>
      </c>
      <c r="C5" s="254">
        <f ca="1">C6+C7+C8</f>
        <v>138283433</v>
      </c>
      <c r="D5" s="254" t="s">
        <v>2340</v>
      </c>
      <c r="E5" s="255" t="s">
        <v>2341</v>
      </c>
      <c r="F5" s="255" t="s">
        <v>2342</v>
      </c>
      <c r="G5" s="256"/>
    </row>
    <row r="6" spans="1:8" s="257" customFormat="1" ht="13.5" customHeight="1">
      <c r="A6" s="951" t="s">
        <v>2343</v>
      </c>
      <c r="B6" s="258" t="s">
        <v>2344</v>
      </c>
      <c r="C6" s="259">
        <f>ROUND('土地比较法-住宅、综合'!B2*10000,2)</f>
        <v>120130000</v>
      </c>
      <c r="D6" s="260"/>
      <c r="E6" s="261"/>
      <c r="F6" s="261"/>
      <c r="G6" s="262"/>
    </row>
    <row r="7" spans="1:8" s="257" customFormat="1" ht="13.5" customHeight="1">
      <c r="A7" s="951" t="s">
        <v>2345</v>
      </c>
      <c r="B7" s="258" t="s">
        <v>2346</v>
      </c>
      <c r="C7" s="263">
        <f>ROUND(C6*F7,0)</f>
        <v>3663965</v>
      </c>
      <c r="D7" s="263"/>
      <c r="E7" s="261"/>
      <c r="F7" s="264">
        <f>'数据-取费表'!B48+'数据-取费表'!B49</f>
        <v>3.0499999999999999E-2</v>
      </c>
      <c r="G7" s="262"/>
    </row>
    <row r="8" spans="1:8" s="266" customFormat="1">
      <c r="A8" s="951" t="s">
        <v>2347</v>
      </c>
      <c r="B8" s="258" t="s">
        <v>2348</v>
      </c>
      <c r="C8" s="263">
        <f ca="1">IF(G8="已包含在土地购买价格中",0,C9+C10)</f>
        <v>14489468</v>
      </c>
      <c r="D8" s="265"/>
      <c r="E8" s="263"/>
      <c r="F8" s="264"/>
      <c r="G8" s="2551"/>
    </row>
    <row r="9" spans="1:8" s="257" customFormat="1" ht="13.5" customHeight="1">
      <c r="A9" s="952" t="s">
        <v>800</v>
      </c>
      <c r="B9" s="267" t="s">
        <v>2349</v>
      </c>
      <c r="C9" s="268">
        <f ca="1">ROUND(D9*E9,0)</f>
        <v>9889972</v>
      </c>
      <c r="D9" s="1034">
        <f ca="1">IF(B1="",'数据-汇总表'!E5,IF(INDIRECT("'数据-取费表'!c"&amp;$G$1)="住宅",INDIRECT("'数据-取费表'!k"&amp;$G$1),0))</f>
        <v>24724.93</v>
      </c>
      <c r="E9" s="268">
        <f>'数据-取费表'!B27</f>
        <v>400</v>
      </c>
      <c r="F9" s="264"/>
      <c r="G9" s="269"/>
    </row>
    <row r="10" spans="1:8" s="257" customFormat="1" ht="13.5" customHeight="1">
      <c r="A10" s="952" t="s">
        <v>801</v>
      </c>
      <c r="B10" s="267" t="s">
        <v>2351</v>
      </c>
      <c r="C10" s="268">
        <f ca="1">ROUND(D10*E10,0)</f>
        <v>4599496</v>
      </c>
      <c r="D10" s="1034">
        <f ca="1">IF(B1="",'数据-汇总表'!E6,IF(INDIRECT("'数据-取费表'!c"&amp;$G$1)="住宅",INDIRECT("'数据-取费表'!s"&amp;$G$1),INDIRECT("'数据-取费表'!k"&amp;$G$1)+INDIRECT("'数据-取费表'!s"&amp;$G$1)))</f>
        <v>11498.739999999998</v>
      </c>
      <c r="E10" s="268">
        <f>'数据-取费表'!B28</f>
        <v>400</v>
      </c>
      <c r="F10" s="264"/>
      <c r="G10" s="269"/>
    </row>
    <row r="11" spans="1:8" s="257" customFormat="1" ht="13.5" hidden="1" customHeight="1">
      <c r="A11" s="270" t="s">
        <v>7</v>
      </c>
      <c r="B11" s="258" t="s">
        <v>2352</v>
      </c>
      <c r="C11" s="254"/>
      <c r="D11" s="1036"/>
      <c r="E11" s="261"/>
      <c r="F11" s="261"/>
      <c r="G11" s="262"/>
    </row>
    <row r="12" spans="1:8" s="257" customFormat="1" ht="13.5" hidden="1" customHeight="1">
      <c r="A12" s="270" t="s">
        <v>8</v>
      </c>
      <c r="B12" s="258" t="s">
        <v>2435</v>
      </c>
      <c r="C12" s="254">
        <v>0</v>
      </c>
      <c r="D12" s="1036"/>
      <c r="E12" s="271"/>
      <c r="F12" s="264">
        <v>3.0499999999999999E-2</v>
      </c>
      <c r="G12" s="262"/>
    </row>
    <row r="13" spans="1:8" s="257" customFormat="1" ht="13.5" hidden="1" customHeight="1">
      <c r="A13" s="270" t="s">
        <v>9</v>
      </c>
      <c r="B13" s="258" t="s">
        <v>2436</v>
      </c>
      <c r="C13" s="254"/>
      <c r="D13" s="1036"/>
      <c r="E13" s="261"/>
      <c r="F13" s="261"/>
      <c r="G13" s="262"/>
    </row>
    <row r="14" spans="1:8" s="257" customFormat="1" ht="13.5" hidden="1" customHeight="1">
      <c r="A14" s="270" t="s">
        <v>10</v>
      </c>
      <c r="B14" s="258" t="s">
        <v>2348</v>
      </c>
      <c r="C14" s="254"/>
      <c r="D14" s="1036"/>
      <c r="E14" s="261"/>
      <c r="F14" s="261"/>
      <c r="G14" s="262" t="s">
        <v>2437</v>
      </c>
    </row>
    <row r="15" spans="1:8" s="257" customFormat="1" ht="13.5" hidden="1" customHeight="1">
      <c r="A15" s="270" t="s">
        <v>11</v>
      </c>
      <c r="B15" s="258" t="s">
        <v>2438</v>
      </c>
      <c r="C15" s="263"/>
      <c r="D15" s="1036"/>
      <c r="E15" s="261"/>
      <c r="F15" s="261"/>
      <c r="G15" s="262" t="s">
        <v>2439</v>
      </c>
    </row>
    <row r="16" spans="1:8" s="257" customFormat="1" ht="13.5" hidden="1" customHeight="1">
      <c r="A16" s="270" t="s">
        <v>12</v>
      </c>
      <c r="B16" s="258" t="s">
        <v>2348</v>
      </c>
      <c r="C16" s="263"/>
      <c r="D16" s="1036"/>
      <c r="E16" s="261"/>
      <c r="F16" s="261"/>
      <c r="G16" s="262"/>
    </row>
    <row r="17" spans="1:7" s="257" customFormat="1" ht="13.5" hidden="1" customHeight="1">
      <c r="A17" s="270" t="s">
        <v>13</v>
      </c>
      <c r="B17" s="258" t="s">
        <v>2440</v>
      </c>
      <c r="C17" s="272"/>
      <c r="D17" s="1037"/>
      <c r="E17" s="272"/>
      <c r="F17" s="272"/>
      <c r="G17" s="262" t="s">
        <v>2439</v>
      </c>
    </row>
    <row r="18" spans="1:7" s="257" customFormat="1" ht="13.5" hidden="1" customHeight="1">
      <c r="A18" s="270" t="s">
        <v>14</v>
      </c>
      <c r="B18" s="258" t="s">
        <v>2441</v>
      </c>
      <c r="C18" s="263">
        <v>0</v>
      </c>
      <c r="D18" s="1036"/>
      <c r="E18" s="261"/>
      <c r="F18" s="264">
        <v>3.0499999999999999E-2</v>
      </c>
      <c r="G18" s="262" t="s">
        <v>2442</v>
      </c>
    </row>
    <row r="19" spans="1:7" s="266" customFormat="1" ht="13.5" customHeight="1">
      <c r="A19" s="298" t="s">
        <v>2443</v>
      </c>
      <c r="B19" s="253" t="s">
        <v>2444</v>
      </c>
      <c r="C19" s="254">
        <f ca="1">IF(G19="已包含在土地取得成本中","0",ROUND(D19*E19,0))</f>
        <v>7244734</v>
      </c>
      <c r="D19" s="1038">
        <f ca="1">D9+D10</f>
        <v>36223.67</v>
      </c>
      <c r="E19" s="254">
        <f>'数据-取费表'!B31</f>
        <v>200</v>
      </c>
      <c r="F19" s="274"/>
      <c r="G19" s="2551"/>
    </row>
    <row r="20" spans="1:7" s="257" customFormat="1" ht="13.5" customHeight="1">
      <c r="A20" s="298" t="s">
        <v>2445</v>
      </c>
      <c r="B20" s="253" t="s">
        <v>2446</v>
      </c>
      <c r="C20" s="275">
        <f ca="1">ROUND((C5+C19)*F20,0)</f>
        <v>2182923</v>
      </c>
      <c r="D20" s="275"/>
      <c r="E20" s="275"/>
      <c r="F20" s="276">
        <f>'数据-取费表'!B37</f>
        <v>1.4999999999999999E-2</v>
      </c>
      <c r="G20" s="277" t="s">
        <v>2447</v>
      </c>
    </row>
    <row r="21" spans="1:7" s="257" customFormat="1" ht="13.5" customHeight="1">
      <c r="A21" s="298" t="s">
        <v>2448</v>
      </c>
      <c r="B21" s="253" t="s">
        <v>2449</v>
      </c>
      <c r="C21" s="278">
        <f>F21</f>
        <v>0.02</v>
      </c>
      <c r="D21" s="279" t="s">
        <v>2450</v>
      </c>
      <c r="E21" s="275"/>
      <c r="F21" s="276">
        <f>'数据-取费表'!B38</f>
        <v>0.02</v>
      </c>
      <c r="G21" s="277" t="s">
        <v>2451</v>
      </c>
    </row>
    <row r="22" spans="1:7" s="257" customFormat="1" ht="13.5" customHeight="1">
      <c r="A22" s="298" t="s">
        <v>2452</v>
      </c>
      <c r="B22" s="253" t="s">
        <v>2453</v>
      </c>
      <c r="C22" s="1382">
        <f ca="1">ROUND(SUM(C23:C25),0)</f>
        <v>10568368</v>
      </c>
      <c r="D22" s="278">
        <f ca="1">C26</f>
        <v>6.9999999999999999E-4</v>
      </c>
      <c r="E22" s="279" t="s">
        <v>2450</v>
      </c>
      <c r="F22" s="280">
        <f ca="1">'数据-取费表'!B40</f>
        <v>4.7500000000000001E-2</v>
      </c>
      <c r="G22" s="277" t="str">
        <f>IF('数据-取费表'!B22&lt;=1,"单利计息","复利计息")</f>
        <v>复利计息</v>
      </c>
    </row>
    <row r="23" spans="1:7" s="257" customFormat="1" ht="13.5" customHeight="1">
      <c r="A23" s="953" t="s">
        <v>2343</v>
      </c>
      <c r="B23" s="258" t="s">
        <v>2454</v>
      </c>
      <c r="C23" s="1383">
        <f ca="1">ROUND(IF('数据-取费表'!B22&lt;=1,C5*F22*'数据-取费表'!B22,C5*(POWER((1+F22),'数据-取费表'!B22)-1)),0)</f>
        <v>9968785</v>
      </c>
      <c r="D23" s="281"/>
      <c r="E23" s="281"/>
      <c r="F23" s="282"/>
      <c r="G23" s="283" t="s">
        <v>2455</v>
      </c>
    </row>
    <row r="24" spans="1:7" s="257" customFormat="1" ht="13.5" customHeight="1">
      <c r="A24" s="953" t="s">
        <v>2345</v>
      </c>
      <c r="B24" s="258" t="s">
        <v>2456</v>
      </c>
      <c r="C24" s="1383">
        <f ca="1">ROUND(IF('数据-取费表'!B22&lt;=1,C19*F22*('数据-取费表'!B19/2+'数据-取费表'!B20),C19*(POWER((1+F22),('数据-取费表'!B19/2+'数据-取费表'!B20))-1)),0)</f>
        <v>522269</v>
      </c>
      <c r="D24" s="281"/>
      <c r="E24" s="281"/>
      <c r="F24" s="282"/>
      <c r="G24" s="283" t="s">
        <v>2457</v>
      </c>
    </row>
    <row r="25" spans="1:7" s="257" customFormat="1" ht="24">
      <c r="A25" s="953" t="s">
        <v>2347</v>
      </c>
      <c r="B25" s="258" t="s">
        <v>2458</v>
      </c>
      <c r="C25" s="1383">
        <f ca="1">ROUND(IF('数据-取费表'!B22&lt;=1,C20*F22*'数据-取费表'!B22/2,C20*(POWER((1+F22),'数据-取费表'!B22/2)-1)),0)</f>
        <v>77314</v>
      </c>
      <c r="D25" s="281"/>
      <c r="E25" s="284"/>
      <c r="F25" s="282"/>
      <c r="G25" s="285" t="s">
        <v>2459</v>
      </c>
    </row>
    <row r="26" spans="1:7" s="257" customFormat="1">
      <c r="A26" s="953" t="s">
        <v>795</v>
      </c>
      <c r="B26" s="258" t="s">
        <v>2382</v>
      </c>
      <c r="C26" s="281">
        <f ca="1">ROUND(IF('数据-取费表'!B22&lt;=1,F21*F22*'数据-取费表'!B22/2,F21*(POWER((1+F22),'数据-取费表'!B22/2)-1)),4)</f>
        <v>6.9999999999999999E-4</v>
      </c>
      <c r="D26" s="281"/>
      <c r="E26" s="284"/>
      <c r="F26" s="282"/>
      <c r="G26" s="286"/>
    </row>
    <row r="27" spans="1:7" s="257" customFormat="1" ht="24.75">
      <c r="A27" s="298" t="s">
        <v>2383</v>
      </c>
      <c r="B27" s="287" t="s">
        <v>2384</v>
      </c>
      <c r="C27" s="288">
        <f ca="1">C28</f>
        <v>22156664</v>
      </c>
      <c r="D27" s="278">
        <f ca="1">C29</f>
        <v>3.0000000000000001E-3</v>
      </c>
      <c r="E27" s="279" t="s">
        <v>2385</v>
      </c>
      <c r="F27" s="289">
        <f ca="1">IF(B1="",'数据-取费表'!Q16,INDIRECT("'数据-取费表'!q"&amp;$G$1))</f>
        <v>0.15</v>
      </c>
      <c r="G27" s="290" t="s">
        <v>2386</v>
      </c>
    </row>
    <row r="28" spans="1:7" s="257" customFormat="1" ht="13.5" customHeight="1">
      <c r="A28" s="953" t="s">
        <v>791</v>
      </c>
      <c r="B28" s="291" t="s">
        <v>2387</v>
      </c>
      <c r="C28" s="292">
        <f ca="1">ROUND((C5+C19+C20)*F27,0)</f>
        <v>22156664</v>
      </c>
      <c r="D28" s="278"/>
      <c r="E28" s="279"/>
      <c r="F28" s="289"/>
      <c r="G28" s="290"/>
    </row>
    <row r="29" spans="1:7" s="257" customFormat="1" ht="13.5" customHeight="1">
      <c r="A29" s="953" t="s">
        <v>792</v>
      </c>
      <c r="B29" s="291" t="s">
        <v>2388</v>
      </c>
      <c r="C29" s="281">
        <f ca="1">ROUND(C21*F27,4)</f>
        <v>3.0000000000000001E-3</v>
      </c>
      <c r="D29" s="278"/>
      <c r="E29" s="279"/>
      <c r="F29" s="289"/>
      <c r="G29" s="290"/>
    </row>
    <row r="30" spans="1:7" s="257" customFormat="1" ht="13.5" customHeight="1">
      <c r="A30" s="298" t="s">
        <v>2389</v>
      </c>
      <c r="B30" s="253" t="s">
        <v>2390</v>
      </c>
      <c r="C30" s="278">
        <f>ROUND(F30/(1+'数据-取费表'!C42),4)</f>
        <v>5.33E-2</v>
      </c>
      <c r="D30" s="279" t="s">
        <v>2385</v>
      </c>
      <c r="E30" s="284"/>
      <c r="F30" s="280">
        <f>'数据-取费表'!B41</f>
        <v>5.6000000000000001E-2</v>
      </c>
      <c r="G30" s="277" t="s">
        <v>2391</v>
      </c>
    </row>
    <row r="31" spans="1:7" ht="16.5" customHeight="1">
      <c r="A31" s="252">
        <v>1</v>
      </c>
      <c r="B31" s="253" t="s">
        <v>2392</v>
      </c>
      <c r="C31" s="254">
        <f ca="1">ROUND((C5+C19+C20+C22+C27)/(1-C21-D22-D27-C30),0)</f>
        <v>195488756</v>
      </c>
      <c r="D31" s="273"/>
      <c r="E31" s="254"/>
      <c r="F31" s="293"/>
      <c r="G31" s="277" t="s">
        <v>2393</v>
      </c>
    </row>
    <row r="32" spans="1:7" s="251" customFormat="1" ht="15.75">
      <c r="A32" s="295" t="s">
        <v>2460</v>
      </c>
      <c r="B32" s="296"/>
      <c r="C32" s="296"/>
      <c r="D32" s="296"/>
      <c r="E32" s="296"/>
      <c r="F32" s="296"/>
      <c r="G32" s="297"/>
    </row>
    <row r="33" spans="1:7" s="257" customFormat="1" ht="13.5" customHeight="1">
      <c r="A33" s="298" t="s">
        <v>782</v>
      </c>
      <c r="B33" s="253" t="s">
        <v>2461</v>
      </c>
      <c r="C33" s="299">
        <f ca="1">SUM(C34:C38)</f>
        <v>123898835</v>
      </c>
      <c r="D33" s="275"/>
      <c r="E33" s="255"/>
      <c r="F33" s="284"/>
      <c r="G33" s="277"/>
    </row>
    <row r="34" spans="1:7" s="301" customFormat="1" ht="13.5" customHeight="1">
      <c r="A34" s="953" t="s">
        <v>791</v>
      </c>
      <c r="B34" s="258" t="s">
        <v>2396</v>
      </c>
      <c r="C34" s="263">
        <f ca="1">ROUND(IF(B1="",SUMPRODUCT('数据-取费表'!K6:K14,'数据-取费表'!L6:L14),INDIRECT("'数据-取费表'!l"&amp;$G$1)*INDIRECT("'数据-取费表'!k"&amp;$G$1)+'数据-取费表'!L14*INDIRECT("'数据-取费表'!S"&amp;$G$1)),0)</f>
        <v>109146395</v>
      </c>
      <c r="D34" s="260"/>
      <c r="E34" s="263"/>
      <c r="F34" s="300"/>
      <c r="G34" s="262"/>
    </row>
    <row r="35" spans="1:7" ht="13.5" customHeight="1">
      <c r="A35" s="953" t="s">
        <v>796</v>
      </c>
      <c r="B35" s="258" t="s">
        <v>2398</v>
      </c>
      <c r="C35" s="263">
        <f ca="1">ROUND(C34*F35,0)</f>
        <v>3274392</v>
      </c>
      <c r="D35" s="263"/>
      <c r="E35" s="263"/>
      <c r="F35" s="302">
        <f>'数据-取费表'!B33</f>
        <v>0.03</v>
      </c>
      <c r="G35" s="262" t="s">
        <v>2399</v>
      </c>
    </row>
    <row r="36" spans="1:7" ht="24">
      <c r="A36" s="953" t="s">
        <v>797</v>
      </c>
      <c r="B36" s="258" t="s">
        <v>2400</v>
      </c>
      <c r="C36" s="263">
        <f ca="1">ROUND(IF(B1="",SUM('数据-取费表'!AP6:AP13)*F36,IF(INDIRECT("'数据-取费表'!c"&amp;$G$1)="住宅",INDIRECT("'数据-取费表'!k"&amp;$G$1)*INDIRECT("'数据-取费表'!l"&amp;$G$1)*F36,0)),0)</f>
        <v>2596118</v>
      </c>
      <c r="D36" s="263"/>
      <c r="E36" s="263"/>
      <c r="F36" s="302">
        <f>'数据-取费表'!B34</f>
        <v>0.03</v>
      </c>
      <c r="G36" s="303" t="s">
        <v>2401</v>
      </c>
    </row>
    <row r="37" spans="1:7" s="301" customFormat="1" ht="13.5" customHeight="1">
      <c r="A37" s="953" t="s">
        <v>798</v>
      </c>
      <c r="B37" s="258" t="s">
        <v>2402</v>
      </c>
      <c r="C37" s="292">
        <f ca="1">ROUND(E37*D37,0)</f>
        <v>7244734</v>
      </c>
      <c r="D37" s="260">
        <f ca="1">D19</f>
        <v>36223.67</v>
      </c>
      <c r="E37" s="292">
        <f>'数据-取费表'!B35</f>
        <v>200</v>
      </c>
      <c r="F37" s="302"/>
      <c r="G37" s="304"/>
    </row>
    <row r="38" spans="1:7" ht="13.5" customHeight="1">
      <c r="A38" s="953" t="s">
        <v>799</v>
      </c>
      <c r="B38" s="258" t="s">
        <v>2404</v>
      </c>
      <c r="C38" s="263">
        <f ca="1">ROUND(C34*F38,0)</f>
        <v>1637196</v>
      </c>
      <c r="D38" s="263"/>
      <c r="E38" s="263"/>
      <c r="F38" s="302">
        <f>'数据-取费表'!B36</f>
        <v>1.4999999999999999E-2</v>
      </c>
      <c r="G38" s="262" t="s">
        <v>2399</v>
      </c>
    </row>
    <row r="39" spans="1:7" s="257" customFormat="1" ht="13.5" customHeight="1">
      <c r="A39" s="298" t="s">
        <v>2405</v>
      </c>
      <c r="B39" s="253" t="s">
        <v>2406</v>
      </c>
      <c r="C39" s="275">
        <f ca="1">ROUND(C33*F20,0)</f>
        <v>1858483</v>
      </c>
      <c r="D39" s="275"/>
      <c r="E39" s="275"/>
      <c r="F39" s="276"/>
      <c r="G39" s="277" t="s">
        <v>2407</v>
      </c>
    </row>
    <row r="40" spans="1:7" s="257" customFormat="1" ht="13.5" customHeight="1">
      <c r="A40" s="298" t="s">
        <v>2408</v>
      </c>
      <c r="B40" s="253" t="s">
        <v>2409</v>
      </c>
      <c r="C40" s="1730">
        <f>F21</f>
        <v>0.02</v>
      </c>
      <c r="D40" s="279" t="s">
        <v>2410</v>
      </c>
      <c r="E40" s="275"/>
      <c r="F40" s="276"/>
      <c r="G40" s="277" t="s">
        <v>2411</v>
      </c>
    </row>
    <row r="41" spans="1:7" s="257" customFormat="1" ht="13.5" customHeight="1">
      <c r="A41" s="298" t="s">
        <v>2412</v>
      </c>
      <c r="B41" s="253" t="s">
        <v>2413</v>
      </c>
      <c r="C41" s="275">
        <f ca="1">ROUND(SUM(C42:C43),0)</f>
        <v>4454017</v>
      </c>
      <c r="D41" s="278">
        <f ca="1">C44</f>
        <v>6.9999999999999999E-4</v>
      </c>
      <c r="E41" s="279" t="s">
        <v>2410</v>
      </c>
      <c r="F41" s="280"/>
      <c r="G41" s="277" t="str">
        <f>IF('数据-取费表'!B22&lt;=1,"单利计息","复利计息")</f>
        <v>复利计息</v>
      </c>
    </row>
    <row r="42" spans="1:7" ht="13.5" customHeight="1">
      <c r="A42" s="953" t="s">
        <v>791</v>
      </c>
      <c r="B42" s="258" t="s">
        <v>2414</v>
      </c>
      <c r="C42" s="281">
        <f ca="1">ROUND(IF('数据-取费表'!B22&lt;=1,C33*F22*'数据-取费表'!B20/2,C33*(POWER((1+F22),'数据-取费表'!B20/2)-1)),0)</f>
        <v>4388194</v>
      </c>
      <c r="D42" s="281"/>
      <c r="E42" s="281"/>
      <c r="F42" s="282"/>
      <c r="G42" s="3154" t="s">
        <v>2462</v>
      </c>
    </row>
    <row r="43" spans="1:7" ht="13.5" customHeight="1">
      <c r="A43" s="953" t="s">
        <v>792</v>
      </c>
      <c r="B43" s="258" t="s">
        <v>2416</v>
      </c>
      <c r="C43" s="281">
        <f ca="1">ROUND(IF('数据-取费表'!B22&lt;=1,C39*F22*'数据-取费表'!B20/2,C39*(POWER((1+F22),'数据-取费表'!B20/2)-1)),0)</f>
        <v>65823</v>
      </c>
      <c r="D43" s="281"/>
      <c r="E43" s="281"/>
      <c r="F43" s="282"/>
      <c r="G43" s="3155"/>
    </row>
    <row r="44" spans="1:7" ht="13.5" customHeight="1">
      <c r="A44" s="953" t="s">
        <v>793</v>
      </c>
      <c r="B44" s="258" t="s">
        <v>2417</v>
      </c>
      <c r="C44" s="281">
        <f ca="1">ROUND(IF('数据-取费表'!B22&lt;=1,C40*F22*'数据-取费表'!B20/2,C40*(POWER((1+F22),'数据-取费表'!B20/2)-1)),4)</f>
        <v>6.9999999999999999E-4</v>
      </c>
      <c r="D44" s="281"/>
      <c r="E44" s="281"/>
      <c r="F44" s="282"/>
      <c r="G44" s="3156"/>
    </row>
    <row r="45" spans="1:7" s="257" customFormat="1" ht="13.5" customHeight="1">
      <c r="A45" s="298" t="s">
        <v>2418</v>
      </c>
      <c r="B45" s="287" t="s">
        <v>2384</v>
      </c>
      <c r="C45" s="288">
        <f ca="1">C46</f>
        <v>18863598</v>
      </c>
      <c r="D45" s="278">
        <f ca="1">C47</f>
        <v>3.0000000000000001E-3</v>
      </c>
      <c r="E45" s="279" t="s">
        <v>2410</v>
      </c>
      <c r="F45" s="289"/>
      <c r="G45" s="290" t="s">
        <v>2419</v>
      </c>
    </row>
    <row r="46" spans="1:7" s="257" customFormat="1" ht="13.5" customHeight="1">
      <c r="A46" s="953" t="s">
        <v>791</v>
      </c>
      <c r="B46" s="291" t="s">
        <v>2420</v>
      </c>
      <c r="C46" s="292">
        <f ca="1">ROUND((C33+C39)*F27,0)</f>
        <v>18863598</v>
      </c>
      <c r="D46" s="306"/>
      <c r="E46" s="279"/>
      <c r="F46" s="289"/>
      <c r="G46" s="290"/>
    </row>
    <row r="47" spans="1:7" s="257" customFormat="1" ht="13.5" customHeight="1">
      <c r="A47" s="953" t="s">
        <v>792</v>
      </c>
      <c r="B47" s="291" t="s">
        <v>2421</v>
      </c>
      <c r="C47" s="281">
        <f ca="1">ROUND(C40*F27,4)</f>
        <v>3.0000000000000001E-3</v>
      </c>
      <c r="D47" s="306"/>
      <c r="E47" s="279"/>
      <c r="F47" s="289"/>
      <c r="G47" s="290"/>
    </row>
    <row r="48" spans="1:7" s="257" customFormat="1" ht="13.5" customHeight="1">
      <c r="A48" s="298" t="s">
        <v>2383</v>
      </c>
      <c r="B48" s="253" t="s">
        <v>2422</v>
      </c>
      <c r="C48" s="305">
        <f>ROUND(F30/(1+'数据-取费表'!C42),4)</f>
        <v>5.33E-2</v>
      </c>
      <c r="D48" s="279" t="s">
        <v>2410</v>
      </c>
      <c r="E48" s="275"/>
      <c r="F48" s="280"/>
      <c r="G48" s="277" t="s">
        <v>2423</v>
      </c>
    </row>
    <row r="49" spans="1:7" ht="16.5" customHeight="1">
      <c r="A49" s="298" t="s">
        <v>2389</v>
      </c>
      <c r="B49" s="253" t="s">
        <v>2463</v>
      </c>
      <c r="C49" s="275">
        <f ca="1">ROUND((C33+C39+C41+C45)/(1-C40-D41-D45-C48),0)</f>
        <v>161511303</v>
      </c>
      <c r="D49" s="275"/>
      <c r="E49" s="275"/>
      <c r="F49" s="307"/>
      <c r="G49" s="277" t="s">
        <v>2425</v>
      </c>
    </row>
    <row r="50" spans="1:7" s="301" customFormat="1">
      <c r="A50" s="298" t="s">
        <v>2426</v>
      </c>
      <c r="B50" s="253" t="s">
        <v>2427</v>
      </c>
      <c r="C50" s="275"/>
      <c r="D50" s="275"/>
      <c r="E50" s="275"/>
      <c r="F50" s="307">
        <f>IF('数据-取费表'!B24=0,'数据-取费表'!N16,1)</f>
        <v>1</v>
      </c>
      <c r="G50" s="290"/>
    </row>
    <row r="51" spans="1:7" ht="16.5" customHeight="1">
      <c r="A51" s="298" t="s">
        <v>2429</v>
      </c>
      <c r="B51" s="253" t="s">
        <v>2464</v>
      </c>
      <c r="C51" s="275">
        <f ca="1">ROUND(C49*F50,0)</f>
        <v>161511303</v>
      </c>
      <c r="D51" s="275"/>
      <c r="E51" s="275"/>
      <c r="F51" s="307"/>
      <c r="G51" s="277" t="s">
        <v>2431</v>
      </c>
    </row>
    <row r="52" spans="1:7" s="251" customFormat="1" ht="16.5" thickBot="1">
      <c r="A52" s="308" t="s">
        <v>2432</v>
      </c>
      <c r="B52" s="309"/>
      <c r="C52" s="310">
        <f ca="1">C31+C51</f>
        <v>357000059</v>
      </c>
      <c r="D52" s="309"/>
      <c r="E52" s="309"/>
      <c r="F52" s="309"/>
      <c r="G52" s="311"/>
    </row>
    <row r="55" spans="1:7" ht="15">
      <c r="B55" s="313" t="s">
        <v>2433</v>
      </c>
      <c r="C55" s="314"/>
    </row>
    <row r="56" spans="1:7">
      <c r="B56" s="316" t="s">
        <v>1514</v>
      </c>
      <c r="C56" s="318">
        <f ca="1">1-C57</f>
        <v>0.54800000000000004</v>
      </c>
    </row>
    <row r="57" spans="1:7">
      <c r="B57" s="316" t="s">
        <v>1515</v>
      </c>
      <c r="C57" s="317">
        <f ca="1">ROUND(C51/C52,3)</f>
        <v>0.45200000000000001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15">
    <tabColor rgb="FF92D050"/>
    <pageSetUpPr fitToPage="1"/>
  </sheetPr>
  <dimension ref="A1:AD133"/>
  <sheetViews>
    <sheetView topLeftCell="A33" zoomScale="80" zoomScaleNormal="80" workbookViewId="0">
      <selection activeCell="L17" sqref="L17"/>
    </sheetView>
  </sheetViews>
  <sheetFormatPr defaultRowHeight="14.25"/>
  <cols>
    <col min="1" max="1" width="14.375" style="402" customWidth="1"/>
    <col min="2" max="2" width="15.75" style="402" customWidth="1"/>
    <col min="3" max="3" width="14.375" style="402" customWidth="1"/>
    <col min="4" max="4" width="14.125" style="402" customWidth="1"/>
    <col min="5" max="5" width="15.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2747</v>
      </c>
      <c r="B1" s="394"/>
      <c r="C1" s="395" t="s">
        <v>2748</v>
      </c>
      <c r="D1" s="754"/>
      <c r="E1" s="754"/>
      <c r="F1" s="753" t="s">
        <v>2646</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2333</v>
      </c>
      <c r="B2" s="670">
        <f>F66</f>
        <v>12013</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2335</v>
      </c>
      <c r="B3" s="608">
        <f>ROUND(IF(D3="",B2*10000/'数据-汇总表'!E3,B2*10000/D3),0)</f>
        <v>3316</v>
      </c>
      <c r="C3" s="246" t="s">
        <v>2749</v>
      </c>
      <c r="D3" s="1585">
        <f>'数据-基础表'!B3</f>
        <v>36223.67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2648</v>
      </c>
      <c r="B4" s="401"/>
      <c r="C4" s="3177" t="s">
        <v>2649</v>
      </c>
      <c r="D4" s="3178"/>
      <c r="E4" s="3179" t="s">
        <v>2650</v>
      </c>
      <c r="F4" s="3180"/>
      <c r="G4" s="3177" t="s">
        <v>2651</v>
      </c>
      <c r="H4" s="3178"/>
      <c r="I4" s="3177" t="s">
        <v>2652</v>
      </c>
      <c r="J4" s="3178"/>
      <c r="K4" s="609" t="s">
        <v>2653</v>
      </c>
      <c r="L4" s="1132"/>
      <c r="M4" s="1133"/>
      <c r="N4" s="1133"/>
      <c r="O4" s="1133"/>
      <c r="P4" s="3181" t="s">
        <v>2654</v>
      </c>
      <c r="Q4" s="3182"/>
      <c r="R4" s="3162" t="s">
        <v>2650</v>
      </c>
      <c r="S4" s="3163"/>
      <c r="T4" s="3162" t="s">
        <v>2651</v>
      </c>
      <c r="U4" s="3163"/>
      <c r="V4" s="3189" t="s">
        <v>2652</v>
      </c>
      <c r="W4" s="3189"/>
      <c r="X4" s="1815"/>
      <c r="Y4" s="3162" t="s">
        <v>2654</v>
      </c>
      <c r="Z4" s="3163"/>
      <c r="AA4" s="3157" t="s">
        <v>2650</v>
      </c>
      <c r="AB4" s="3158" t="s">
        <v>2651</v>
      </c>
      <c r="AC4" s="3157" t="s">
        <v>2652</v>
      </c>
    </row>
    <row r="5" spans="1:30" ht="15">
      <c r="A5" s="403"/>
      <c r="B5" s="404"/>
      <c r="C5" s="3168" t="s">
        <v>2545</v>
      </c>
      <c r="D5" s="3169"/>
      <c r="E5" s="3166" t="s">
        <v>3082</v>
      </c>
      <c r="F5" s="3167"/>
      <c r="G5" s="3166" t="s">
        <v>3083</v>
      </c>
      <c r="H5" s="3167"/>
      <c r="I5" s="3166" t="s">
        <v>3084</v>
      </c>
      <c r="J5" s="3167"/>
      <c r="K5" s="609"/>
      <c r="L5" s="1132"/>
      <c r="M5" s="1133"/>
      <c r="N5" s="1133"/>
      <c r="O5" s="1133"/>
      <c r="P5" s="3183"/>
      <c r="Q5" s="3184"/>
      <c r="R5" s="3164"/>
      <c r="S5" s="3165"/>
      <c r="T5" s="3164"/>
      <c r="U5" s="3165"/>
      <c r="V5" s="3189"/>
      <c r="W5" s="3189"/>
      <c r="X5" s="1815"/>
      <c r="Y5" s="3164"/>
      <c r="Z5" s="3165"/>
      <c r="AA5" s="3158"/>
      <c r="AB5" s="3158"/>
      <c r="AC5" s="3158"/>
    </row>
    <row r="6" spans="1:30" ht="15.75" thickBot="1">
      <c r="A6" s="405"/>
      <c r="B6" s="406"/>
      <c r="C6" s="3170" t="s">
        <v>2549</v>
      </c>
      <c r="D6" s="3171"/>
      <c r="E6" s="3172" t="s">
        <v>3082</v>
      </c>
      <c r="F6" s="3173"/>
      <c r="G6" s="3174" t="s">
        <v>3083</v>
      </c>
      <c r="H6" s="3175"/>
      <c r="I6" s="3174" t="s">
        <v>3084</v>
      </c>
      <c r="J6" s="3175"/>
      <c r="K6" s="609" t="s">
        <v>2550</v>
      </c>
      <c r="L6" s="1132"/>
      <c r="M6" s="1133"/>
      <c r="N6" s="1133"/>
      <c r="O6" s="1133"/>
      <c r="P6" s="3185"/>
      <c r="Q6" s="3186"/>
      <c r="R6" s="3164"/>
      <c r="S6" s="3165"/>
      <c r="T6" s="3187"/>
      <c r="U6" s="3188"/>
      <c r="V6" s="3189"/>
      <c r="W6" s="3189"/>
      <c r="X6" s="1815"/>
      <c r="Y6" s="3187"/>
      <c r="Z6" s="3188"/>
      <c r="AA6" s="3159"/>
      <c r="AB6" s="3159"/>
      <c r="AC6" s="3159"/>
    </row>
    <row r="7" spans="1:30" s="116" customFormat="1" ht="15.75" thickBot="1">
      <c r="A7" s="407" t="s">
        <v>2551</v>
      </c>
      <c r="B7" s="408"/>
      <c r="C7" s="409">
        <f>'数据-取费表'!B2</f>
        <v>43160</v>
      </c>
      <c r="D7" s="410">
        <v>100</v>
      </c>
      <c r="E7" s="411">
        <v>42926</v>
      </c>
      <c r="F7" s="412">
        <f>SUMIF(70:70,YEAR(E7)&amp;"-"&amp;INT((MONTH(E7)+2)/3),71:71)</f>
        <v>94</v>
      </c>
      <c r="G7" s="2697">
        <v>42920</v>
      </c>
      <c r="H7" s="410">
        <f>SUMIF(70:70,YEAR(G7)&amp;"-"&amp;INT((MONTH(G7)+2)/3),71:71)</f>
        <v>94</v>
      </c>
      <c r="I7" s="2697">
        <v>42926</v>
      </c>
      <c r="J7" s="410">
        <f>SUMIF(70:70,YEAR(I7)&amp;"-"&amp;INT((MONTH(I7)+2)/3),71:71)</f>
        <v>94</v>
      </c>
      <c r="K7" s="610"/>
      <c r="L7" s="1134"/>
      <c r="M7" s="1135"/>
      <c r="N7" s="1135"/>
      <c r="O7" s="1135"/>
      <c r="P7" s="3160" t="s">
        <v>2552</v>
      </c>
      <c r="Q7" s="3190"/>
      <c r="R7" s="769" t="s">
        <v>17</v>
      </c>
      <c r="S7" s="770">
        <f t="shared" ref="S7:S15" si="0">F7</f>
        <v>94</v>
      </c>
      <c r="T7" s="769" t="s">
        <v>17</v>
      </c>
      <c r="U7" s="770">
        <f t="shared" ref="U7:U15" si="1">H7</f>
        <v>94</v>
      </c>
      <c r="V7" s="769" t="s">
        <v>17</v>
      </c>
      <c r="W7" s="770">
        <f t="shared" ref="W7:W15" si="2">J7</f>
        <v>94</v>
      </c>
      <c r="X7" s="771"/>
      <c r="Y7" s="3160" t="s">
        <v>2552</v>
      </c>
      <c r="Z7" s="3161"/>
      <c r="AA7" s="772">
        <f>D7/F7</f>
        <v>1.0638297872340425</v>
      </c>
      <c r="AB7" s="772">
        <f>D7/H7</f>
        <v>1.0638297872340425</v>
      </c>
      <c r="AC7" s="772">
        <f>D7/J7</f>
        <v>1.0638297872340425</v>
      </c>
    </row>
    <row r="8" spans="1:30" s="116" customFormat="1" ht="15.75" thickBot="1">
      <c r="A8" s="407" t="s">
        <v>2553</v>
      </c>
      <c r="B8" s="408"/>
      <c r="C8" s="413" t="s">
        <v>2554</v>
      </c>
      <c r="D8" s="410">
        <v>100</v>
      </c>
      <c r="E8" s="413" t="s">
        <v>3057</v>
      </c>
      <c r="F8" s="412">
        <f>SUMIF(73:73,E8,74:74)-SUMIF(73:73,C8,74:74)+100</f>
        <v>100</v>
      </c>
      <c r="G8" s="413" t="s">
        <v>3057</v>
      </c>
      <c r="H8" s="410">
        <f>SUMIF(73:73,G8,74:74)-SUMIF(73:73,C8,74:74)+100</f>
        <v>100</v>
      </c>
      <c r="I8" s="413" t="s">
        <v>3057</v>
      </c>
      <c r="J8" s="410">
        <f>SUMIF(73:73,I8,74:74)-SUMIF(73:73,C8,74:74)+100</f>
        <v>100</v>
      </c>
      <c r="K8" s="610"/>
      <c r="L8" s="1134"/>
      <c r="M8" s="1135"/>
      <c r="N8" s="1135"/>
      <c r="O8" s="1135"/>
      <c r="P8" s="3160" t="s">
        <v>2555</v>
      </c>
      <c r="Q8" s="3161"/>
      <c r="R8" s="769" t="s">
        <v>17</v>
      </c>
      <c r="S8" s="770">
        <f t="shared" si="0"/>
        <v>100</v>
      </c>
      <c r="T8" s="769" t="s">
        <v>17</v>
      </c>
      <c r="U8" s="770">
        <f t="shared" si="1"/>
        <v>100</v>
      </c>
      <c r="V8" s="769" t="s">
        <v>17</v>
      </c>
      <c r="W8" s="770">
        <f t="shared" si="2"/>
        <v>100</v>
      </c>
      <c r="X8" s="771"/>
      <c r="Y8" s="3160" t="s">
        <v>2555</v>
      </c>
      <c r="Z8" s="3161"/>
      <c r="AA8" s="772">
        <f t="shared" ref="AA8:AA45" si="3">D8/F8</f>
        <v>1</v>
      </c>
      <c r="AB8" s="772">
        <f t="shared" ref="AB8:AB45" si="4">D8/H8</f>
        <v>1</v>
      </c>
      <c r="AC8" s="772">
        <f t="shared" ref="AC8:AC45" si="5">D8/J8</f>
        <v>1</v>
      </c>
    </row>
    <row r="9" spans="1:30" s="116" customFormat="1">
      <c r="A9" s="414" t="s">
        <v>2556</v>
      </c>
      <c r="B9" s="70" t="s">
        <v>2557</v>
      </c>
      <c r="C9" s="2700" t="s">
        <v>3050</v>
      </c>
      <c r="D9" s="134">
        <v>100</v>
      </c>
      <c r="E9" s="2700" t="s">
        <v>3050</v>
      </c>
      <c r="F9" s="134">
        <f>SUMIF(75:75,E9,76:76)-SUMIF(75:75,C9,76:76)+100</f>
        <v>100</v>
      </c>
      <c r="G9" s="2700" t="s">
        <v>3050</v>
      </c>
      <c r="H9" s="134">
        <f>SUMIF(75:75,G9,76:76)-SUMIF(75:75,C9,76:76)+100</f>
        <v>100</v>
      </c>
      <c r="I9" s="2700" t="s">
        <v>3050</v>
      </c>
      <c r="J9" s="134">
        <f>SUMIF(75:75,I9,76:76)-SUMIF(75:75,C9,76:76)+100</f>
        <v>100</v>
      </c>
      <c r="K9" s="610"/>
      <c r="L9" s="1134"/>
      <c r="M9" s="1135"/>
      <c r="N9" s="1135"/>
      <c r="O9" s="1136"/>
      <c r="P9" s="3176" t="s">
        <v>2558</v>
      </c>
      <c r="Q9" s="1797" t="str">
        <f t="shared" ref="Q9:Q15" si="6">B9</f>
        <v>用途</v>
      </c>
      <c r="R9" s="769" t="s">
        <v>17</v>
      </c>
      <c r="S9" s="770">
        <f t="shared" si="0"/>
        <v>100</v>
      </c>
      <c r="T9" s="769" t="s">
        <v>17</v>
      </c>
      <c r="U9" s="770">
        <f t="shared" si="1"/>
        <v>100</v>
      </c>
      <c r="V9" s="769" t="s">
        <v>17</v>
      </c>
      <c r="W9" s="770">
        <f t="shared" si="2"/>
        <v>100</v>
      </c>
      <c r="X9" s="771"/>
      <c r="Y9" s="3034" t="s">
        <v>2559</v>
      </c>
      <c r="Z9" s="54" t="str">
        <f t="shared" ref="Z9:Z15" si="7">Q9</f>
        <v>用途</v>
      </c>
      <c r="AA9" s="772">
        <f t="shared" si="3"/>
        <v>1</v>
      </c>
      <c r="AB9" s="772">
        <f t="shared" si="4"/>
        <v>1</v>
      </c>
      <c r="AC9" s="772">
        <f t="shared" si="5"/>
        <v>1</v>
      </c>
    </row>
    <row r="10" spans="1:30" s="426" customFormat="1" ht="27">
      <c r="A10" s="420"/>
      <c r="B10" s="421" t="s">
        <v>2560</v>
      </c>
      <c r="C10" s="431"/>
      <c r="D10" s="135">
        <v>100</v>
      </c>
      <c r="E10" s="464"/>
      <c r="F10" s="2946">
        <v>103</v>
      </c>
      <c r="G10" s="462"/>
      <c r="H10" s="2946">
        <v>103</v>
      </c>
      <c r="I10" s="462"/>
      <c r="J10" s="2946">
        <v>103</v>
      </c>
      <c r="K10" s="671"/>
      <c r="L10" s="1137"/>
      <c r="M10" s="1138"/>
      <c r="N10" s="1138"/>
      <c r="O10" s="1139"/>
      <c r="P10" s="3176"/>
      <c r="Q10" s="1797" t="str">
        <f t="shared" si="6"/>
        <v>土地使用年限（年）</v>
      </c>
      <c r="R10" s="769" t="s">
        <v>17</v>
      </c>
      <c r="S10" s="770">
        <f t="shared" si="0"/>
        <v>103</v>
      </c>
      <c r="T10" s="769" t="s">
        <v>17</v>
      </c>
      <c r="U10" s="770">
        <f t="shared" si="1"/>
        <v>103</v>
      </c>
      <c r="V10" s="769" t="s">
        <v>17</v>
      </c>
      <c r="W10" s="770">
        <f t="shared" si="2"/>
        <v>103</v>
      </c>
      <c r="X10" s="771"/>
      <c r="Y10" s="3034"/>
      <c r="Z10" s="54" t="str">
        <f t="shared" si="7"/>
        <v>土地使用年限（年）</v>
      </c>
      <c r="AA10" s="772">
        <f t="shared" si="3"/>
        <v>0.970873786407767</v>
      </c>
      <c r="AB10" s="772">
        <f t="shared" si="4"/>
        <v>0.970873786407767</v>
      </c>
      <c r="AC10" s="772">
        <f t="shared" si="5"/>
        <v>0.970873786407767</v>
      </c>
    </row>
    <row r="11" spans="1:30" ht="15">
      <c r="A11" s="427"/>
      <c r="B11" s="421" t="s">
        <v>2561</v>
      </c>
      <c r="C11" s="428">
        <f>'数据-汇总表'!I6</f>
        <v>4.29</v>
      </c>
      <c r="D11" s="135">
        <v>100</v>
      </c>
      <c r="E11" s="428">
        <v>2.8</v>
      </c>
      <c r="F11" s="135">
        <f>LOOKUP(E11,80:80,81:81)-LOOKUP(C11,80:80,81:81)+100</f>
        <v>110</v>
      </c>
      <c r="G11" s="429">
        <v>2.8</v>
      </c>
      <c r="H11" s="135">
        <f>LOOKUP(G11,80:80,81:81)-LOOKUP(C11,80:80,81:81)+100</f>
        <v>110</v>
      </c>
      <c r="I11" s="428">
        <v>1.01</v>
      </c>
      <c r="J11" s="135">
        <f>LOOKUP(I11,80:80,81:81)-LOOKUP(C11,80:80,81:81)+100</f>
        <v>115</v>
      </c>
      <c r="K11" s="672">
        <v>5</v>
      </c>
      <c r="L11" s="1140"/>
      <c r="M11" s="1133"/>
      <c r="N11" s="1133"/>
      <c r="O11" s="1141"/>
      <c r="P11" s="3176"/>
      <c r="Q11" s="1797" t="str">
        <f t="shared" si="6"/>
        <v>容积率</v>
      </c>
      <c r="R11" s="769" t="s">
        <v>17</v>
      </c>
      <c r="S11" s="770">
        <f t="shared" si="0"/>
        <v>110</v>
      </c>
      <c r="T11" s="769" t="s">
        <v>17</v>
      </c>
      <c r="U11" s="770">
        <f t="shared" si="1"/>
        <v>110</v>
      </c>
      <c r="V11" s="769" t="s">
        <v>17</v>
      </c>
      <c r="W11" s="770">
        <f t="shared" si="2"/>
        <v>115</v>
      </c>
      <c r="X11" s="771"/>
      <c r="Y11" s="3034"/>
      <c r="Z11" s="54" t="str">
        <f t="shared" si="7"/>
        <v>容积率</v>
      </c>
      <c r="AA11" s="772">
        <f t="shared" si="3"/>
        <v>0.90909090909090906</v>
      </c>
      <c r="AB11" s="772">
        <f t="shared" si="4"/>
        <v>0.90909090909090906</v>
      </c>
      <c r="AC11" s="772">
        <f t="shared" si="5"/>
        <v>0.86956521739130432</v>
      </c>
    </row>
    <row r="12" spans="1:30" s="116" customFormat="1" ht="15.75" thickBot="1">
      <c r="A12" s="430"/>
      <c r="B12" s="2947" t="s">
        <v>3086</v>
      </c>
      <c r="C12" s="2948" t="s">
        <v>3088</v>
      </c>
      <c r="D12" s="432">
        <v>100</v>
      </c>
      <c r="E12" s="2949" t="s">
        <v>3089</v>
      </c>
      <c r="F12" s="135">
        <f>SUMIF(82:82,E12,83:83)-SUMIF(82:82,C12,83:83)+100</f>
        <v>85</v>
      </c>
      <c r="G12" s="2950" t="s">
        <v>3089</v>
      </c>
      <c r="H12" s="135">
        <f>SUMIF(82:82,G12,83:83)-SUMIF(82:82,C12,83:83)+100</f>
        <v>85</v>
      </c>
      <c r="I12" s="2949" t="s">
        <v>3089</v>
      </c>
      <c r="J12" s="135">
        <f>SUMIF(82:82,I12,83:83)-SUMIF(82:82,C12,83:83)+100</f>
        <v>85</v>
      </c>
      <c r="K12" s="671"/>
      <c r="L12" s="1134"/>
      <c r="M12" s="1135"/>
      <c r="N12" s="1135"/>
      <c r="O12" s="1136"/>
      <c r="P12" s="3176"/>
      <c r="Q12" s="1797" t="str">
        <f t="shared" si="6"/>
        <v>竞拍限制条件</v>
      </c>
      <c r="R12" s="769" t="s">
        <v>17</v>
      </c>
      <c r="S12" s="770">
        <f t="shared" si="0"/>
        <v>85</v>
      </c>
      <c r="T12" s="769" t="s">
        <v>17</v>
      </c>
      <c r="U12" s="770">
        <f t="shared" si="1"/>
        <v>85</v>
      </c>
      <c r="V12" s="769" t="s">
        <v>17</v>
      </c>
      <c r="W12" s="770">
        <f t="shared" si="2"/>
        <v>85</v>
      </c>
      <c r="X12" s="771"/>
      <c r="Y12" s="3034"/>
      <c r="Z12" s="54" t="str">
        <f t="shared" si="7"/>
        <v>竞拍限制条件</v>
      </c>
      <c r="AA12" s="772">
        <f>D12/F12</f>
        <v>1.1764705882352942</v>
      </c>
      <c r="AB12" s="772">
        <f>D12/H12</f>
        <v>1.1764705882352942</v>
      </c>
      <c r="AC12" s="772">
        <f>D12/J12</f>
        <v>1.1764705882352942</v>
      </c>
    </row>
    <row r="13" spans="1:30" ht="15" hidden="1">
      <c r="A13" s="427"/>
      <c r="B13" s="2601">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76"/>
      <c r="Q13" s="1797">
        <f t="shared" si="6"/>
        <v>111</v>
      </c>
      <c r="R13" s="769" t="s">
        <v>17</v>
      </c>
      <c r="S13" s="770">
        <f t="shared" si="0"/>
        <v>100</v>
      </c>
      <c r="T13" s="769" t="s">
        <v>17</v>
      </c>
      <c r="U13" s="770">
        <f t="shared" si="1"/>
        <v>100</v>
      </c>
      <c r="V13" s="769" t="s">
        <v>17</v>
      </c>
      <c r="W13" s="770">
        <f t="shared" si="2"/>
        <v>100</v>
      </c>
      <c r="X13" s="771"/>
      <c r="Y13" s="3034"/>
      <c r="Z13" s="54">
        <f t="shared" si="7"/>
        <v>111</v>
      </c>
      <c r="AA13" s="772">
        <f>D13/F13</f>
        <v>1</v>
      </c>
      <c r="AB13" s="772">
        <f>D13/H13</f>
        <v>1</v>
      </c>
      <c r="AC13" s="772">
        <f>D13/J13</f>
        <v>1</v>
      </c>
    </row>
    <row r="14" spans="1:30" ht="15.75" hidden="1" thickBot="1">
      <c r="A14" s="435"/>
      <c r="B14" s="2603">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76"/>
      <c r="Q14" s="1797">
        <f t="shared" si="6"/>
        <v>111</v>
      </c>
      <c r="R14" s="769" t="s">
        <v>17</v>
      </c>
      <c r="S14" s="770">
        <f t="shared" si="0"/>
        <v>100</v>
      </c>
      <c r="T14" s="769" t="s">
        <v>17</v>
      </c>
      <c r="U14" s="770">
        <f t="shared" si="1"/>
        <v>100</v>
      </c>
      <c r="V14" s="769" t="s">
        <v>17</v>
      </c>
      <c r="W14" s="770">
        <f t="shared" si="2"/>
        <v>100</v>
      </c>
      <c r="X14" s="771"/>
      <c r="Y14" s="3034"/>
      <c r="Z14" s="54">
        <f t="shared" si="7"/>
        <v>111</v>
      </c>
      <c r="AA14" s="772">
        <f>D14/F14</f>
        <v>1</v>
      </c>
      <c r="AB14" s="772">
        <f>D14/H14</f>
        <v>1</v>
      </c>
      <c r="AC14" s="772">
        <f>D14/J14</f>
        <v>1</v>
      </c>
    </row>
    <row r="15" spans="1:30" ht="99.75">
      <c r="A15" s="439" t="s">
        <v>2562</v>
      </c>
      <c r="B15" s="68" t="s">
        <v>2089</v>
      </c>
      <c r="C15" s="2604" t="str">
        <f>估价对象房地状况!C15</f>
        <v>估价对象周边居住用地比例、居住小区规模和社区发展完善程度，综合评价居住社区成熟度一般</v>
      </c>
      <c r="D15" s="440">
        <v>100</v>
      </c>
      <c r="E15" s="441"/>
      <c r="F15" s="440">
        <f>SUMIF(88:88,E16,89:89)-SUMIF(88:88,C16,89:89)+100</f>
        <v>103</v>
      </c>
      <c r="G15" s="441"/>
      <c r="H15" s="440">
        <f>SUMIF(88:88,G16,89:89)-SUMIF(88:88,C16,89:89)+100</f>
        <v>100</v>
      </c>
      <c r="I15" s="443"/>
      <c r="J15" s="440">
        <f>SUMIF(88:88,I16,89:89)-SUMIF(88:88,C16,89:89)+100</f>
        <v>100</v>
      </c>
      <c r="K15" s="672">
        <f>'[1]比较法-住宅、综合'!$K$17</f>
        <v>3</v>
      </c>
      <c r="L15" s="1142"/>
      <c r="M15" s="1133"/>
      <c r="N15" s="1133"/>
      <c r="O15" s="1141"/>
      <c r="P15" s="3191" t="s">
        <v>2563</v>
      </c>
      <c r="Q15" s="1812" t="str">
        <f t="shared" si="6"/>
        <v>居住社区成熟度</v>
      </c>
      <c r="R15" s="773" t="s">
        <v>17</v>
      </c>
      <c r="S15" s="774">
        <f t="shared" si="0"/>
        <v>103</v>
      </c>
      <c r="T15" s="773" t="s">
        <v>17</v>
      </c>
      <c r="U15" s="774">
        <f t="shared" si="1"/>
        <v>100</v>
      </c>
      <c r="V15" s="773" t="s">
        <v>17</v>
      </c>
      <c r="W15" s="774">
        <f t="shared" si="2"/>
        <v>100</v>
      </c>
      <c r="X15" s="1815"/>
      <c r="Y15" s="3191" t="s">
        <v>2563</v>
      </c>
      <c r="Z15" s="1816" t="str">
        <f t="shared" si="7"/>
        <v>居住社区成熟度</v>
      </c>
      <c r="AA15" s="1813">
        <f t="shared" si="3"/>
        <v>0.970873786407767</v>
      </c>
      <c r="AB15" s="1813">
        <f t="shared" si="4"/>
        <v>1</v>
      </c>
      <c r="AC15" s="1813">
        <f t="shared" si="5"/>
        <v>1</v>
      </c>
    </row>
    <row r="16" spans="1:30" ht="15">
      <c r="A16" s="427"/>
      <c r="B16" s="445"/>
      <c r="C16" s="446" t="s">
        <v>3059</v>
      </c>
      <c r="D16" s="447"/>
      <c r="E16" s="2606" t="s">
        <v>3085</v>
      </c>
      <c r="F16" s="447"/>
      <c r="G16" s="2606" t="s">
        <v>3059</v>
      </c>
      <c r="H16" s="449"/>
      <c r="I16" s="2605" t="s">
        <v>3059</v>
      </c>
      <c r="J16" s="447"/>
      <c r="K16" s="671"/>
      <c r="L16" s="1142"/>
      <c r="M16" s="1133"/>
      <c r="N16" s="1133"/>
      <c r="O16" s="1141"/>
      <c r="P16" s="3192"/>
      <c r="Q16" s="1812"/>
      <c r="R16" s="773"/>
      <c r="S16" s="774"/>
      <c r="T16" s="773"/>
      <c r="U16" s="774"/>
      <c r="V16" s="773"/>
      <c r="W16" s="774"/>
      <c r="X16" s="1815"/>
      <c r="Y16" s="3192"/>
      <c r="Z16" s="1816"/>
      <c r="AA16" s="1813">
        <v>1</v>
      </c>
      <c r="AB16" s="1813">
        <v>1</v>
      </c>
      <c r="AC16" s="1813">
        <v>1</v>
      </c>
    </row>
    <row r="17" spans="1:29" ht="71.25">
      <c r="A17" s="427"/>
      <c r="B17" s="450" t="s">
        <v>2656</v>
      </c>
      <c r="C17" s="2665" t="str">
        <f>估价对象房地状况!C16</f>
        <v>估价对象位于XX商圈，周边商业氛围成熟，人流量大，商业繁华度好</v>
      </c>
      <c r="D17" s="449">
        <v>100</v>
      </c>
      <c r="E17" s="451"/>
      <c r="F17" s="449">
        <f>SUMIF(90:90,E18,91:91)-SUMIF(90:90,C18,91:91)+100</f>
        <v>103</v>
      </c>
      <c r="G17" s="451"/>
      <c r="H17" s="454">
        <f>SUMIF(90:90,G18,91:91)-SUMIF(90:90,C18,91:91)+100</f>
        <v>103</v>
      </c>
      <c r="I17" s="453"/>
      <c r="J17" s="454">
        <f>SUMIF(90:90,I18,91:91)-SUMIF(90:90,C18,91:91)+100</f>
        <v>100</v>
      </c>
      <c r="K17" s="672">
        <f>'[1]比较法-住宅、综合'!$K$19</f>
        <v>3</v>
      </c>
      <c r="L17" s="1142"/>
      <c r="M17" s="1133"/>
      <c r="N17" s="1133"/>
      <c r="O17" s="1141"/>
      <c r="P17" s="3192"/>
      <c r="Q17" s="1812" t="str">
        <f>B17</f>
        <v>商业繁华度</v>
      </c>
      <c r="R17" s="773" t="s">
        <v>17</v>
      </c>
      <c r="S17" s="774">
        <f>F17</f>
        <v>103</v>
      </c>
      <c r="T17" s="773" t="s">
        <v>17</v>
      </c>
      <c r="U17" s="774">
        <f>H17</f>
        <v>103</v>
      </c>
      <c r="V17" s="773" t="s">
        <v>17</v>
      </c>
      <c r="W17" s="774">
        <f>J17</f>
        <v>100</v>
      </c>
      <c r="X17" s="1815"/>
      <c r="Y17" s="3192"/>
      <c r="Z17" s="1816" t="str">
        <f>Q17</f>
        <v>商业繁华度</v>
      </c>
      <c r="AA17" s="1813">
        <f t="shared" si="3"/>
        <v>0.970873786407767</v>
      </c>
      <c r="AB17" s="1813">
        <f t="shared" si="4"/>
        <v>0.970873786407767</v>
      </c>
      <c r="AC17" s="1813">
        <f t="shared" si="5"/>
        <v>1</v>
      </c>
    </row>
    <row r="18" spans="1:29" ht="15">
      <c r="A18" s="427"/>
      <c r="B18" s="455"/>
      <c r="C18" s="2609" t="s">
        <v>3060</v>
      </c>
      <c r="D18" s="449"/>
      <c r="E18" s="2611" t="s">
        <v>3059</v>
      </c>
      <c r="F18" s="449"/>
      <c r="G18" s="2611" t="s">
        <v>3059</v>
      </c>
      <c r="H18" s="447"/>
      <c r="I18" s="2610" t="s">
        <v>3060</v>
      </c>
      <c r="J18" s="447"/>
      <c r="K18" s="671"/>
      <c r="L18" s="1142"/>
      <c r="M18" s="1133"/>
      <c r="N18" s="1133"/>
      <c r="O18" s="1141"/>
      <c r="P18" s="3192"/>
      <c r="Q18" s="1812"/>
      <c r="R18" s="773"/>
      <c r="S18" s="774"/>
      <c r="T18" s="773"/>
      <c r="U18" s="774"/>
      <c r="V18" s="773"/>
      <c r="W18" s="774"/>
      <c r="X18" s="1815"/>
      <c r="Y18" s="3192"/>
      <c r="Z18" s="1816"/>
      <c r="AA18" s="1813">
        <v>1</v>
      </c>
      <c r="AB18" s="1813">
        <v>1</v>
      </c>
      <c r="AC18" s="1813">
        <v>1</v>
      </c>
    </row>
    <row r="19" spans="1:29" ht="71.25" hidden="1">
      <c r="A19" s="427"/>
      <c r="B19" s="450" t="s">
        <v>2690</v>
      </c>
      <c r="C19" s="2665"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192"/>
      <c r="Q19" s="1812" t="str">
        <f>B19</f>
        <v>办公集聚程度</v>
      </c>
      <c r="R19" s="773" t="s">
        <v>17</v>
      </c>
      <c r="S19" s="774">
        <f>F19</f>
        <v>100</v>
      </c>
      <c r="T19" s="773" t="s">
        <v>17</v>
      </c>
      <c r="U19" s="774">
        <f>H19</f>
        <v>100</v>
      </c>
      <c r="V19" s="773" t="s">
        <v>17</v>
      </c>
      <c r="W19" s="774">
        <f>J19</f>
        <v>100</v>
      </c>
      <c r="X19" s="1815"/>
      <c r="Y19" s="3192"/>
      <c r="Z19" s="1816" t="str">
        <f>Q19</f>
        <v>办公集聚程度</v>
      </c>
      <c r="AA19" s="1813">
        <f t="shared" si="3"/>
        <v>1</v>
      </c>
      <c r="AB19" s="1813">
        <f t="shared" si="4"/>
        <v>1</v>
      </c>
      <c r="AC19" s="1813">
        <f t="shared" si="5"/>
        <v>1</v>
      </c>
    </row>
    <row r="20" spans="1:29" ht="15" hidden="1">
      <c r="A20" s="427"/>
      <c r="B20" s="455"/>
      <c r="C20" s="446"/>
      <c r="D20" s="447"/>
      <c r="E20" s="2606"/>
      <c r="F20" s="447"/>
      <c r="G20" s="2606"/>
      <c r="H20" s="447"/>
      <c r="I20" s="2605"/>
      <c r="J20" s="447"/>
      <c r="K20" s="671"/>
      <c r="L20" s="1142"/>
      <c r="M20" s="1133"/>
      <c r="N20" s="1133"/>
      <c r="O20" s="1141"/>
      <c r="P20" s="3192"/>
      <c r="Q20" s="1812"/>
      <c r="R20" s="773"/>
      <c r="S20" s="774"/>
      <c r="T20" s="773"/>
      <c r="U20" s="774"/>
      <c r="V20" s="773"/>
      <c r="W20" s="774"/>
      <c r="X20" s="1815"/>
      <c r="Y20" s="3192"/>
      <c r="Z20" s="1816"/>
      <c r="AA20" s="1813">
        <v>1</v>
      </c>
      <c r="AB20" s="1813">
        <v>1</v>
      </c>
      <c r="AC20" s="1813">
        <v>1</v>
      </c>
    </row>
    <row r="21" spans="1:29" ht="85.5">
      <c r="A21" s="427"/>
      <c r="B21" s="450" t="s">
        <v>2712</v>
      </c>
      <c r="C21" s="2608"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f>'[1]比较法-住宅、综合'!$K$23</f>
        <v>2</v>
      </c>
      <c r="L21" s="1142"/>
      <c r="M21" s="1133"/>
      <c r="N21" s="1133"/>
      <c r="O21" s="1141"/>
      <c r="P21" s="3192"/>
      <c r="Q21" s="1812" t="str">
        <f>B21</f>
        <v>交通便捷度</v>
      </c>
      <c r="R21" s="773" t="s">
        <v>17</v>
      </c>
      <c r="S21" s="774">
        <f>F21</f>
        <v>100</v>
      </c>
      <c r="T21" s="773" t="s">
        <v>17</v>
      </c>
      <c r="U21" s="774">
        <f>H21</f>
        <v>100</v>
      </c>
      <c r="V21" s="773" t="s">
        <v>17</v>
      </c>
      <c r="W21" s="774">
        <f>J21</f>
        <v>100</v>
      </c>
      <c r="X21" s="1815"/>
      <c r="Y21" s="3192"/>
      <c r="Z21" s="1816" t="str">
        <f>Q21</f>
        <v>交通便捷度</v>
      </c>
      <c r="AA21" s="1813">
        <f t="shared" si="3"/>
        <v>1</v>
      </c>
      <c r="AB21" s="1813">
        <f t="shared" si="4"/>
        <v>1</v>
      </c>
      <c r="AC21" s="1813">
        <f t="shared" si="5"/>
        <v>1</v>
      </c>
    </row>
    <row r="22" spans="1:29" ht="15">
      <c r="A22" s="427"/>
      <c r="B22" s="1386"/>
      <c r="C22" s="446" t="s">
        <v>3059</v>
      </c>
      <c r="D22" s="449"/>
      <c r="E22" s="2606" t="s">
        <v>3059</v>
      </c>
      <c r="F22" s="447"/>
      <c r="G22" s="2606" t="s">
        <v>3059</v>
      </c>
      <c r="H22" s="447"/>
      <c r="I22" s="2605" t="s">
        <v>3059</v>
      </c>
      <c r="J22" s="447"/>
      <c r="K22" s="671"/>
      <c r="L22" s="1142"/>
      <c r="M22" s="1133"/>
      <c r="N22" s="1133"/>
      <c r="O22" s="1141"/>
      <c r="P22" s="3192"/>
      <c r="Q22" s="1812"/>
      <c r="R22" s="773"/>
      <c r="S22" s="774"/>
      <c r="T22" s="773"/>
      <c r="U22" s="774"/>
      <c r="V22" s="773"/>
      <c r="W22" s="774"/>
      <c r="X22" s="1815"/>
      <c r="Y22" s="3192"/>
      <c r="Z22" s="1816"/>
      <c r="AA22" s="1813">
        <v>1</v>
      </c>
      <c r="AB22" s="1813">
        <v>1</v>
      </c>
      <c r="AC22" s="1813">
        <v>1</v>
      </c>
    </row>
    <row r="23" spans="1:29" ht="15">
      <c r="A23" s="403"/>
      <c r="B23" s="450" t="s">
        <v>2750</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192"/>
      <c r="Q23" s="1812" t="str">
        <f t="shared" ref="Q23:Q37" si="8">B23</f>
        <v>区域土地利用方向</v>
      </c>
      <c r="R23" s="773" t="s">
        <v>17</v>
      </c>
      <c r="S23" s="774">
        <f>F23</f>
        <v>100</v>
      </c>
      <c r="T23" s="773" t="s">
        <v>17</v>
      </c>
      <c r="U23" s="774">
        <f>H23</f>
        <v>100</v>
      </c>
      <c r="V23" s="773" t="s">
        <v>17</v>
      </c>
      <c r="W23" s="774">
        <f>J23</f>
        <v>100</v>
      </c>
      <c r="X23" s="1815"/>
      <c r="Y23" s="3192"/>
      <c r="Z23" s="1816" t="str">
        <f>Q23</f>
        <v>区域土地利用方向</v>
      </c>
      <c r="AA23" s="1813">
        <f t="shared" si="3"/>
        <v>1</v>
      </c>
      <c r="AB23" s="1813">
        <f t="shared" si="4"/>
        <v>1</v>
      </c>
      <c r="AC23" s="1813">
        <f t="shared" si="5"/>
        <v>1</v>
      </c>
    </row>
    <row r="24" spans="1:29" ht="15">
      <c r="A24" s="403"/>
      <c r="B24" s="455"/>
      <c r="C24" s="615" t="s">
        <v>3059</v>
      </c>
      <c r="D24" s="447"/>
      <c r="E24" s="2606" t="s">
        <v>3059</v>
      </c>
      <c r="F24" s="447"/>
      <c r="G24" s="2605" t="s">
        <v>3059</v>
      </c>
      <c r="H24" s="447"/>
      <c r="I24" s="2605" t="s">
        <v>3059</v>
      </c>
      <c r="J24" s="447"/>
      <c r="K24" s="811"/>
      <c r="L24" s="1142"/>
      <c r="M24" s="1133"/>
      <c r="N24" s="1133"/>
      <c r="O24" s="1141"/>
      <c r="P24" s="3192"/>
      <c r="Q24" s="1812"/>
      <c r="R24" s="773"/>
      <c r="S24" s="774"/>
      <c r="T24" s="773"/>
      <c r="U24" s="774"/>
      <c r="V24" s="773"/>
      <c r="W24" s="774"/>
      <c r="X24" s="1815"/>
      <c r="Y24" s="3192"/>
      <c r="Z24" s="1816"/>
      <c r="AA24" s="1813"/>
      <c r="AB24" s="1813"/>
      <c r="AC24" s="1813"/>
    </row>
    <row r="25" spans="1:29" ht="57">
      <c r="A25" s="403"/>
      <c r="B25" s="1386" t="s">
        <v>2751</v>
      </c>
      <c r="C25" s="2665" t="str">
        <f>估价对象房地状况!C20</f>
        <v>区域自然环境：；人文环境；综合评价环境状况一般</v>
      </c>
      <c r="D25" s="449">
        <v>100</v>
      </c>
      <c r="E25" s="451"/>
      <c r="F25" s="449">
        <f>SUMIF(98:98,E26,99:99)-SUMIF(98:98,C26,99:99)+100</f>
        <v>103</v>
      </c>
      <c r="G25" s="451"/>
      <c r="H25" s="449">
        <f>SUMIF(98:98,G26,99:99)-SUMIF(98:98,C26,99:99)+100</f>
        <v>100</v>
      </c>
      <c r="I25" s="453"/>
      <c r="J25" s="449">
        <f>SUMIF(98:98,I26,99:99)-SUMIF(98:98,C26,99:99)+100</f>
        <v>100</v>
      </c>
      <c r="K25" s="672">
        <f>'[1]比较法-住宅、综合'!$K$27</f>
        <v>3</v>
      </c>
      <c r="L25" s="1142"/>
      <c r="M25" s="1133"/>
      <c r="N25" s="1133"/>
      <c r="O25" s="1141"/>
      <c r="P25" s="3192"/>
      <c r="Q25" s="1812" t="str">
        <f t="shared" si="8"/>
        <v>自然及人文环境状况</v>
      </c>
      <c r="R25" s="773" t="s">
        <v>17</v>
      </c>
      <c r="S25" s="774">
        <f>F25</f>
        <v>103</v>
      </c>
      <c r="T25" s="773" t="s">
        <v>17</v>
      </c>
      <c r="U25" s="774">
        <f>H25</f>
        <v>100</v>
      </c>
      <c r="V25" s="773" t="s">
        <v>17</v>
      </c>
      <c r="W25" s="774">
        <f>J25</f>
        <v>100</v>
      </c>
      <c r="X25" s="1815"/>
      <c r="Y25" s="3192"/>
      <c r="Z25" s="1816" t="str">
        <f>Q25</f>
        <v>自然及人文环境状况</v>
      </c>
      <c r="AA25" s="1813">
        <f t="shared" si="3"/>
        <v>0.970873786407767</v>
      </c>
      <c r="AB25" s="1813">
        <f t="shared" si="4"/>
        <v>1</v>
      </c>
      <c r="AC25" s="1813">
        <f t="shared" si="5"/>
        <v>1</v>
      </c>
    </row>
    <row r="26" spans="1:29" ht="15">
      <c r="A26" s="403"/>
      <c r="B26" s="455"/>
      <c r="C26" s="446" t="s">
        <v>3059</v>
      </c>
      <c r="D26" s="447"/>
      <c r="E26" s="2612" t="s">
        <v>3085</v>
      </c>
      <c r="F26" s="447"/>
      <c r="G26" s="2612" t="s">
        <v>3059</v>
      </c>
      <c r="H26" s="447"/>
      <c r="I26" s="446" t="s">
        <v>3059</v>
      </c>
      <c r="J26" s="447"/>
      <c r="K26" s="671"/>
      <c r="L26" s="1142"/>
      <c r="M26" s="1133"/>
      <c r="N26" s="1133"/>
      <c r="O26" s="1141"/>
      <c r="P26" s="3192"/>
      <c r="Q26" s="1812"/>
      <c r="R26" s="773"/>
      <c r="S26" s="774"/>
      <c r="T26" s="773"/>
      <c r="U26" s="774"/>
      <c r="V26" s="773"/>
      <c r="W26" s="774"/>
      <c r="X26" s="1815"/>
      <c r="Y26" s="3192"/>
      <c r="Z26" s="1816"/>
      <c r="AA26" s="1813">
        <v>1</v>
      </c>
      <c r="AB26" s="1813">
        <v>1</v>
      </c>
      <c r="AC26" s="1813">
        <v>1</v>
      </c>
    </row>
    <row r="27" spans="1:29" s="116" customFormat="1" ht="42.75">
      <c r="A27" s="648"/>
      <c r="B27" s="1386" t="s">
        <v>2657</v>
      </c>
      <c r="C27" s="2608" t="str">
        <f>估价对象房地状况!C21</f>
        <v>估价对象所在区域公共配套设施齐备情况</v>
      </c>
      <c r="D27" s="449">
        <v>100</v>
      </c>
      <c r="E27" s="451"/>
      <c r="F27" s="449">
        <f>SUMIF(100:100,E28,101:101)-SUMIF(100:100,C28,101:101)+100</f>
        <v>102</v>
      </c>
      <c r="G27" s="451"/>
      <c r="H27" s="449">
        <f>SUMIF(100:100,G28,101:101)-SUMIF(100:100,C28,101:101)+100</f>
        <v>100</v>
      </c>
      <c r="I27" s="453"/>
      <c r="J27" s="449">
        <f>SUMIF(100:100,I28,101:101)-SUMIF(100:100,C28,101:101)+100</f>
        <v>100</v>
      </c>
      <c r="K27" s="672">
        <f>'[1]比较法-住宅、综合'!$K$29</f>
        <v>2</v>
      </c>
      <c r="L27" s="1134"/>
      <c r="M27" s="1135"/>
      <c r="N27" s="1135"/>
      <c r="O27" s="1136"/>
      <c r="P27" s="3192"/>
      <c r="Q27" s="1797" t="str">
        <f t="shared" si="8"/>
        <v>公共配套设施</v>
      </c>
      <c r="R27" s="769" t="s">
        <v>17</v>
      </c>
      <c r="S27" s="770">
        <f>F27</f>
        <v>102</v>
      </c>
      <c r="T27" s="769" t="s">
        <v>17</v>
      </c>
      <c r="U27" s="770">
        <f>H27</f>
        <v>100</v>
      </c>
      <c r="V27" s="769" t="s">
        <v>17</v>
      </c>
      <c r="W27" s="770">
        <f>J27</f>
        <v>100</v>
      </c>
      <c r="X27" s="771"/>
      <c r="Y27" s="3192"/>
      <c r="Z27" s="54" t="str">
        <f>Q27</f>
        <v>公共配套设施</v>
      </c>
      <c r="AA27" s="1813">
        <f>D27/F27</f>
        <v>0.98039215686274506</v>
      </c>
      <c r="AB27" s="1813">
        <f>D27/H27</f>
        <v>1</v>
      </c>
      <c r="AC27" s="1813">
        <f>D27/J27</f>
        <v>1</v>
      </c>
    </row>
    <row r="28" spans="1:29" s="116" customFormat="1" ht="15">
      <c r="A28" s="648"/>
      <c r="B28" s="455"/>
      <c r="C28" s="2701" t="s">
        <v>3059</v>
      </c>
      <c r="D28" s="447"/>
      <c r="E28" s="2612" t="s">
        <v>3085</v>
      </c>
      <c r="F28" s="447"/>
      <c r="G28" s="2612" t="s">
        <v>3059</v>
      </c>
      <c r="H28" s="447"/>
      <c r="I28" s="446" t="s">
        <v>3059</v>
      </c>
      <c r="J28" s="447"/>
      <c r="K28" s="671"/>
      <c r="L28" s="1134"/>
      <c r="M28" s="1135"/>
      <c r="N28" s="1135"/>
      <c r="O28" s="1136"/>
      <c r="P28" s="3192"/>
      <c r="Q28" s="1797"/>
      <c r="R28" s="769"/>
      <c r="S28" s="770"/>
      <c r="T28" s="769"/>
      <c r="U28" s="770"/>
      <c r="V28" s="769"/>
      <c r="W28" s="770"/>
      <c r="X28" s="771"/>
      <c r="Y28" s="3192"/>
      <c r="Z28" s="54"/>
      <c r="AA28" s="1813">
        <v>1</v>
      </c>
      <c r="AB28" s="1813">
        <v>1</v>
      </c>
      <c r="AC28" s="1813">
        <v>1</v>
      </c>
    </row>
    <row r="29" spans="1:29" s="116" customFormat="1" ht="28.5">
      <c r="A29" s="648"/>
      <c r="B29" s="1386" t="s">
        <v>2658</v>
      </c>
      <c r="C29" s="2608"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f>'[1]比较法-住宅、综合'!$K$31</f>
        <v>1.5</v>
      </c>
      <c r="L29" s="1134"/>
      <c r="M29" s="1135"/>
      <c r="N29" s="1135"/>
      <c r="O29" s="1136"/>
      <c r="P29" s="3192"/>
      <c r="Q29" s="1797" t="str">
        <f t="shared" ref="Q29" si="9">B29</f>
        <v>基础设施水平</v>
      </c>
      <c r="R29" s="769" t="s">
        <v>17</v>
      </c>
      <c r="S29" s="770">
        <f>F29</f>
        <v>100</v>
      </c>
      <c r="T29" s="769" t="s">
        <v>17</v>
      </c>
      <c r="U29" s="770">
        <f>H29</f>
        <v>100</v>
      </c>
      <c r="V29" s="769" t="s">
        <v>17</v>
      </c>
      <c r="W29" s="770">
        <f>J29</f>
        <v>100</v>
      </c>
      <c r="X29" s="771"/>
      <c r="Y29" s="3192"/>
      <c r="Z29" s="54" t="str">
        <f>Q29</f>
        <v>基础设施水平</v>
      </c>
      <c r="AA29" s="1813">
        <f>D29/F29</f>
        <v>1</v>
      </c>
      <c r="AB29" s="1813">
        <f>D29/H29</f>
        <v>1</v>
      </c>
      <c r="AC29" s="1813">
        <f>D29/J29</f>
        <v>1</v>
      </c>
    </row>
    <row r="30" spans="1:29" s="116" customFormat="1" ht="15">
      <c r="A30" s="648"/>
      <c r="B30" s="455"/>
      <c r="C30" s="2701" t="s">
        <v>3061</v>
      </c>
      <c r="D30" s="447"/>
      <c r="E30" s="2702" t="s">
        <v>3061</v>
      </c>
      <c r="F30" s="447"/>
      <c r="G30" s="2702" t="s">
        <v>3061</v>
      </c>
      <c r="H30" s="447"/>
      <c r="I30" s="2702" t="s">
        <v>3061</v>
      </c>
      <c r="J30" s="447"/>
      <c r="K30" s="671"/>
      <c r="L30" s="1134"/>
      <c r="M30" s="1135"/>
      <c r="N30" s="1135"/>
      <c r="O30" s="1136"/>
      <c r="P30" s="3192"/>
      <c r="Q30" s="1797"/>
      <c r="R30" s="769"/>
      <c r="S30" s="770"/>
      <c r="T30" s="769"/>
      <c r="U30" s="770"/>
      <c r="V30" s="769"/>
      <c r="W30" s="770"/>
      <c r="X30" s="771"/>
      <c r="Y30" s="3192"/>
      <c r="Z30" s="54"/>
      <c r="AA30" s="1813">
        <v>1</v>
      </c>
      <c r="AB30" s="1813">
        <v>1</v>
      </c>
      <c r="AC30" s="1813">
        <v>1</v>
      </c>
    </row>
    <row r="31" spans="1:29" ht="15" hidden="1">
      <c r="A31" s="427"/>
      <c r="B31" s="455" t="s">
        <v>2659</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92"/>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92"/>
      <c r="Z31" s="1816" t="str">
        <f t="shared" ref="Z31:Z45" si="13">Q31</f>
        <v>临街状况</v>
      </c>
      <c r="AA31" s="1813">
        <f t="shared" si="3"/>
        <v>1</v>
      </c>
      <c r="AB31" s="1813">
        <f t="shared" si="4"/>
        <v>1</v>
      </c>
      <c r="AC31" s="1813">
        <f t="shared" si="5"/>
        <v>1</v>
      </c>
    </row>
    <row r="32" spans="1:29" ht="27">
      <c r="A32" s="427"/>
      <c r="B32" s="1386" t="s">
        <v>2694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2</v>
      </c>
      <c r="L32" s="1142"/>
      <c r="M32" s="1133"/>
      <c r="N32" s="1133"/>
      <c r="O32" s="1141"/>
      <c r="P32" s="3192"/>
      <c r="Q32" s="1812" t="str">
        <f t="shared" si="8"/>
        <v>毗邻道路的类型与等级</v>
      </c>
      <c r="R32" s="773" t="s">
        <v>17</v>
      </c>
      <c r="S32" s="774">
        <f t="shared" si="10"/>
        <v>100</v>
      </c>
      <c r="T32" s="773" t="s">
        <v>17</v>
      </c>
      <c r="U32" s="774">
        <f t="shared" si="11"/>
        <v>100</v>
      </c>
      <c r="V32" s="773" t="s">
        <v>17</v>
      </c>
      <c r="W32" s="774">
        <f t="shared" si="12"/>
        <v>100</v>
      </c>
      <c r="X32" s="1815"/>
      <c r="Y32" s="3192"/>
      <c r="Z32" s="1816" t="str">
        <f t="shared" si="13"/>
        <v>毗邻道路的类型与等级</v>
      </c>
      <c r="AA32" s="1813">
        <f t="shared" si="3"/>
        <v>1</v>
      </c>
      <c r="AB32" s="1813">
        <f t="shared" si="4"/>
        <v>1</v>
      </c>
      <c r="AC32" s="1813">
        <f t="shared" si="5"/>
        <v>1</v>
      </c>
    </row>
    <row r="33" spans="1:29" ht="15.75" thickBot="1">
      <c r="A33" s="427"/>
      <c r="B33" s="455"/>
      <c r="C33" s="446" t="s">
        <v>3067</v>
      </c>
      <c r="D33" s="447"/>
      <c r="E33" s="2612" t="s">
        <v>3067</v>
      </c>
      <c r="F33" s="447"/>
      <c r="G33" s="2612" t="s">
        <v>3067</v>
      </c>
      <c r="H33" s="447"/>
      <c r="I33" s="446" t="s">
        <v>3067</v>
      </c>
      <c r="J33" s="447"/>
      <c r="K33" s="612"/>
      <c r="L33" s="1142"/>
      <c r="M33" s="1133"/>
      <c r="N33" s="1133"/>
      <c r="O33" s="1141"/>
      <c r="P33" s="3192"/>
      <c r="Q33" s="1812"/>
      <c r="R33" s="773"/>
      <c r="S33" s="774"/>
      <c r="T33" s="773"/>
      <c r="U33" s="774"/>
      <c r="V33" s="773"/>
      <c r="W33" s="774"/>
      <c r="X33" s="1815"/>
      <c r="Y33" s="3192"/>
      <c r="Z33" s="1816"/>
      <c r="AA33" s="1813">
        <v>1</v>
      </c>
      <c r="AB33" s="1813">
        <v>1</v>
      </c>
      <c r="AC33" s="1813">
        <v>1</v>
      </c>
    </row>
    <row r="34" spans="1:29" ht="15.75" hidden="1" thickBot="1">
      <c r="A34" s="427"/>
      <c r="B34" s="421" t="s">
        <v>2752</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92"/>
      <c r="Q34" s="1812" t="str">
        <f t="shared" si="8"/>
        <v>土地级别</v>
      </c>
      <c r="R34" s="773" t="s">
        <v>17</v>
      </c>
      <c r="S34" s="774">
        <f t="shared" si="10"/>
        <v>100</v>
      </c>
      <c r="T34" s="773" t="s">
        <v>17</v>
      </c>
      <c r="U34" s="774">
        <f t="shared" si="11"/>
        <v>100</v>
      </c>
      <c r="V34" s="773" t="s">
        <v>17</v>
      </c>
      <c r="W34" s="774">
        <f t="shared" si="12"/>
        <v>100</v>
      </c>
      <c r="X34" s="1815"/>
      <c r="Y34" s="3192"/>
      <c r="Z34" s="1816" t="str">
        <f t="shared" si="13"/>
        <v>土地级别</v>
      </c>
      <c r="AA34" s="1813">
        <f t="shared" si="3"/>
        <v>1</v>
      </c>
      <c r="AB34" s="1813">
        <f t="shared" si="4"/>
        <v>1</v>
      </c>
      <c r="AC34" s="1813">
        <f t="shared" si="5"/>
        <v>1</v>
      </c>
    </row>
    <row r="35" spans="1:29" ht="15" hidden="1">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92"/>
      <c r="Q35" s="1812">
        <f t="shared" si="8"/>
        <v>111</v>
      </c>
      <c r="R35" s="773" t="s">
        <v>17</v>
      </c>
      <c r="S35" s="774">
        <f t="shared" si="10"/>
        <v>100</v>
      </c>
      <c r="T35" s="773" t="s">
        <v>17</v>
      </c>
      <c r="U35" s="774">
        <f t="shared" si="11"/>
        <v>100</v>
      </c>
      <c r="V35" s="773" t="s">
        <v>17</v>
      </c>
      <c r="W35" s="774">
        <f t="shared" si="12"/>
        <v>100</v>
      </c>
      <c r="X35" s="1815"/>
      <c r="Y35" s="3192"/>
      <c r="Z35" s="1816">
        <f t="shared" si="13"/>
        <v>111</v>
      </c>
      <c r="AA35" s="1813">
        <f t="shared" si="3"/>
        <v>1</v>
      </c>
      <c r="AB35" s="1813">
        <f t="shared" si="4"/>
        <v>1</v>
      </c>
      <c r="AC35" s="1813">
        <f t="shared" si="5"/>
        <v>1</v>
      </c>
    </row>
    <row r="36" spans="1:29" ht="15" hidden="1">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93" t="s">
        <v>2568</v>
      </c>
      <c r="Q36" s="1812">
        <f t="shared" si="8"/>
        <v>111</v>
      </c>
      <c r="R36" s="773" t="s">
        <v>17</v>
      </c>
      <c r="S36" s="774">
        <f t="shared" si="10"/>
        <v>100</v>
      </c>
      <c r="T36" s="773" t="s">
        <v>17</v>
      </c>
      <c r="U36" s="774">
        <f t="shared" si="11"/>
        <v>100</v>
      </c>
      <c r="V36" s="773" t="s">
        <v>17</v>
      </c>
      <c r="W36" s="774">
        <f t="shared" si="12"/>
        <v>100</v>
      </c>
      <c r="X36" s="1815"/>
      <c r="Y36" s="3194" t="s">
        <v>2568</v>
      </c>
      <c r="Z36" s="1816">
        <f t="shared" si="13"/>
        <v>111</v>
      </c>
      <c r="AA36" s="1813">
        <f t="shared" si="3"/>
        <v>1</v>
      </c>
      <c r="AB36" s="1813">
        <f t="shared" si="4"/>
        <v>1</v>
      </c>
      <c r="AC36" s="1813">
        <f t="shared" si="5"/>
        <v>1</v>
      </c>
    </row>
    <row r="37" spans="1:29" s="470" customFormat="1" ht="15.75" hidden="1"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94"/>
      <c r="Q37" s="1812">
        <f t="shared" si="8"/>
        <v>111</v>
      </c>
      <c r="R37" s="776" t="s">
        <v>17</v>
      </c>
      <c r="S37" s="777">
        <f t="shared" si="10"/>
        <v>100</v>
      </c>
      <c r="T37" s="776" t="s">
        <v>17</v>
      </c>
      <c r="U37" s="777">
        <f t="shared" si="11"/>
        <v>100</v>
      </c>
      <c r="V37" s="776" t="s">
        <v>17</v>
      </c>
      <c r="W37" s="777">
        <f t="shared" si="12"/>
        <v>100</v>
      </c>
      <c r="X37" s="778"/>
      <c r="Y37" s="3194"/>
      <c r="Z37" s="779">
        <f t="shared" si="13"/>
        <v>111</v>
      </c>
      <c r="AA37" s="1813">
        <f t="shared" si="3"/>
        <v>1</v>
      </c>
      <c r="AB37" s="1813">
        <f t="shared" si="4"/>
        <v>1</v>
      </c>
      <c r="AC37" s="1813">
        <f t="shared" si="5"/>
        <v>1</v>
      </c>
    </row>
    <row r="38" spans="1:29" ht="15">
      <c r="A38" s="471" t="s">
        <v>2566</v>
      </c>
      <c r="B38" s="455" t="s">
        <v>2753</v>
      </c>
      <c r="C38" s="678">
        <f>'数据-基础表'!A3</f>
        <v>5780</v>
      </c>
      <c r="D38" s="466">
        <v>100</v>
      </c>
      <c r="E38" s="678">
        <v>74425</v>
      </c>
      <c r="F38" s="466">
        <f>LOOKUP(E38,117:117,118:118)-LOOKUP(C38,117:117,118:118)+100</f>
        <v>101</v>
      </c>
      <c r="G38" s="678">
        <v>74771</v>
      </c>
      <c r="H38" s="466">
        <f>LOOKUP(G38,117:117,118:118)-LOOKUP(C38,117:117,118:118)+100</f>
        <v>101</v>
      </c>
      <c r="I38" s="529">
        <v>89829</v>
      </c>
      <c r="J38" s="466">
        <f>LOOKUP(I38,117:117,118:118)-LOOKUP(C38,117:117,118:118)+100</f>
        <v>101</v>
      </c>
      <c r="K38" s="612"/>
      <c r="L38" s="1142"/>
      <c r="M38" s="1133"/>
      <c r="N38" s="1133"/>
      <c r="O38" s="1141"/>
      <c r="P38" s="3194"/>
      <c r="Q38" s="1812" t="str">
        <f>B38</f>
        <v>宗地面积</v>
      </c>
      <c r="R38" s="773" t="s">
        <v>17</v>
      </c>
      <c r="S38" s="774">
        <f t="shared" si="10"/>
        <v>101</v>
      </c>
      <c r="T38" s="773" t="s">
        <v>17</v>
      </c>
      <c r="U38" s="774">
        <f t="shared" si="11"/>
        <v>101</v>
      </c>
      <c r="V38" s="773" t="s">
        <v>17</v>
      </c>
      <c r="W38" s="774">
        <f t="shared" si="12"/>
        <v>101</v>
      </c>
      <c r="X38" s="1815"/>
      <c r="Y38" s="3194"/>
      <c r="Z38" s="1816" t="str">
        <f t="shared" si="13"/>
        <v>宗地面积</v>
      </c>
      <c r="AA38" s="1813">
        <f t="shared" si="3"/>
        <v>0.99009900990099009</v>
      </c>
      <c r="AB38" s="1813">
        <f t="shared" si="4"/>
        <v>0.99009900990099009</v>
      </c>
      <c r="AC38" s="1813">
        <f t="shared" si="5"/>
        <v>0.99009900990099009</v>
      </c>
    </row>
    <row r="39" spans="1:29" ht="15">
      <c r="A39" s="471"/>
      <c r="B39" s="421" t="s">
        <v>2754</v>
      </c>
      <c r="C39" s="2614" t="s">
        <v>3107</v>
      </c>
      <c r="D39" s="434">
        <v>100</v>
      </c>
      <c r="E39" s="2614" t="s">
        <v>3108</v>
      </c>
      <c r="F39" s="434">
        <f>SUMIF(119:119,E39,120:120)-SUMIF(119:119,C39,120:120)+100</f>
        <v>102</v>
      </c>
      <c r="G39" s="2614" t="s">
        <v>3108</v>
      </c>
      <c r="H39" s="434">
        <f>SUMIF(119:119,G39,120:120)-SUMIF(119:119,C39,120:120)+100</f>
        <v>102</v>
      </c>
      <c r="I39" s="2614" t="s">
        <v>3107</v>
      </c>
      <c r="J39" s="434">
        <f>SUMIF(119:119,I39,120:120)-SUMIF(119:119,C39,120:120)+100</f>
        <v>100</v>
      </c>
      <c r="K39" s="611">
        <v>2</v>
      </c>
      <c r="L39" s="1142"/>
      <c r="M39" s="1133"/>
      <c r="N39" s="1133"/>
      <c r="O39" s="1141"/>
      <c r="P39" s="3194"/>
      <c r="Q39" s="1812" t="str">
        <f t="shared" ref="Q39:Q45" si="14">B39</f>
        <v>宗地形状</v>
      </c>
      <c r="R39" s="773" t="s">
        <v>17</v>
      </c>
      <c r="S39" s="774">
        <f t="shared" si="10"/>
        <v>102</v>
      </c>
      <c r="T39" s="773" t="s">
        <v>17</v>
      </c>
      <c r="U39" s="774">
        <f t="shared" si="11"/>
        <v>102</v>
      </c>
      <c r="V39" s="773" t="s">
        <v>17</v>
      </c>
      <c r="W39" s="774">
        <f t="shared" si="12"/>
        <v>100</v>
      </c>
      <c r="X39" s="1815"/>
      <c r="Y39" s="3194"/>
      <c r="Z39" s="1816" t="str">
        <f t="shared" si="13"/>
        <v>宗地形状</v>
      </c>
      <c r="AA39" s="1813">
        <f t="shared" si="3"/>
        <v>0.98039215686274506</v>
      </c>
      <c r="AB39" s="1813">
        <f t="shared" si="4"/>
        <v>0.98039215686274506</v>
      </c>
      <c r="AC39" s="1813">
        <f t="shared" si="5"/>
        <v>1</v>
      </c>
    </row>
    <row r="40" spans="1:29" ht="15">
      <c r="A40" s="471"/>
      <c r="B40" s="421" t="s">
        <v>2755</v>
      </c>
      <c r="C40" s="2614" t="s">
        <v>3109</v>
      </c>
      <c r="D40" s="434">
        <v>100</v>
      </c>
      <c r="E40" s="2614" t="s">
        <v>3109</v>
      </c>
      <c r="F40" s="434">
        <f>SUMIF(121:121,E40,122:122)-SUMIF(121:121,C40,122:122)+100</f>
        <v>100</v>
      </c>
      <c r="G40" s="2614" t="s">
        <v>3109</v>
      </c>
      <c r="H40" s="434">
        <f>SUMIF(121:121,G40,122:122)-SUMIF(121:121,C40,122:122)+100</f>
        <v>100</v>
      </c>
      <c r="I40" s="2614" t="s">
        <v>3109</v>
      </c>
      <c r="J40" s="434">
        <f>SUMIF(121:121,I40,122:122)-SUMIF(121:121,C40,122:122)+100</f>
        <v>100</v>
      </c>
      <c r="K40" s="611"/>
      <c r="L40" s="1142"/>
      <c r="M40" s="1133"/>
      <c r="N40" s="1133"/>
      <c r="O40" s="1141"/>
      <c r="P40" s="3194"/>
      <c r="Q40" s="1812" t="str">
        <f t="shared" si="14"/>
        <v>临街宽度及深度</v>
      </c>
      <c r="R40" s="773" t="s">
        <v>17</v>
      </c>
      <c r="S40" s="774">
        <f t="shared" si="10"/>
        <v>100</v>
      </c>
      <c r="T40" s="773" t="s">
        <v>17</v>
      </c>
      <c r="U40" s="774">
        <f t="shared" si="11"/>
        <v>100</v>
      </c>
      <c r="V40" s="773" t="s">
        <v>17</v>
      </c>
      <c r="W40" s="774">
        <f t="shared" si="12"/>
        <v>100</v>
      </c>
      <c r="X40" s="1815"/>
      <c r="Y40" s="3194"/>
      <c r="Z40" s="1816" t="str">
        <f t="shared" si="13"/>
        <v>临街宽度及深度</v>
      </c>
      <c r="AA40" s="1813">
        <f t="shared" si="3"/>
        <v>1</v>
      </c>
      <c r="AB40" s="1813">
        <f t="shared" si="4"/>
        <v>1</v>
      </c>
      <c r="AC40" s="1813">
        <f t="shared" si="5"/>
        <v>1</v>
      </c>
    </row>
    <row r="41" spans="1:29" s="116" customFormat="1" ht="15">
      <c r="A41" s="472"/>
      <c r="B41" s="421" t="s">
        <v>2756</v>
      </c>
      <c r="C41" s="2703" t="s">
        <v>3110</v>
      </c>
      <c r="D41" s="135">
        <v>100</v>
      </c>
      <c r="E41" s="2703" t="s">
        <v>3110</v>
      </c>
      <c r="F41" s="434">
        <f>SUMIF(123:123,E41,124:124)-SUMIF(123:123,C41,124:124)+100</f>
        <v>100</v>
      </c>
      <c r="G41" s="2703" t="s">
        <v>3110</v>
      </c>
      <c r="H41" s="434">
        <f>SUMIF(123:123,G41,124:124)-SUMIF(123:123,C41,124:124)+100</f>
        <v>100</v>
      </c>
      <c r="I41" s="2703" t="s">
        <v>3110</v>
      </c>
      <c r="J41" s="434">
        <f>SUMIF(123:123,I41,124:124)-SUMIF(123:123,C41,124:124)+100</f>
        <v>100</v>
      </c>
      <c r="K41" s="611"/>
      <c r="L41" s="1134"/>
      <c r="M41" s="1135"/>
      <c r="N41" s="1135"/>
      <c r="O41" s="1136"/>
      <c r="P41" s="3194"/>
      <c r="Q41" s="1812" t="str">
        <f t="shared" si="14"/>
        <v>宗地开发程度</v>
      </c>
      <c r="R41" s="769" t="s">
        <v>17</v>
      </c>
      <c r="S41" s="770">
        <f t="shared" si="10"/>
        <v>100</v>
      </c>
      <c r="T41" s="769" t="s">
        <v>17</v>
      </c>
      <c r="U41" s="770">
        <f t="shared" si="11"/>
        <v>100</v>
      </c>
      <c r="V41" s="769" t="s">
        <v>17</v>
      </c>
      <c r="W41" s="770">
        <f t="shared" si="12"/>
        <v>100</v>
      </c>
      <c r="X41" s="771"/>
      <c r="Y41" s="3194"/>
      <c r="Z41" s="54" t="str">
        <f t="shared" si="13"/>
        <v>宗地开发程度</v>
      </c>
      <c r="AA41" s="772">
        <f t="shared" si="3"/>
        <v>1</v>
      </c>
      <c r="AB41" s="772">
        <f t="shared" si="4"/>
        <v>1</v>
      </c>
      <c r="AC41" s="772">
        <f t="shared" si="5"/>
        <v>1</v>
      </c>
    </row>
    <row r="42" spans="1:29" ht="15.75" thickBot="1">
      <c r="A42" s="471"/>
      <c r="B42" s="421" t="s">
        <v>2757</v>
      </c>
      <c r="C42" s="2614" t="s">
        <v>3059</v>
      </c>
      <c r="D42" s="434">
        <v>100</v>
      </c>
      <c r="E42" s="2614" t="s">
        <v>3059</v>
      </c>
      <c r="F42" s="434">
        <f>SUMIF(125:125,E42,126:126)-SUMIF(125:125,C42,126:126)+100</f>
        <v>100</v>
      </c>
      <c r="G42" s="2614" t="s">
        <v>3059</v>
      </c>
      <c r="H42" s="434">
        <f>SUMIF(125:125,G42,126:126)-SUMIF(125:125,C42,126:126)+100</f>
        <v>100</v>
      </c>
      <c r="I42" s="2614" t="s">
        <v>3059</v>
      </c>
      <c r="J42" s="434">
        <f>SUMIF(125:125,I42,126:126)-SUMIF(125:125,C42,126:126)+100</f>
        <v>100</v>
      </c>
      <c r="K42" s="611"/>
      <c r="L42" s="1142"/>
      <c r="M42" s="1133"/>
      <c r="N42" s="1133"/>
      <c r="O42" s="1141"/>
      <c r="P42" s="3194" t="s">
        <v>2568</v>
      </c>
      <c r="Q42" s="1812" t="str">
        <f t="shared" si="14"/>
        <v>工程地质条件</v>
      </c>
      <c r="R42" s="773" t="s">
        <v>17</v>
      </c>
      <c r="S42" s="774">
        <f t="shared" si="10"/>
        <v>100</v>
      </c>
      <c r="T42" s="773" t="s">
        <v>17</v>
      </c>
      <c r="U42" s="774">
        <f t="shared" si="11"/>
        <v>100</v>
      </c>
      <c r="V42" s="773" t="s">
        <v>17</v>
      </c>
      <c r="W42" s="774">
        <f t="shared" si="12"/>
        <v>100</v>
      </c>
      <c r="X42" s="1815"/>
      <c r="Y42" s="3194" t="s">
        <v>2568</v>
      </c>
      <c r="Z42" s="1816" t="str">
        <f t="shared" si="13"/>
        <v>工程地质条件</v>
      </c>
      <c r="AA42" s="1813">
        <f t="shared" si="3"/>
        <v>1</v>
      </c>
      <c r="AB42" s="1813">
        <f t="shared" si="4"/>
        <v>1</v>
      </c>
      <c r="AC42" s="1813">
        <f t="shared" si="5"/>
        <v>1</v>
      </c>
    </row>
    <row r="43" spans="1:29" ht="15" hidden="1">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94"/>
      <c r="Q43" s="1812">
        <f t="shared" si="14"/>
        <v>111</v>
      </c>
      <c r="R43" s="773" t="s">
        <v>17</v>
      </c>
      <c r="S43" s="774">
        <f t="shared" si="10"/>
        <v>100</v>
      </c>
      <c r="T43" s="773" t="s">
        <v>17</v>
      </c>
      <c r="U43" s="774">
        <f t="shared" si="11"/>
        <v>100</v>
      </c>
      <c r="V43" s="773" t="s">
        <v>17</v>
      </c>
      <c r="W43" s="774">
        <f t="shared" si="12"/>
        <v>100</v>
      </c>
      <c r="X43" s="1815"/>
      <c r="Y43" s="3194"/>
      <c r="Z43" s="1816">
        <f t="shared" si="13"/>
        <v>111</v>
      </c>
      <c r="AA43" s="1813">
        <f t="shared" si="3"/>
        <v>1</v>
      </c>
      <c r="AB43" s="1813">
        <f t="shared" si="4"/>
        <v>1</v>
      </c>
      <c r="AC43" s="1813">
        <f t="shared" si="5"/>
        <v>1</v>
      </c>
    </row>
    <row r="44" spans="1:29" ht="15" hidden="1">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94"/>
      <c r="Q44" s="1812">
        <f t="shared" si="14"/>
        <v>111</v>
      </c>
      <c r="R44" s="773" t="s">
        <v>17</v>
      </c>
      <c r="S44" s="774">
        <f t="shared" si="10"/>
        <v>100</v>
      </c>
      <c r="T44" s="773" t="s">
        <v>17</v>
      </c>
      <c r="U44" s="774">
        <f t="shared" si="11"/>
        <v>100</v>
      </c>
      <c r="V44" s="773" t="s">
        <v>17</v>
      </c>
      <c r="W44" s="774">
        <f t="shared" si="12"/>
        <v>100</v>
      </c>
      <c r="X44" s="1815"/>
      <c r="Y44" s="3194"/>
      <c r="Z44" s="1816">
        <f t="shared" si="13"/>
        <v>111</v>
      </c>
      <c r="AA44" s="1813">
        <f t="shared" si="3"/>
        <v>1</v>
      </c>
      <c r="AB44" s="1813">
        <f t="shared" si="4"/>
        <v>1</v>
      </c>
      <c r="AC44" s="1813">
        <f t="shared" si="5"/>
        <v>1</v>
      </c>
    </row>
    <row r="45" spans="1:29" s="470" customFormat="1" ht="15.75" hidden="1" thickBot="1">
      <c r="A45" s="467"/>
      <c r="B45" s="1389">
        <v>111</v>
      </c>
      <c r="C45" s="2704"/>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94"/>
      <c r="Q45" s="1812">
        <f t="shared" si="14"/>
        <v>111</v>
      </c>
      <c r="R45" s="776" t="s">
        <v>17</v>
      </c>
      <c r="S45" s="777">
        <f t="shared" si="10"/>
        <v>100</v>
      </c>
      <c r="T45" s="776" t="s">
        <v>17</v>
      </c>
      <c r="U45" s="777">
        <f t="shared" si="11"/>
        <v>100</v>
      </c>
      <c r="V45" s="776" t="s">
        <v>17</v>
      </c>
      <c r="W45" s="777">
        <f t="shared" si="12"/>
        <v>100</v>
      </c>
      <c r="X45" s="778"/>
      <c r="Y45" s="3194"/>
      <c r="Z45" s="779">
        <f t="shared" si="13"/>
        <v>111</v>
      </c>
      <c r="AA45" s="1813">
        <f t="shared" si="3"/>
        <v>1</v>
      </c>
      <c r="AB45" s="1813">
        <f t="shared" si="4"/>
        <v>1</v>
      </c>
      <c r="AC45" s="1813">
        <f t="shared" si="5"/>
        <v>1</v>
      </c>
    </row>
    <row r="46" spans="1:29" ht="15">
      <c r="A46" s="478" t="s">
        <v>2723</v>
      </c>
      <c r="B46" s="2705" t="s">
        <v>2758</v>
      </c>
      <c r="C46" s="681" t="s">
        <v>1</v>
      </c>
      <c r="D46" s="480"/>
      <c r="E46" s="481">
        <v>5260</v>
      </c>
      <c r="F46" s="482"/>
      <c r="G46" s="483">
        <v>4900</v>
      </c>
      <c r="H46" s="484"/>
      <c r="I46" s="481">
        <v>4171</v>
      </c>
      <c r="J46" s="484"/>
      <c r="K46" s="782"/>
      <c r="L46" s="1145"/>
      <c r="M46" s="1146"/>
      <c r="N46" s="1133"/>
      <c r="O46" s="1146"/>
      <c r="P46" s="3176" t="str">
        <f>A46</f>
        <v>成交单价</v>
      </c>
      <c r="Q46" s="3176"/>
      <c r="R46" s="3189">
        <f>E46</f>
        <v>5260</v>
      </c>
      <c r="S46" s="3189"/>
      <c r="T46" s="3189">
        <f>G46</f>
        <v>4900</v>
      </c>
      <c r="U46" s="3189"/>
      <c r="V46" s="3189">
        <f>I46</f>
        <v>4171</v>
      </c>
      <c r="W46" s="3189"/>
      <c r="X46" s="758"/>
      <c r="Y46" s="780"/>
      <c r="Z46" s="758"/>
      <c r="AA46" s="758"/>
      <c r="AB46" s="758"/>
      <c r="AC46" s="758"/>
    </row>
    <row r="47" spans="1:29" ht="15.75" thickBot="1">
      <c r="A47" s="485" t="s">
        <v>2672</v>
      </c>
      <c r="B47" s="682"/>
      <c r="C47" s="489">
        <f>R48</f>
        <v>4842</v>
      </c>
      <c r="D47" s="488"/>
      <c r="E47" s="489">
        <f>R47</f>
        <v>5060</v>
      </c>
      <c r="F47" s="490"/>
      <c r="G47" s="487">
        <f>T47</f>
        <v>5101</v>
      </c>
      <c r="H47" s="488"/>
      <c r="I47" s="489">
        <f>V47</f>
        <v>4364</v>
      </c>
      <c r="J47" s="488"/>
      <c r="K47" s="783"/>
      <c r="L47" s="1145"/>
      <c r="M47" s="1146"/>
      <c r="N47" s="1146"/>
      <c r="O47" s="1146"/>
      <c r="P47" s="3176" t="str">
        <f>A47</f>
        <v>比较价值（元/平方米）</v>
      </c>
      <c r="Q47" s="3176"/>
      <c r="R47" s="3195">
        <f>ROUND(PRODUCT(R46,AA7:AA45),0)</f>
        <v>5060</v>
      </c>
      <c r="S47" s="3195"/>
      <c r="T47" s="3195">
        <f>ROUND(PRODUCT(T46,AB7:AB45),0)</f>
        <v>5101</v>
      </c>
      <c r="U47" s="3195"/>
      <c r="V47" s="3195">
        <f>ROUND(PRODUCT(V46,AC7:AC45),0)</f>
        <v>4364</v>
      </c>
      <c r="W47" s="3195"/>
      <c r="X47" s="758"/>
      <c r="Y47" s="758"/>
      <c r="Z47" s="758"/>
      <c r="AA47" s="758"/>
      <c r="AB47" s="758"/>
      <c r="AC47" s="758"/>
    </row>
    <row r="48" spans="1:29" ht="15.75" thickBot="1">
      <c r="A48" s="491" t="s">
        <v>2759</v>
      </c>
      <c r="B48" s="492"/>
      <c r="C48" s="493">
        <f>R48</f>
        <v>4842</v>
      </c>
      <c r="D48" s="493"/>
      <c r="E48" s="493"/>
      <c r="F48" s="493"/>
      <c r="G48" s="493"/>
      <c r="H48" s="493"/>
      <c r="I48" s="493"/>
      <c r="J48" s="493"/>
      <c r="K48" s="784"/>
      <c r="L48" s="1145"/>
      <c r="M48" s="1146"/>
      <c r="N48" s="1146"/>
      <c r="O48" s="1146"/>
      <c r="P48" s="3196" t="str">
        <f>A48</f>
        <v>估价对象XX用房的比较价值（楼面单价，元/平方米）</v>
      </c>
      <c r="Q48" s="3197"/>
      <c r="R48" s="3198">
        <f>ROUND(AVERAGE(R47:V47),0)</f>
        <v>4842</v>
      </c>
      <c r="S48" s="3198"/>
      <c r="T48" s="3198"/>
      <c r="U48" s="3198"/>
      <c r="V48" s="3198"/>
      <c r="W48" s="3198"/>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2674</v>
      </c>
      <c r="D51" s="497"/>
      <c r="E51" s="498">
        <f>IF(E46&lt;E47,E47/E46-1,E46/E47-1)</f>
        <v>3.9525691699604737E-2</v>
      </c>
      <c r="F51" s="499" t="str">
        <f>IF(OR(E51&gt;=0.3,E51&lt;=-0.3),"超过30%","")</f>
        <v/>
      </c>
      <c r="G51" s="498">
        <f>IF(G46&lt;G47,G47/G46-1,G46/G47-1)</f>
        <v>4.1020408163265243E-2</v>
      </c>
      <c r="H51" s="499" t="str">
        <f>IF(OR(G51&gt;=0.3,G51&lt;=-0.3),"超过30%","")</f>
        <v/>
      </c>
      <c r="I51" s="498">
        <f>IF(I46&lt;I47,I47/I46-1,I46/I47-1)</f>
        <v>4.6271877247662463E-2</v>
      </c>
      <c r="J51" s="499" t="str">
        <f>IF(OR(I51&gt;=0.3,I51&lt;=-0.3),"超过30%","")</f>
        <v/>
      </c>
      <c r="K51" s="1107"/>
      <c r="L51" s="1108"/>
      <c r="M51" s="1146"/>
      <c r="N51" s="1146"/>
      <c r="O51" s="1146"/>
    </row>
    <row r="52" spans="1:15" ht="13.5" customHeight="1">
      <c r="A52" s="1146"/>
      <c r="B52" s="1146"/>
      <c r="C52" s="496" t="s">
        <v>2675</v>
      </c>
      <c r="D52" s="500"/>
      <c r="E52" s="498">
        <f>IF(E47&lt;G47,G47/E47-1,E47/G47-1)</f>
        <v>8.1027667984190366E-3</v>
      </c>
      <c r="F52" s="499" t="str">
        <f>IF(OR(E52&gt;=0.2,E52&lt;=-0.2),"超过20%","")</f>
        <v/>
      </c>
      <c r="G52" s="498">
        <f>IF(G47&lt;I47,I47/G47-1,G47/I47-1)</f>
        <v>0.16888175985334564</v>
      </c>
      <c r="H52" s="499" t="str">
        <f>IF(OR(G52&gt;=0.2,G52&lt;=-0.2),"超过20%","")</f>
        <v/>
      </c>
      <c r="I52" s="498">
        <f>IF(I47&lt;E47,E47/I47-1,I47/E47-1)</f>
        <v>0.15948670944087984</v>
      </c>
      <c r="J52" s="499" t="str">
        <f>IF(OR(I52&gt;=0.2,I52&lt;=-0.2),"超过20%","")</f>
        <v/>
      </c>
      <c r="K52" s="1107"/>
      <c r="L52" s="1108"/>
      <c r="M52" s="1146"/>
      <c r="N52" s="1146"/>
      <c r="O52" s="1146"/>
    </row>
    <row r="53" spans="1:15" s="501" customFormat="1" ht="13.5" customHeight="1">
      <c r="A53" s="1147"/>
      <c r="B53" s="1147"/>
      <c r="C53" s="496" t="s">
        <v>2676</v>
      </c>
      <c r="D53" s="500"/>
      <c r="E53" s="498">
        <f>IF(E46&lt;G46,G46/E46-1,E46/G46-1)</f>
        <v>7.3469387755102034E-2</v>
      </c>
      <c r="F53" s="499" t="str">
        <f>IF(OR(E53&gt;=0.3,E53&lt;=-0.3),"超过30%","")</f>
        <v/>
      </c>
      <c r="G53" s="498">
        <f>IF(G46&lt;I46,I46/G46-1,G46/I46-1)</f>
        <v>0.1747782306401342</v>
      </c>
      <c r="H53" s="499" t="str">
        <f>IF(OR(G53&gt;=0.3,G53&lt;=-0.3),"超过30%","")</f>
        <v/>
      </c>
      <c r="I53" s="498">
        <f>IF(I46&lt;E46,E46/I46-1,I46/E46-1)</f>
        <v>0.261088467993287</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2760</v>
      </c>
      <c r="B55" s="684" t="s">
        <v>2761</v>
      </c>
      <c r="C55" s="2706" t="s">
        <v>2762</v>
      </c>
      <c r="D55" s="2707" t="s">
        <v>2763</v>
      </c>
      <c r="E55" s="685" t="s">
        <v>2764</v>
      </c>
      <c r="F55" s="1109" t="s">
        <v>2765</v>
      </c>
      <c r="G55" s="3177" t="s">
        <v>2766</v>
      </c>
      <c r="H55" s="3199"/>
      <c r="I55" s="143" t="s">
        <v>2767</v>
      </c>
      <c r="J55" s="2708" t="str">
        <f>项目基本情况!F35</f>
        <v>青岛市</v>
      </c>
      <c r="K55" s="2709" t="s">
        <v>2768</v>
      </c>
      <c r="L55" s="1108"/>
      <c r="M55" s="1146"/>
      <c r="N55" s="1146"/>
      <c r="O55" s="1146"/>
    </row>
    <row r="56" spans="1:15" s="691" customFormat="1">
      <c r="A56" s="687" t="s">
        <v>2769</v>
      </c>
      <c r="B56" s="688">
        <f>C48</f>
        <v>4842</v>
      </c>
      <c r="C56" s="689">
        <v>1</v>
      </c>
      <c r="D56" s="1165">
        <v>1</v>
      </c>
      <c r="E56" s="689">
        <f>'数据-汇总表'!E8+'数据-汇总表'!E9</f>
        <v>24809.760000000002</v>
      </c>
      <c r="F56" s="1105">
        <f t="shared" ref="F56:F65" si="15">ROUND(B56*E56/10000,0)</f>
        <v>12013</v>
      </c>
      <c r="G56" s="3200"/>
      <c r="H56" s="3176"/>
      <c r="I56" s="1110">
        <v>1</v>
      </c>
      <c r="J56" s="1113">
        <v>1</v>
      </c>
      <c r="K56" s="1147"/>
      <c r="L56" s="943"/>
      <c r="M56" s="943"/>
      <c r="N56" s="943"/>
      <c r="O56" s="943"/>
    </row>
    <row r="57" spans="1:15" s="691" customFormat="1">
      <c r="A57" s="692" t="s">
        <v>2770</v>
      </c>
      <c r="B57" s="261">
        <f>ROUND($C$48*C57*D57,0)</f>
        <v>0</v>
      </c>
      <c r="C57" s="199">
        <f t="shared" ref="C57:C65" si="16">IF($C$55="北京市系数",I57,J57)</f>
        <v>0</v>
      </c>
      <c r="D57" s="1166">
        <v>0.25</v>
      </c>
      <c r="E57" s="693"/>
      <c r="F57" s="1105">
        <f t="shared" si="15"/>
        <v>0</v>
      </c>
      <c r="G57" s="3201" t="s">
        <v>2771</v>
      </c>
      <c r="H57" s="1106">
        <f>项目基本情况!B37</f>
        <v>0</v>
      </c>
      <c r="I57" s="1110">
        <f>SUMIF(修正!A45:A56,H57,修正!B45:B56)</f>
        <v>0</v>
      </c>
      <c r="J57" s="1114"/>
      <c r="K57" s="1146"/>
      <c r="L57" s="943"/>
      <c r="M57" s="943"/>
      <c r="N57" s="943"/>
      <c r="O57" s="943"/>
    </row>
    <row r="58" spans="1:15" s="691" customFormat="1">
      <c r="A58" s="692" t="s">
        <v>2772</v>
      </c>
      <c r="B58" s="261">
        <f t="shared" ref="B58:B65" si="17">ROUND($C$48*C58*D58,0)</f>
        <v>0</v>
      </c>
      <c r="C58" s="199">
        <f t="shared" si="16"/>
        <v>0</v>
      </c>
      <c r="D58" s="1166">
        <v>0.25</v>
      </c>
      <c r="E58" s="693"/>
      <c r="F58" s="1105">
        <f t="shared" si="15"/>
        <v>0</v>
      </c>
      <c r="G58" s="3201"/>
      <c r="H58" s="1106">
        <f>项目基本情况!B37</f>
        <v>0</v>
      </c>
      <c r="I58" s="1110">
        <f>SUMIF(修正!A45:A56,H58,修正!C45:C56)</f>
        <v>0</v>
      </c>
      <c r="J58" s="1114"/>
      <c r="K58" s="1147"/>
      <c r="L58" s="943"/>
      <c r="M58" s="943"/>
      <c r="N58" s="943"/>
      <c r="O58" s="943"/>
    </row>
    <row r="59" spans="1:15" s="691" customFormat="1">
      <c r="A59" s="692" t="s">
        <v>2773</v>
      </c>
      <c r="B59" s="261">
        <f t="shared" si="17"/>
        <v>0</v>
      </c>
      <c r="C59" s="199">
        <f t="shared" si="16"/>
        <v>0</v>
      </c>
      <c r="D59" s="1166">
        <v>0.25</v>
      </c>
      <c r="E59" s="693"/>
      <c r="F59" s="1105">
        <f t="shared" si="15"/>
        <v>0</v>
      </c>
      <c r="G59" s="3201"/>
      <c r="H59" s="1106">
        <f>项目基本情况!B37</f>
        <v>0</v>
      </c>
      <c r="I59" s="1110">
        <f>SUMIF(修正!A45:A56,H59,修正!D45:D56)</f>
        <v>0</v>
      </c>
      <c r="J59" s="1114"/>
      <c r="K59" s="1146"/>
      <c r="L59" s="943"/>
      <c r="M59" s="943"/>
      <c r="N59" s="943"/>
      <c r="O59" s="943"/>
    </row>
    <row r="60" spans="1:15" s="691" customFormat="1">
      <c r="A60" s="692" t="s">
        <v>2774</v>
      </c>
      <c r="B60" s="261">
        <f t="shared" si="17"/>
        <v>0</v>
      </c>
      <c r="C60" s="199">
        <f t="shared" si="16"/>
        <v>0</v>
      </c>
      <c r="D60" s="1166">
        <v>0.25</v>
      </c>
      <c r="E60" s="693"/>
      <c r="F60" s="1105">
        <f t="shared" si="15"/>
        <v>0</v>
      </c>
      <c r="G60" s="3201"/>
      <c r="H60" s="1106">
        <f>项目基本情况!B37</f>
        <v>0</v>
      </c>
      <c r="I60" s="1110">
        <f>SUMIF(修正!A45:A56,H60,修正!E45:E56)</f>
        <v>0</v>
      </c>
      <c r="J60" s="1114"/>
      <c r="K60" s="1147"/>
      <c r="L60" s="943"/>
      <c r="M60" s="943"/>
      <c r="N60" s="943"/>
      <c r="O60" s="943"/>
    </row>
    <row r="61" spans="1:15" s="691" customFormat="1">
      <c r="A61" s="692" t="s">
        <v>2775</v>
      </c>
      <c r="B61" s="261">
        <f t="shared" si="17"/>
        <v>0</v>
      </c>
      <c r="C61" s="199">
        <f t="shared" si="16"/>
        <v>0</v>
      </c>
      <c r="D61" s="1166">
        <v>0.25</v>
      </c>
      <c r="E61" s="260">
        <f>'数据-汇总表'!E11</f>
        <v>109.34</v>
      </c>
      <c r="F61" s="1105">
        <f t="shared" si="15"/>
        <v>0</v>
      </c>
      <c r="G61" s="2710" t="s">
        <v>2776</v>
      </c>
      <c r="H61" s="1106">
        <f>项目基本情况!C37</f>
        <v>0</v>
      </c>
      <c r="I61" s="1110">
        <f>SUMIF(修正!A45:A56,H61,修正!F45:F56)</f>
        <v>0</v>
      </c>
      <c r="J61" s="1114"/>
      <c r="K61" s="1146"/>
      <c r="L61" s="943"/>
      <c r="M61" s="943"/>
      <c r="N61" s="943"/>
      <c r="O61" s="943"/>
    </row>
    <row r="62" spans="1:15" s="691" customFormat="1">
      <c r="A62" s="692" t="s">
        <v>2777</v>
      </c>
      <c r="B62" s="261">
        <f t="shared" si="17"/>
        <v>0</v>
      </c>
      <c r="C62" s="199">
        <f t="shared" si="16"/>
        <v>0</v>
      </c>
      <c r="D62" s="1166">
        <v>0.25</v>
      </c>
      <c r="E62" s="260">
        <f>'数据-汇总表'!E12</f>
        <v>0</v>
      </c>
      <c r="F62" s="1105">
        <f t="shared" si="15"/>
        <v>0</v>
      </c>
      <c r="G62" s="1111" t="s">
        <v>2778</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2779</v>
      </c>
      <c r="B63" s="261">
        <f t="shared" si="17"/>
        <v>0</v>
      </c>
      <c r="C63" s="199">
        <f t="shared" si="16"/>
        <v>0</v>
      </c>
      <c r="D63" s="1166">
        <v>0.25</v>
      </c>
      <c r="E63" s="260">
        <f>'数据-汇总表'!E13</f>
        <v>0</v>
      </c>
      <c r="F63" s="1105">
        <f t="shared" si="15"/>
        <v>0</v>
      </c>
      <c r="G63" s="1111" t="s">
        <v>2780</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2781</v>
      </c>
      <c r="B64" s="261">
        <f t="shared" si="17"/>
        <v>0</v>
      </c>
      <c r="C64" s="199">
        <f t="shared" si="16"/>
        <v>0</v>
      </c>
      <c r="D64" s="1166">
        <v>0.25</v>
      </c>
      <c r="E64" s="260">
        <f>'数据-汇总表'!E14</f>
        <v>0</v>
      </c>
      <c r="F64" s="1105">
        <f t="shared" si="15"/>
        <v>0</v>
      </c>
      <c r="G64" s="2710" t="s">
        <v>2771</v>
      </c>
      <c r="H64" s="1106">
        <f>项目基本情况!B37</f>
        <v>0</v>
      </c>
      <c r="I64" s="1110">
        <f>SUMIF(修正!A45:A56,H64,修正!H45:H56)</f>
        <v>0</v>
      </c>
      <c r="J64" s="1114"/>
      <c r="K64" s="1147"/>
      <c r="L64" s="943"/>
      <c r="M64" s="943"/>
      <c r="N64" s="943"/>
      <c r="O64" s="943"/>
    </row>
    <row r="65" spans="1:17" s="691" customFormat="1" ht="15" thickBot="1">
      <c r="A65" s="692" t="s">
        <v>2782</v>
      </c>
      <c r="B65" s="261">
        <f t="shared" si="17"/>
        <v>0</v>
      </c>
      <c r="C65" s="199">
        <f t="shared" si="16"/>
        <v>0</v>
      </c>
      <c r="D65" s="1166">
        <v>0.25</v>
      </c>
      <c r="E65" s="260">
        <f>'数据-汇总表'!E15</f>
        <v>0</v>
      </c>
      <c r="F65" s="1105">
        <f t="shared" si="15"/>
        <v>0</v>
      </c>
      <c r="G65" s="2711" t="s">
        <v>2776</v>
      </c>
      <c r="H65" s="1116">
        <f>项目基本情况!C37</f>
        <v>0</v>
      </c>
      <c r="I65" s="1112">
        <f>SUMIF(修正!A45:A56,H65,修正!H45:H56)</f>
        <v>0</v>
      </c>
      <c r="J65" s="1115"/>
      <c r="K65" s="1146"/>
      <c r="L65" s="943"/>
      <c r="M65" s="943"/>
      <c r="N65" s="943"/>
      <c r="O65" s="943"/>
    </row>
    <row r="66" spans="1:17" s="691" customFormat="1" ht="13.5" thickBot="1">
      <c r="A66" s="694" t="s">
        <v>2783</v>
      </c>
      <c r="B66" s="695" t="s">
        <v>28</v>
      </c>
      <c r="C66" s="695" t="s">
        <v>29</v>
      </c>
      <c r="D66" s="695" t="s">
        <v>1029</v>
      </c>
      <c r="E66" s="695">
        <f>IF(B46="楼面地价",SUM(E56:E65),'数据-汇总表'!D3)</f>
        <v>24919.100000000002</v>
      </c>
      <c r="F66" s="696">
        <f>IF(B46="楼面地价",SUM(F56:F65),ROUND(C48*E66/10000,0))</f>
        <v>12013</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2018-3-1</v>
      </c>
      <c r="D68" s="760">
        <f>EDATE(C68,-3)</f>
        <v>43070</v>
      </c>
      <c r="E68" s="760">
        <f>EDATE(D68,-3)</f>
        <v>42979</v>
      </c>
      <c r="F68" s="760">
        <f t="shared" ref="F68:O68" si="18">EDATE(E68,-3)</f>
        <v>42887</v>
      </c>
      <c r="G68" s="760">
        <f t="shared" si="18"/>
        <v>42795</v>
      </c>
      <c r="H68" s="760">
        <f t="shared" si="18"/>
        <v>42705</v>
      </c>
      <c r="I68" s="760">
        <f t="shared" si="18"/>
        <v>42614</v>
      </c>
      <c r="J68" s="760">
        <f t="shared" si="18"/>
        <v>42522</v>
      </c>
      <c r="K68" s="760">
        <f t="shared" si="18"/>
        <v>42430</v>
      </c>
      <c r="L68" s="760">
        <f t="shared" si="18"/>
        <v>42339</v>
      </c>
      <c r="M68" s="760">
        <f t="shared" si="18"/>
        <v>42248</v>
      </c>
      <c r="N68" s="760">
        <f t="shared" si="18"/>
        <v>42156</v>
      </c>
      <c r="O68" s="760">
        <f t="shared" si="18"/>
        <v>42064</v>
      </c>
    </row>
    <row r="69" spans="1:17" ht="21.75" thickBot="1">
      <c r="A69" s="762" t="s">
        <v>2677</v>
      </c>
      <c r="B69" s="758"/>
      <c r="C69" s="763"/>
      <c r="D69" s="763"/>
      <c r="E69" s="763"/>
      <c r="F69" s="764"/>
      <c r="G69" s="764"/>
      <c r="H69" s="763"/>
      <c r="I69" s="763"/>
      <c r="J69" s="1161"/>
      <c r="K69" s="1162"/>
      <c r="L69" s="1163"/>
      <c r="M69" s="1161"/>
      <c r="N69" s="1161"/>
      <c r="O69" s="1161"/>
      <c r="P69" s="502"/>
      <c r="Q69" s="503"/>
    </row>
    <row r="70" spans="1:17" s="507" customFormat="1" ht="15">
      <c r="A70" s="2712" t="s">
        <v>2784</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6"/>
    </row>
    <row r="71" spans="1:17" s="116" customFormat="1" ht="30" customHeight="1">
      <c r="A71" s="2713" t="s">
        <v>2785</v>
      </c>
      <c r="B71" s="331" t="str">
        <f>"北京市平均增长率"&amp;TEXT(SUMIF(基准地价修正!N21:N25,A71,基准地价修正!P21:P25),"0.00%")</f>
        <v>北京市平均增长率2.55%</v>
      </c>
      <c r="C71" s="602">
        <v>100</v>
      </c>
      <c r="D71" s="594">
        <v>97</v>
      </c>
      <c r="E71" s="594">
        <v>94</v>
      </c>
      <c r="F71" s="594">
        <v>91</v>
      </c>
      <c r="G71" s="594"/>
      <c r="H71" s="594"/>
      <c r="I71" s="594"/>
      <c r="J71" s="594"/>
      <c r="K71" s="594"/>
      <c r="L71" s="594"/>
      <c r="M71" s="1569"/>
      <c r="N71" s="594"/>
      <c r="O71" s="1570"/>
      <c r="P71" s="503"/>
    </row>
    <row r="72" spans="1:17" s="116" customFormat="1" ht="15.75" thickBot="1">
      <c r="A72" s="514" t="s">
        <v>2588</v>
      </c>
      <c r="B72" s="515"/>
      <c r="C72" s="516"/>
      <c r="D72" s="517"/>
      <c r="E72" s="517"/>
      <c r="F72" s="517"/>
      <c r="G72" s="517"/>
      <c r="H72" s="517"/>
      <c r="I72" s="517"/>
      <c r="J72" s="517"/>
      <c r="K72" s="517"/>
      <c r="L72" s="517"/>
      <c r="M72" s="518"/>
      <c r="N72" s="517"/>
      <c r="O72" s="1164"/>
      <c r="P72" s="503"/>
      <c r="Q72" s="503"/>
    </row>
    <row r="73" spans="1:17" s="116" customFormat="1" ht="15">
      <c r="A73" s="520" t="s">
        <v>2553</v>
      </c>
      <c r="B73" s="509"/>
      <c r="C73" s="521" t="s">
        <v>2655</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2591</v>
      </c>
      <c r="B75" s="527" t="s">
        <v>2557</v>
      </c>
      <c r="C75" s="2942" t="s">
        <v>3058</v>
      </c>
      <c r="D75" s="529"/>
      <c r="E75" s="529"/>
      <c r="F75" s="529"/>
      <c r="G75" s="529"/>
      <c r="H75" s="529"/>
      <c r="I75" s="529"/>
      <c r="J75" s="529"/>
      <c r="K75" s="530"/>
      <c r="L75" s="531"/>
      <c r="M75" s="532"/>
      <c r="N75" s="1154"/>
      <c r="O75" s="1154"/>
      <c r="P75" s="45"/>
      <c r="Q75" s="503"/>
    </row>
    <row r="76" spans="1:17" ht="15.75" thickBot="1">
      <c r="A76" s="533"/>
      <c r="B76" s="534"/>
      <c r="C76" s="535">
        <v>100</v>
      </c>
      <c r="D76" s="535"/>
      <c r="E76" s="535"/>
      <c r="F76" s="535"/>
      <c r="G76" s="535"/>
      <c r="H76" s="535"/>
      <c r="I76" s="535"/>
      <c r="J76" s="535"/>
      <c r="K76" s="535"/>
      <c r="L76" s="535"/>
      <c r="M76" s="536"/>
      <c r="N76" s="1155"/>
      <c r="O76" s="1155"/>
      <c r="P76" s="45"/>
      <c r="Q76" s="503"/>
    </row>
    <row r="77" spans="1:17" ht="27.75" thickTop="1">
      <c r="A77" s="533"/>
      <c r="B77" s="537" t="s">
        <v>2560</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2561</v>
      </c>
      <c r="C79" s="546" t="str">
        <f>C80&amp;"（含）"&amp;"-"&amp;D80</f>
        <v>0（含）-1</v>
      </c>
      <c r="D79" s="546" t="str">
        <f t="shared" ref="D79:L79" si="20">D80&amp;"（含）"&amp;"-"&amp;E80</f>
        <v>1（含）-2.1</v>
      </c>
      <c r="E79" s="546" t="str">
        <f t="shared" si="20"/>
        <v>2.1（含）-3</v>
      </c>
      <c r="F79" s="546" t="str">
        <f t="shared" si="20"/>
        <v>3（含）-4</v>
      </c>
      <c r="G79" s="546" t="str">
        <f t="shared" si="20"/>
        <v>4（含）-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v>0</v>
      </c>
      <c r="D80" s="548">
        <v>1</v>
      </c>
      <c r="E80" s="548">
        <v>2.1</v>
      </c>
      <c r="F80" s="548">
        <v>3</v>
      </c>
      <c r="G80" s="548">
        <v>4</v>
      </c>
      <c r="H80" s="548"/>
      <c r="I80" s="548"/>
      <c r="J80" s="548"/>
      <c r="K80" s="549"/>
      <c r="L80" s="550"/>
      <c r="M80" s="551"/>
      <c r="N80" s="1154"/>
      <c r="O80" s="1154"/>
      <c r="P80" s="45"/>
      <c r="Q80" s="503"/>
    </row>
    <row r="81" spans="1:17" ht="15.75" thickBot="1">
      <c r="A81" s="533"/>
      <c r="B81" s="534"/>
      <c r="C81" s="543">
        <v>100</v>
      </c>
      <c r="D81" s="543">
        <f t="shared" ref="D81:M81" si="21">IF($B$46="单位面积地价",C81+$K11,C81-$K11)</f>
        <v>95</v>
      </c>
      <c r="E81" s="543">
        <f t="shared" si="21"/>
        <v>90</v>
      </c>
      <c r="F81" s="543">
        <f t="shared" si="21"/>
        <v>85</v>
      </c>
      <c r="G81" s="543">
        <f t="shared" si="21"/>
        <v>80</v>
      </c>
      <c r="H81" s="543">
        <f t="shared" si="21"/>
        <v>75</v>
      </c>
      <c r="I81" s="543">
        <f t="shared" si="21"/>
        <v>70</v>
      </c>
      <c r="J81" s="543">
        <f t="shared" si="21"/>
        <v>65</v>
      </c>
      <c r="K81" s="543">
        <f t="shared" si="21"/>
        <v>60</v>
      </c>
      <c r="L81" s="543">
        <f t="shared" si="21"/>
        <v>55</v>
      </c>
      <c r="M81" s="543">
        <f t="shared" si="21"/>
        <v>50</v>
      </c>
      <c r="N81" s="1155"/>
      <c r="O81" s="1155"/>
      <c r="P81" s="45"/>
      <c r="Q81" s="503"/>
    </row>
    <row r="82" spans="1:17" s="470" customFormat="1" ht="15.75" thickTop="1">
      <c r="A82" s="552"/>
      <c r="B82" s="537" t="str">
        <f>B12</f>
        <v>竞拍限制条件</v>
      </c>
      <c r="C82" s="2951" t="s">
        <v>3088</v>
      </c>
      <c r="D82" s="2951" t="s">
        <v>3089</v>
      </c>
      <c r="E82" s="553"/>
      <c r="F82" s="553"/>
      <c r="G82" s="553"/>
      <c r="H82" s="554"/>
      <c r="I82" s="554"/>
      <c r="J82" s="554"/>
      <c r="K82" s="554"/>
      <c r="L82" s="555"/>
      <c r="M82" s="556"/>
      <c r="N82" s="1156"/>
      <c r="O82" s="1156"/>
      <c r="P82" s="557"/>
      <c r="Q82" s="558"/>
    </row>
    <row r="83" spans="1:17" s="470" customFormat="1" ht="15.75" thickBot="1">
      <c r="A83" s="552"/>
      <c r="B83" s="542"/>
      <c r="C83" s="559">
        <v>100</v>
      </c>
      <c r="D83" s="535">
        <v>85</v>
      </c>
      <c r="E83" s="535"/>
      <c r="F83" s="535"/>
      <c r="G83" s="535"/>
      <c r="H83" s="535"/>
      <c r="I83" s="535"/>
      <c r="J83" s="535"/>
      <c r="K83" s="535"/>
      <c r="L83" s="535"/>
      <c r="M83" s="536"/>
      <c r="N83" s="1155"/>
      <c r="O83" s="1155"/>
      <c r="P83" s="557"/>
      <c r="Q83" s="558"/>
    </row>
    <row r="84" spans="1:17" s="470" customFormat="1" ht="15.75" hidden="1" thickTop="1">
      <c r="A84" s="552"/>
      <c r="B84" s="537">
        <f>B13</f>
        <v>111</v>
      </c>
      <c r="C84" s="553"/>
      <c r="D84" s="553"/>
      <c r="E84" s="553"/>
      <c r="F84" s="553"/>
      <c r="G84" s="553"/>
      <c r="H84" s="554"/>
      <c r="I84" s="554"/>
      <c r="J84" s="554"/>
      <c r="K84" s="554"/>
      <c r="L84" s="555"/>
      <c r="M84" s="556"/>
      <c r="N84" s="1156"/>
      <c r="O84" s="1156"/>
      <c r="P84" s="469"/>
      <c r="Q84" s="560"/>
    </row>
    <row r="85" spans="1:17" s="470" customFormat="1" ht="15.75" hidden="1" thickBot="1">
      <c r="A85" s="552"/>
      <c r="B85" s="542"/>
      <c r="C85" s="559"/>
      <c r="D85" s="559"/>
      <c r="E85" s="559"/>
      <c r="F85" s="559"/>
      <c r="G85" s="559"/>
      <c r="H85" s="561"/>
      <c r="I85" s="561"/>
      <c r="J85" s="561"/>
      <c r="K85" s="561"/>
      <c r="L85" s="561"/>
      <c r="M85" s="562"/>
      <c r="N85" s="1156"/>
      <c r="O85" s="1156"/>
      <c r="P85" s="557"/>
      <c r="Q85" s="558"/>
    </row>
    <row r="86" spans="1:17" s="470" customFormat="1" ht="15.75" hidden="1" thickTop="1">
      <c r="A86" s="552"/>
      <c r="B86" s="545">
        <f>B14</f>
        <v>111</v>
      </c>
      <c r="C86" s="522"/>
      <c r="D86" s="522"/>
      <c r="E86" s="522"/>
      <c r="F86" s="522"/>
      <c r="G86" s="522"/>
      <c r="H86" s="563"/>
      <c r="I86" s="563"/>
      <c r="J86" s="563"/>
      <c r="K86" s="563"/>
      <c r="L86" s="564"/>
      <c r="M86" s="565"/>
      <c r="N86" s="1156"/>
      <c r="O86" s="1156"/>
      <c r="P86" s="566"/>
      <c r="Q86" s="558"/>
    </row>
    <row r="87" spans="1:17" s="470" customFormat="1" ht="15.75" hidden="1" thickBot="1">
      <c r="A87" s="567"/>
      <c r="B87" s="568"/>
      <c r="C87" s="569"/>
      <c r="D87" s="569"/>
      <c r="E87" s="569"/>
      <c r="F87" s="569"/>
      <c r="G87" s="569"/>
      <c r="H87" s="570"/>
      <c r="I87" s="570"/>
      <c r="J87" s="570"/>
      <c r="K87" s="570"/>
      <c r="L87" s="570"/>
      <c r="M87" s="571"/>
      <c r="N87" s="1156"/>
      <c r="O87" s="1156"/>
      <c r="P87" s="557"/>
      <c r="Q87" s="558"/>
    </row>
    <row r="88" spans="1:17" ht="15" thickTop="1">
      <c r="A88" s="526" t="s">
        <v>2562</v>
      </c>
      <c r="B88" s="527" t="s">
        <v>2599</v>
      </c>
      <c r="C88" s="572" t="s">
        <v>2600</v>
      </c>
      <c r="D88" s="572" t="s">
        <v>2601</v>
      </c>
      <c r="E88" s="572" t="s">
        <v>2602</v>
      </c>
      <c r="F88" s="572" t="s">
        <v>2603</v>
      </c>
      <c r="G88" s="572" t="s">
        <v>2604</v>
      </c>
      <c r="H88" s="528"/>
      <c r="I88" s="528"/>
      <c r="J88" s="528"/>
      <c r="K88" s="573"/>
      <c r="L88" s="574"/>
      <c r="M88" s="575"/>
      <c r="N88" s="1154"/>
      <c r="O88" s="1154"/>
      <c r="P88" s="576"/>
      <c r="Q88" s="503"/>
    </row>
    <row r="89" spans="1:17" ht="15.75" thickBot="1">
      <c r="A89" s="533"/>
      <c r="B89" s="542"/>
      <c r="C89" s="543">
        <v>100</v>
      </c>
      <c r="D89" s="543">
        <f>C89-$K15</f>
        <v>97</v>
      </c>
      <c r="E89" s="543">
        <f>D89-$K15</f>
        <v>94</v>
      </c>
      <c r="F89" s="543">
        <f>E89-$K15</f>
        <v>91</v>
      </c>
      <c r="G89" s="543">
        <f>F89-$K15</f>
        <v>88</v>
      </c>
      <c r="H89" s="543"/>
      <c r="I89" s="543"/>
      <c r="J89" s="543"/>
      <c r="K89" s="543"/>
      <c r="L89" s="543"/>
      <c r="M89" s="544"/>
      <c r="N89" s="1155"/>
      <c r="O89" s="1155"/>
      <c r="P89" s="45"/>
      <c r="Q89" s="503"/>
    </row>
    <row r="90" spans="1:17" ht="15.75" thickTop="1">
      <c r="A90" s="533"/>
      <c r="B90" s="537" t="s">
        <v>2786</v>
      </c>
      <c r="C90" s="577" t="s">
        <v>2600</v>
      </c>
      <c r="D90" s="577" t="s">
        <v>2601</v>
      </c>
      <c r="E90" s="577" t="s">
        <v>2602</v>
      </c>
      <c r="F90" s="577" t="s">
        <v>2603</v>
      </c>
      <c r="G90" s="577" t="s">
        <v>2604</v>
      </c>
      <c r="H90" s="538"/>
      <c r="I90" s="538"/>
      <c r="J90" s="538"/>
      <c r="K90" s="539"/>
      <c r="L90" s="540"/>
      <c r="M90" s="541"/>
      <c r="N90" s="1154"/>
      <c r="O90" s="1154"/>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5"/>
      <c r="O91" s="1155"/>
      <c r="P91" s="45"/>
      <c r="Q91" s="503"/>
    </row>
    <row r="92" spans="1:17" ht="15.75" thickTop="1">
      <c r="A92" s="533"/>
      <c r="B92" s="537" t="s">
        <v>2700</v>
      </c>
      <c r="C92" s="577" t="s">
        <v>2600</v>
      </c>
      <c r="D92" s="577" t="s">
        <v>2601</v>
      </c>
      <c r="E92" s="577" t="s">
        <v>2602</v>
      </c>
      <c r="F92" s="577" t="s">
        <v>2603</v>
      </c>
      <c r="G92" s="577" t="s">
        <v>2604</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2605</v>
      </c>
      <c r="C94" s="577" t="s">
        <v>2600</v>
      </c>
      <c r="D94" s="577" t="s">
        <v>2601</v>
      </c>
      <c r="E94" s="577" t="s">
        <v>2602</v>
      </c>
      <c r="F94" s="577" t="s">
        <v>2603</v>
      </c>
      <c r="G94" s="577" t="s">
        <v>2604</v>
      </c>
      <c r="H94" s="538"/>
      <c r="I94" s="538"/>
      <c r="J94" s="538"/>
      <c r="K94" s="539"/>
      <c r="L94" s="540"/>
      <c r="M94" s="541"/>
      <c r="N94" s="1154"/>
      <c r="O94" s="1154"/>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5"/>
      <c r="O95" s="1155"/>
      <c r="P95" s="45"/>
      <c r="Q95" s="503"/>
    </row>
    <row r="96" spans="1:17" s="116" customFormat="1" ht="15.75" thickTop="1">
      <c r="A96" s="578"/>
      <c r="B96" s="537" t="s">
        <v>2787</v>
      </c>
      <c r="C96" s="577" t="s">
        <v>2600</v>
      </c>
      <c r="D96" s="577" t="s">
        <v>2601</v>
      </c>
      <c r="E96" s="577" t="s">
        <v>2602</v>
      </c>
      <c r="F96" s="577" t="s">
        <v>2603</v>
      </c>
      <c r="G96" s="577" t="s">
        <v>2604</v>
      </c>
      <c r="H96" s="577"/>
      <c r="I96" s="577"/>
      <c r="J96" s="577"/>
      <c r="K96" s="577"/>
      <c r="L96" s="697"/>
      <c r="M96" s="621"/>
      <c r="N96" s="1153"/>
      <c r="O96" s="1153"/>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6" customFormat="1" ht="27.75" thickTop="1">
      <c r="A98" s="578"/>
      <c r="B98" s="537" t="s">
        <v>2788</v>
      </c>
      <c r="C98" s="572" t="s">
        <v>2600</v>
      </c>
      <c r="D98" s="572" t="s">
        <v>2601</v>
      </c>
      <c r="E98" s="572" t="s">
        <v>2602</v>
      </c>
      <c r="F98" s="572" t="s">
        <v>2603</v>
      </c>
      <c r="G98" s="572" t="s">
        <v>2604</v>
      </c>
      <c r="H98" s="577"/>
      <c r="I98" s="577"/>
      <c r="J98" s="577"/>
      <c r="K98" s="577"/>
      <c r="L98" s="577"/>
      <c r="M98" s="621"/>
      <c r="N98" s="1153"/>
      <c r="O98" s="1153"/>
      <c r="P98" s="45"/>
      <c r="Q98" s="503"/>
    </row>
    <row r="99" spans="1:17" s="116" customFormat="1" ht="15.75" thickBot="1">
      <c r="A99" s="578"/>
      <c r="B99" s="542"/>
      <c r="C99" s="543">
        <v>100</v>
      </c>
      <c r="D99" s="543">
        <f>C99-$K25</f>
        <v>97</v>
      </c>
      <c r="E99" s="543">
        <f>D99-$K25</f>
        <v>94</v>
      </c>
      <c r="F99" s="543">
        <f>E99-$K25</f>
        <v>91</v>
      </c>
      <c r="G99" s="543">
        <f>F99-$K25</f>
        <v>88</v>
      </c>
      <c r="H99" s="543"/>
      <c r="I99" s="543"/>
      <c r="J99" s="543"/>
      <c r="K99" s="543"/>
      <c r="L99" s="543"/>
      <c r="M99" s="544"/>
      <c r="N99" s="1155"/>
      <c r="O99" s="1155"/>
      <c r="P99" s="45"/>
      <c r="Q99" s="503"/>
    </row>
    <row r="100" spans="1:17" s="470" customFormat="1" ht="15.75" thickTop="1">
      <c r="A100" s="552"/>
      <c r="B100" s="537" t="s">
        <v>2657</v>
      </c>
      <c r="C100" s="572" t="s">
        <v>2600</v>
      </c>
      <c r="D100" s="572" t="s">
        <v>2601</v>
      </c>
      <c r="E100" s="572" t="s">
        <v>2602</v>
      </c>
      <c r="F100" s="572" t="s">
        <v>2603</v>
      </c>
      <c r="G100" s="572" t="s">
        <v>2604</v>
      </c>
      <c r="H100" s="599"/>
      <c r="I100" s="599"/>
      <c r="J100" s="599"/>
      <c r="K100" s="599"/>
      <c r="L100" s="600"/>
      <c r="M100" s="601"/>
      <c r="N100" s="1156"/>
      <c r="O100" s="1156"/>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6"/>
      <c r="O101" s="1156"/>
      <c r="P101" s="557"/>
      <c r="Q101" s="558"/>
    </row>
    <row r="102" spans="1:17" s="470" customFormat="1" ht="15.75" thickTop="1">
      <c r="A102" s="552"/>
      <c r="B102" s="545" t="s">
        <v>2658</v>
      </c>
      <c r="C102" s="659" t="s">
        <v>2678</v>
      </c>
      <c r="D102" s="659" t="s">
        <v>2679</v>
      </c>
      <c r="E102" s="659" t="s">
        <v>2680</v>
      </c>
      <c r="F102" s="659" t="s">
        <v>2681</v>
      </c>
      <c r="G102" s="659" t="s">
        <v>2682</v>
      </c>
      <c r="H102" s="599"/>
      <c r="I102" s="599"/>
      <c r="J102" s="599"/>
      <c r="K102" s="599"/>
      <c r="L102" s="599"/>
      <c r="M102" s="1387"/>
      <c r="N102" s="1156"/>
      <c r="O102" s="1156"/>
      <c r="P102" s="557"/>
      <c r="Q102" s="558"/>
    </row>
    <row r="103" spans="1:17" s="470" customFormat="1" ht="15.75" thickBot="1">
      <c r="A103" s="552"/>
      <c r="B103" s="545"/>
      <c r="C103" s="543">
        <v>100</v>
      </c>
      <c r="D103" s="543">
        <f>C103-$K29</f>
        <v>98.5</v>
      </c>
      <c r="E103" s="543">
        <f>D103-$K29</f>
        <v>97</v>
      </c>
      <c r="F103" s="543">
        <f>E103-$K29</f>
        <v>95.5</v>
      </c>
      <c r="G103" s="543">
        <f>F103-$K29</f>
        <v>94</v>
      </c>
      <c r="H103" s="547"/>
      <c r="I103" s="547"/>
      <c r="J103" s="547"/>
      <c r="K103" s="547"/>
      <c r="L103" s="547"/>
      <c r="M103" s="1387"/>
      <c r="N103" s="1156"/>
      <c r="O103" s="1156"/>
      <c r="P103" s="557"/>
      <c r="Q103" s="558"/>
    </row>
    <row r="104" spans="1:17" ht="15.75" thickTop="1">
      <c r="A104" s="533"/>
      <c r="B104" s="537" t="str">
        <f>B31</f>
        <v>临街状况</v>
      </c>
      <c r="C104" s="538" t="s">
        <v>2789</v>
      </c>
      <c r="D104" s="538" t="s">
        <v>2790</v>
      </c>
      <c r="E104" s="538" t="s">
        <v>2791</v>
      </c>
      <c r="F104" s="538" t="s">
        <v>2792</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2694</v>
      </c>
      <c r="C106" s="553" t="s">
        <v>3062</v>
      </c>
      <c r="D106" s="553" t="s">
        <v>3063</v>
      </c>
      <c r="E106" s="553" t="s">
        <v>3064</v>
      </c>
      <c r="F106" s="553" t="s">
        <v>3065</v>
      </c>
      <c r="G106" s="553" t="s">
        <v>3066</v>
      </c>
      <c r="H106" s="582"/>
      <c r="I106" s="582"/>
      <c r="J106" s="582"/>
      <c r="K106" s="583"/>
      <c r="L106" s="584"/>
      <c r="M106" s="585"/>
      <c r="N106" s="1154"/>
      <c r="O106" s="1154"/>
      <c r="P106" s="45"/>
      <c r="Q106" s="503"/>
    </row>
    <row r="107" spans="1:17" ht="15.75" thickBot="1">
      <c r="A107" s="533"/>
      <c r="B107" s="542"/>
      <c r="C107" s="543">
        <v>100</v>
      </c>
      <c r="D107" s="543">
        <f>C107-$K32</f>
        <v>98</v>
      </c>
      <c r="E107" s="543">
        <f t="shared" ref="E107:M107" si="23">D107-$K32</f>
        <v>96</v>
      </c>
      <c r="F107" s="543">
        <f t="shared" si="23"/>
        <v>94</v>
      </c>
      <c r="G107" s="543">
        <f t="shared" si="23"/>
        <v>92</v>
      </c>
      <c r="H107" s="543">
        <f t="shared" si="23"/>
        <v>90</v>
      </c>
      <c r="I107" s="543">
        <f t="shared" si="23"/>
        <v>88</v>
      </c>
      <c r="J107" s="543">
        <f t="shared" si="23"/>
        <v>86</v>
      </c>
      <c r="K107" s="543">
        <f t="shared" si="23"/>
        <v>84</v>
      </c>
      <c r="L107" s="543">
        <f t="shared" si="23"/>
        <v>82</v>
      </c>
      <c r="M107" s="543">
        <f t="shared" si="23"/>
        <v>80</v>
      </c>
      <c r="N107" s="1155"/>
      <c r="O107" s="1155"/>
      <c r="P107" s="45"/>
      <c r="Q107" s="503"/>
    </row>
    <row r="108" spans="1:17" ht="15.75" thickTop="1">
      <c r="A108" s="533"/>
      <c r="B108" s="537" t="s">
        <v>2752</v>
      </c>
      <c r="C108" s="553"/>
      <c r="D108" s="553"/>
      <c r="E108" s="553"/>
      <c r="F108" s="553"/>
      <c r="G108" s="553"/>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hidden="1" thickTop="1">
      <c r="A110" s="533"/>
      <c r="B110" s="545">
        <f>B35</f>
        <v>111</v>
      </c>
      <c r="C110" s="553"/>
      <c r="D110" s="553"/>
      <c r="E110" s="553"/>
      <c r="F110" s="553"/>
      <c r="G110" s="586"/>
      <c r="H110" s="586"/>
      <c r="I110" s="586"/>
      <c r="J110" s="586"/>
      <c r="K110" s="587"/>
      <c r="L110" s="588"/>
      <c r="M110" s="589"/>
      <c r="N110" s="1154"/>
      <c r="O110" s="1154"/>
      <c r="P110" s="45"/>
      <c r="Q110" s="503"/>
    </row>
    <row r="111" spans="1:17" ht="15.75" hidden="1" thickBot="1">
      <c r="A111" s="533"/>
      <c r="B111" s="568"/>
      <c r="C111" s="559"/>
      <c r="D111" s="559"/>
      <c r="E111" s="559"/>
      <c r="F111" s="559"/>
      <c r="G111" s="590"/>
      <c r="H111" s="590"/>
      <c r="I111" s="590"/>
      <c r="J111" s="590"/>
      <c r="K111" s="590"/>
      <c r="L111" s="590"/>
      <c r="M111" s="591"/>
      <c r="N111" s="1155"/>
      <c r="O111" s="1155"/>
      <c r="P111" s="45"/>
      <c r="Q111" s="503"/>
    </row>
    <row r="112" spans="1:17" ht="15" hidden="1" thickTop="1">
      <c r="A112" s="674"/>
      <c r="B112" s="537">
        <f>B36</f>
        <v>111</v>
      </c>
      <c r="C112" s="522"/>
      <c r="D112" s="522"/>
      <c r="E112" s="522"/>
      <c r="F112" s="522"/>
      <c r="G112" s="582"/>
      <c r="H112" s="582"/>
      <c r="I112" s="582"/>
      <c r="J112" s="582"/>
      <c r="K112" s="583"/>
      <c r="L112" s="584"/>
      <c r="M112" s="585"/>
      <c r="N112" s="1154"/>
      <c r="O112" s="1154"/>
      <c r="P112" s="45"/>
      <c r="Q112" s="503"/>
    </row>
    <row r="113" spans="1:17" ht="15.75" hidden="1" thickBot="1">
      <c r="A113" s="533"/>
      <c r="B113" s="542"/>
      <c r="C113" s="569"/>
      <c r="D113" s="569"/>
      <c r="E113" s="569"/>
      <c r="F113" s="569"/>
      <c r="G113" s="535"/>
      <c r="H113" s="535"/>
      <c r="I113" s="535"/>
      <c r="J113" s="535"/>
      <c r="K113" s="535"/>
      <c r="L113" s="535"/>
      <c r="M113" s="536"/>
      <c r="N113" s="1155"/>
      <c r="O113" s="1155"/>
      <c r="P113" s="45"/>
      <c r="Q113" s="503"/>
    </row>
    <row r="114" spans="1:17" s="470" customFormat="1" ht="15" hidden="1"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hidden="1" thickBot="1">
      <c r="A115" s="552"/>
      <c r="B115" s="545"/>
      <c r="C115" s="511"/>
      <c r="D115" s="676"/>
      <c r="E115" s="676"/>
      <c r="F115" s="676"/>
      <c r="G115" s="676"/>
      <c r="H115" s="676"/>
      <c r="I115" s="676"/>
      <c r="J115" s="676"/>
      <c r="K115" s="676"/>
      <c r="L115" s="676"/>
      <c r="M115" s="698"/>
      <c r="N115" s="1155"/>
      <c r="O115" s="1155"/>
      <c r="P115" s="557"/>
      <c r="Q115" s="558"/>
    </row>
    <row r="116" spans="1:17" ht="29.25" thickTop="1">
      <c r="A116" s="526" t="s">
        <v>2566</v>
      </c>
      <c r="B116" s="527" t="s">
        <v>2793</v>
      </c>
      <c r="C116" s="528" t="str">
        <f>C117&amp;"(含)"&amp;"-"&amp;D117</f>
        <v>0(含)-50000</v>
      </c>
      <c r="D116" s="528" t="str">
        <f t="shared" ref="D116:M116" si="25">D117&amp;"(含)"&amp;"-"&amp;E117</f>
        <v>50000(含)-100000</v>
      </c>
      <c r="E116" s="528" t="str">
        <f t="shared" si="25"/>
        <v>100000(含)-150000</v>
      </c>
      <c r="F116" s="528" t="str">
        <f t="shared" si="25"/>
        <v>150000(含)-200000</v>
      </c>
      <c r="G116" s="528" t="str">
        <f t="shared" si="25"/>
        <v>200000(含)-250000</v>
      </c>
      <c r="H116" s="528" t="str">
        <f t="shared" si="25"/>
        <v>250000(含)-300000</v>
      </c>
      <c r="I116" s="528" t="str">
        <f t="shared" si="25"/>
        <v>300000(含)-350000</v>
      </c>
      <c r="J116" s="528" t="str">
        <f t="shared" si="25"/>
        <v>350000(含)-400000</v>
      </c>
      <c r="K116" s="528" t="str">
        <f t="shared" si="25"/>
        <v>400000(含)-450000</v>
      </c>
      <c r="L116" s="528" t="str">
        <f t="shared" si="25"/>
        <v>450000(含)-500000</v>
      </c>
      <c r="M116" s="528" t="str">
        <f t="shared" si="25"/>
        <v>500000(含)-</v>
      </c>
      <c r="N116" s="1154"/>
      <c r="O116" s="1154"/>
      <c r="P116" s="45"/>
      <c r="Q116" s="503"/>
    </row>
    <row r="117" spans="1:17" ht="15">
      <c r="A117" s="533"/>
      <c r="B117" s="545"/>
      <c r="C117" s="594">
        <v>0</v>
      </c>
      <c r="D117" s="594">
        <v>50000</v>
      </c>
      <c r="E117" s="594">
        <v>100000</v>
      </c>
      <c r="F117" s="594">
        <v>150000</v>
      </c>
      <c r="G117" s="594">
        <v>200000</v>
      </c>
      <c r="H117" s="594">
        <v>250000</v>
      </c>
      <c r="I117" s="594">
        <v>300000</v>
      </c>
      <c r="J117" s="2943">
        <v>350000</v>
      </c>
      <c r="K117" s="2943">
        <v>400000</v>
      </c>
      <c r="L117" s="2944">
        <v>450000</v>
      </c>
      <c r="M117" s="2945">
        <v>500000</v>
      </c>
      <c r="N117" s="1154"/>
      <c r="O117" s="1154"/>
      <c r="P117" s="45"/>
      <c r="Q117" s="503"/>
    </row>
    <row r="118" spans="1:17" ht="15.75" thickBot="1">
      <c r="A118" s="533"/>
      <c r="B118" s="542"/>
      <c r="C118" s="569">
        <v>100</v>
      </c>
      <c r="D118" s="590">
        <v>101</v>
      </c>
      <c r="E118" s="590">
        <v>102</v>
      </c>
      <c r="F118" s="590">
        <v>103</v>
      </c>
      <c r="G118" s="590">
        <v>104</v>
      </c>
      <c r="H118" s="590">
        <v>105</v>
      </c>
      <c r="I118" s="590"/>
      <c r="J118" s="590"/>
      <c r="K118" s="590"/>
      <c r="L118" s="590"/>
      <c r="M118" s="591"/>
      <c r="N118" s="1155"/>
      <c r="O118" s="1155"/>
      <c r="P118" s="45"/>
      <c r="Q118" s="503"/>
    </row>
    <row r="119" spans="1:17" ht="15" thickTop="1">
      <c r="A119" s="598"/>
      <c r="B119" s="537" t="s">
        <v>2794</v>
      </c>
      <c r="C119" s="582" t="s">
        <v>3090</v>
      </c>
      <c r="D119" s="582" t="s">
        <v>3091</v>
      </c>
      <c r="E119" s="582" t="s">
        <v>3092</v>
      </c>
      <c r="F119" s="582" t="s">
        <v>3093</v>
      </c>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5"/>
      <c r="O120" s="1155"/>
      <c r="P120" s="45"/>
      <c r="Q120" s="503"/>
    </row>
    <row r="121" spans="1:17" ht="15" thickTop="1">
      <c r="A121" s="598"/>
      <c r="B121" s="537" t="s">
        <v>2795</v>
      </c>
      <c r="C121" s="553" t="s">
        <v>3094</v>
      </c>
      <c r="D121" s="553" t="s">
        <v>3095</v>
      </c>
      <c r="E121" s="553" t="s">
        <v>3096</v>
      </c>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2796</v>
      </c>
      <c r="C123" s="2952" t="s">
        <v>3097</v>
      </c>
      <c r="D123" s="2952" t="s">
        <v>3098</v>
      </c>
      <c r="E123" s="2952" t="s">
        <v>3099</v>
      </c>
      <c r="F123" s="2952" t="s">
        <v>3100</v>
      </c>
      <c r="G123" s="2952" t="s">
        <v>3101</v>
      </c>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2797</v>
      </c>
      <c r="C125" s="553" t="s">
        <v>3102</v>
      </c>
      <c r="D125" s="553" t="s">
        <v>3103</v>
      </c>
      <c r="E125" s="582" t="s">
        <v>3104</v>
      </c>
      <c r="F125" s="582" t="s">
        <v>3105</v>
      </c>
      <c r="G125" s="582" t="s">
        <v>3106</v>
      </c>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hidden="1" thickTop="1">
      <c r="A127" s="598"/>
      <c r="B127" s="537">
        <f>B43</f>
        <v>111</v>
      </c>
      <c r="C127" s="553"/>
      <c r="D127" s="553"/>
      <c r="E127" s="553"/>
      <c r="F127" s="553"/>
      <c r="G127" s="553"/>
      <c r="H127" s="582"/>
      <c r="I127" s="582"/>
      <c r="J127" s="582"/>
      <c r="K127" s="583"/>
      <c r="L127" s="584"/>
      <c r="M127" s="585"/>
      <c r="N127" s="1154"/>
      <c r="O127" s="1154"/>
      <c r="P127" s="45"/>
      <c r="Q127" s="503"/>
    </row>
    <row r="128" spans="1:17" ht="15.75" hidden="1" thickBot="1">
      <c r="A128" s="533"/>
      <c r="B128" s="542"/>
      <c r="C128" s="559"/>
      <c r="D128" s="559"/>
      <c r="E128" s="559"/>
      <c r="F128" s="559"/>
      <c r="G128" s="535"/>
      <c r="H128" s="535"/>
      <c r="I128" s="535"/>
      <c r="J128" s="535"/>
      <c r="K128" s="535"/>
      <c r="L128" s="535"/>
      <c r="M128" s="536"/>
      <c r="N128" s="1155"/>
      <c r="O128" s="1155"/>
      <c r="P128" s="45"/>
      <c r="Q128" s="503"/>
    </row>
    <row r="129" spans="1:17" ht="15" hidden="1" thickTop="1">
      <c r="A129" s="598"/>
      <c r="B129" s="537">
        <f>B44</f>
        <v>111</v>
      </c>
      <c r="C129" s="522"/>
      <c r="D129" s="522"/>
      <c r="E129" s="522"/>
      <c r="F129" s="522"/>
      <c r="G129" s="582"/>
      <c r="H129" s="582"/>
      <c r="I129" s="582"/>
      <c r="J129" s="582"/>
      <c r="K129" s="583"/>
      <c r="L129" s="584"/>
      <c r="M129" s="585"/>
      <c r="N129" s="1154"/>
      <c r="O129" s="1154"/>
      <c r="P129" s="45"/>
      <c r="Q129" s="503"/>
    </row>
    <row r="130" spans="1:17" ht="15.75" hidden="1" thickBot="1">
      <c r="A130" s="533"/>
      <c r="B130" s="542"/>
      <c r="C130" s="569"/>
      <c r="D130" s="569"/>
      <c r="E130" s="569"/>
      <c r="F130" s="569"/>
      <c r="G130" s="535"/>
      <c r="H130" s="535"/>
      <c r="I130" s="535"/>
      <c r="J130" s="535"/>
      <c r="K130" s="535"/>
      <c r="L130" s="535"/>
      <c r="M130" s="536"/>
      <c r="N130" s="1155"/>
      <c r="O130" s="1155"/>
      <c r="P130" s="45"/>
      <c r="Q130" s="503"/>
    </row>
    <row r="131" spans="1:17" s="470" customFormat="1" ht="15" hidden="1"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hidden="1" thickBot="1">
      <c r="A132" s="567"/>
      <c r="B132" s="699"/>
      <c r="C132" s="569"/>
      <c r="D132" s="569"/>
      <c r="E132" s="569"/>
      <c r="F132" s="569"/>
      <c r="G132" s="590"/>
      <c r="H132" s="590"/>
      <c r="I132" s="590"/>
      <c r="J132" s="590"/>
      <c r="K132" s="590"/>
      <c r="L132" s="590"/>
      <c r="M132" s="591"/>
      <c r="N132" s="1156"/>
      <c r="O132" s="1156"/>
      <c r="P132" s="557"/>
      <c r="Q132" s="558"/>
    </row>
    <row r="133" spans="1:17" ht="15" thickTop="1"/>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sheetPr codeName="Sheet6">
    <tabColor rgb="FF00B0F0"/>
    <pageSetUpPr fitToPage="1"/>
  </sheetPr>
  <dimension ref="A1:AG34"/>
  <sheetViews>
    <sheetView topLeftCell="A10" workbookViewId="0">
      <selection activeCell="C32" sqref="C32"/>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2465</v>
      </c>
      <c r="B1" s="1583"/>
      <c r="C1" s="1584"/>
      <c r="D1" s="1582"/>
      <c r="E1" s="319"/>
      <c r="F1" s="319"/>
      <c r="G1" s="1583"/>
      <c r="H1" s="319"/>
      <c r="I1" s="319"/>
      <c r="J1" s="319"/>
      <c r="K1" s="319">
        <f>MATCH(C1,'数据-取费表'!A6:A16,0)+5</f>
        <v>7</v>
      </c>
    </row>
    <row r="2" spans="1:33" ht="18" customHeight="1">
      <c r="A2" s="244" t="s">
        <v>2333</v>
      </c>
      <c r="B2" s="247">
        <f ca="1">C32</f>
        <v>29498</v>
      </c>
      <c r="C2" s="319" t="s">
        <v>2466</v>
      </c>
      <c r="D2" s="319"/>
      <c r="E2" s="319"/>
      <c r="F2" s="319"/>
      <c r="G2" s="319"/>
      <c r="H2" s="319"/>
      <c r="I2" s="319"/>
      <c r="J2" s="319"/>
      <c r="K2" s="319"/>
    </row>
    <row r="3" spans="1:33" ht="18" customHeight="1" thickBot="1">
      <c r="A3" s="246" t="s">
        <v>2335</v>
      </c>
      <c r="B3" s="247">
        <f ca="1">ROUND(B2*10000/IF(C1="",'数据-汇总表'!E3,INDIRECT("'数据-取费表'!K"&amp;$K$1)),0)</f>
        <v>8143</v>
      </c>
      <c r="C3" s="319" t="s">
        <v>2467</v>
      </c>
      <c r="D3" s="319"/>
      <c r="E3" s="319"/>
      <c r="F3" s="319"/>
      <c r="G3" s="319"/>
      <c r="H3" s="319"/>
      <c r="I3" s="319"/>
      <c r="J3" s="319"/>
      <c r="K3" s="319"/>
    </row>
    <row r="4" spans="1:33" s="958" customFormat="1" ht="16.5" customHeight="1">
      <c r="A4" s="955" t="s">
        <v>2468</v>
      </c>
      <c r="B4" s="956"/>
      <c r="C4" s="998">
        <f>SUM(C8:K8)</f>
        <v>56825</v>
      </c>
      <c r="D4" s="956"/>
      <c r="E4" s="956"/>
      <c r="F4" s="956"/>
      <c r="G4" s="956"/>
      <c r="H4" s="956"/>
      <c r="I4" s="956"/>
      <c r="J4" s="956"/>
      <c r="K4" s="957"/>
    </row>
    <row r="5" spans="1:33" s="962" customFormat="1" ht="15">
      <c r="A5" s="959" t="s">
        <v>2469</v>
      </c>
      <c r="B5" s="960" t="s">
        <v>2470</v>
      </c>
      <c r="C5" s="2555" t="s">
        <v>3050</v>
      </c>
      <c r="D5" s="2555"/>
      <c r="E5" s="2555"/>
      <c r="F5" s="2555"/>
      <c r="G5" s="2555"/>
      <c r="H5" s="2555"/>
      <c r="I5" s="2555"/>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2471</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2472</v>
      </c>
      <c r="B7" s="139" t="s">
        <v>2473</v>
      </c>
      <c r="C7" s="320">
        <f>SUMIF('数据-汇总表'!$C19:$C33,假设开发法!C5,'数据-汇总表'!$E19:$E33)</f>
        <v>24724.93</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2474</v>
      </c>
      <c r="B8" s="176" t="s">
        <v>2475</v>
      </c>
      <c r="C8" s="999">
        <f>'比较法-住宅'!B2</f>
        <v>56825</v>
      </c>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2476</v>
      </c>
      <c r="B9" s="956"/>
      <c r="C9" s="956"/>
      <c r="D9" s="956"/>
      <c r="E9" s="956"/>
      <c r="F9" s="956"/>
      <c r="G9" s="956"/>
      <c r="H9" s="956"/>
      <c r="I9" s="956"/>
      <c r="J9" s="956"/>
      <c r="K9" s="957"/>
    </row>
    <row r="10" spans="1:33" s="972" customFormat="1" ht="13.5" customHeight="1">
      <c r="A10" s="959" t="s">
        <v>2477</v>
      </c>
      <c r="B10" s="8" t="s">
        <v>2478</v>
      </c>
      <c r="C10" s="968" t="s">
        <v>2479</v>
      </c>
      <c r="D10" s="969" t="s">
        <v>2480</v>
      </c>
      <c r="E10" s="969" t="s">
        <v>2481</v>
      </c>
      <c r="F10" s="969" t="s">
        <v>2482</v>
      </c>
      <c r="G10" s="8"/>
      <c r="H10" s="970"/>
      <c r="I10" s="970"/>
      <c r="J10" s="970"/>
      <c r="K10" s="971"/>
    </row>
    <row r="11" spans="1:33" s="977" customFormat="1" ht="13.5" customHeight="1">
      <c r="A11" s="973" t="s">
        <v>1334</v>
      </c>
      <c r="B11" s="974" t="s">
        <v>2483</v>
      </c>
      <c r="C11" s="322">
        <f ca="1">IF(C1="",'数据-取费表'!P16,INDIRECT("'数据-取费表'!p"&amp;$K$1)+INDIRECT("'数据-取费表'!ar"&amp;$K$1))</f>
        <v>10369</v>
      </c>
      <c r="D11" s="975"/>
      <c r="E11" s="374"/>
      <c r="F11" s="976">
        <f ca="1">1-IF('数据-取费表'!B24=0,1,IF(C1="",'数据-取费表'!N16,INDIRECT("'数据-取费表'!n"&amp;$K$1)))</f>
        <v>0.95</v>
      </c>
      <c r="G11" s="8"/>
      <c r="H11" s="970"/>
      <c r="I11" s="970"/>
      <c r="J11" s="970"/>
      <c r="K11" s="971"/>
    </row>
    <row r="12" spans="1:33" s="977" customFormat="1" ht="13.5" customHeight="1">
      <c r="A12" s="973" t="s">
        <v>1335</v>
      </c>
      <c r="B12" s="974" t="s">
        <v>2484</v>
      </c>
      <c r="C12" s="24">
        <f ca="1">ROUND(C11*F12,0)</f>
        <v>311</v>
      </c>
      <c r="D12" s="975"/>
      <c r="E12" s="374"/>
      <c r="F12" s="978">
        <f>'数据-取费表'!B33</f>
        <v>0.03</v>
      </c>
      <c r="G12" s="8" t="s">
        <v>2485</v>
      </c>
      <c r="H12" s="970"/>
      <c r="I12" s="970"/>
      <c r="J12" s="970"/>
      <c r="K12" s="971"/>
    </row>
    <row r="13" spans="1:33" s="977" customFormat="1" ht="13.5" customHeight="1">
      <c r="A13" s="973" t="s">
        <v>1336</v>
      </c>
      <c r="B13" s="974" t="s">
        <v>2486</v>
      </c>
      <c r="C13" s="24">
        <f ca="1">ROUND(IF(C1="",SUMIF('数据-取费表'!C:C,"住宅",'数据-取费表'!P:P)*F13,IF(INDIRECT("'数据-取费表'!c"&amp;$K$1)="住宅",INDIRECT("'数据-取费表'!P"&amp;$K$1)*F13,0)),0)</f>
        <v>247</v>
      </c>
      <c r="D13" s="1035"/>
      <c r="E13" s="374"/>
      <c r="F13" s="978">
        <f>'数据-取费表'!B34</f>
        <v>0.03</v>
      </c>
      <c r="G13" s="8" t="s">
        <v>2487</v>
      </c>
      <c r="H13" s="970"/>
      <c r="I13" s="970"/>
      <c r="J13" s="970"/>
      <c r="K13" s="971"/>
    </row>
    <row r="14" spans="1:33" s="979" customFormat="1" ht="13.5" customHeight="1">
      <c r="A14" s="973" t="s">
        <v>1337</v>
      </c>
      <c r="B14" s="974" t="s">
        <v>2488</v>
      </c>
      <c r="C14" s="24">
        <f ca="1">ROUND(D14*E14*F11/10000,0)</f>
        <v>688</v>
      </c>
      <c r="D14" s="1035">
        <f ca="1">IF(C1="",'数据-汇总表'!E3,INDIRECT("'数据-取费表'!K"&amp;$K$1)+INDIRECT("'数据-取费表'!S"&amp;$K$1))</f>
        <v>36223.67</v>
      </c>
      <c r="E14" s="24">
        <f>'数据-取费表'!B35</f>
        <v>200</v>
      </c>
      <c r="F14" s="978"/>
      <c r="G14" s="8" t="s">
        <v>2489</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2490</v>
      </c>
      <c r="C15" s="985">
        <f ca="1">ROUND(C11*F15,0)</f>
        <v>156</v>
      </c>
      <c r="D15" s="980"/>
      <c r="E15" s="985"/>
      <c r="F15" s="986">
        <f>'数据-取费表'!B36</f>
        <v>1.4999999999999999E-2</v>
      </c>
      <c r="G15" s="139" t="s">
        <v>2491</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2492</v>
      </c>
      <c r="C16" s="985">
        <f ca="1">SUM(C11:C15)</f>
        <v>11771</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2493</v>
      </c>
      <c r="C17" s="24">
        <f ca="1">ROUND(D17*E17/10000,0)</f>
        <v>0</v>
      </c>
      <c r="D17" s="1035">
        <f ca="1">D14</f>
        <v>36223.67</v>
      </c>
      <c r="E17" s="24">
        <f>'数据-取费表'!B32</f>
        <v>0</v>
      </c>
      <c r="F17" s="980"/>
      <c r="G17" s="139" t="s">
        <v>2494</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2495</v>
      </c>
      <c r="C18" s="24">
        <f ca="1">C19+C20-IF(C1="",'数据-取费表'!B29,IF(G18="已全部缴纳",C19+C20,H18))</f>
        <v>1449</v>
      </c>
      <c r="D18" s="1035"/>
      <c r="E18" s="24"/>
      <c r="F18" s="978"/>
      <c r="G18" s="2557"/>
      <c r="H18" s="1579"/>
      <c r="I18" s="2558" t="s">
        <v>2496</v>
      </c>
      <c r="J18" s="981"/>
      <c r="K18" s="982"/>
    </row>
    <row r="19" spans="1:33" s="977" customFormat="1" ht="13.5" customHeight="1">
      <c r="A19" s="973" t="s">
        <v>805</v>
      </c>
      <c r="B19" s="974" t="s">
        <v>2497</v>
      </c>
      <c r="C19" s="24">
        <f ca="1">ROUND(D19*E19/10000,0)</f>
        <v>989</v>
      </c>
      <c r="D19" s="1035">
        <f ca="1">IF(C1="",'数据-汇总表'!E5,IF(INDIRECT("'数据-取费表'!c"&amp;$K$1)="住宅",INDIRECT("'数据-取费表'!k"&amp;$K$1),0))</f>
        <v>24724.93</v>
      </c>
      <c r="E19" s="24">
        <f>'数据-取费表'!B27</f>
        <v>400</v>
      </c>
      <c r="F19" s="978"/>
      <c r="G19" s="15"/>
      <c r="H19" s="1581"/>
      <c r="I19" s="983"/>
      <c r="J19" s="983"/>
      <c r="K19" s="984"/>
    </row>
    <row r="20" spans="1:33" s="977" customFormat="1" ht="13.5" customHeight="1">
      <c r="A20" s="973" t="s">
        <v>806</v>
      </c>
      <c r="B20" s="974" t="s">
        <v>2498</v>
      </c>
      <c r="C20" s="24">
        <f ca="1">ROUND(D20*E20/10000,0)</f>
        <v>460</v>
      </c>
      <c r="D20" s="1035">
        <f ca="1">IF(C1="",'数据-汇总表'!E6,IF(INDIRECT("'数据-取费表'!c"&amp;$K$1)="住宅",INDIRECT("'数据-取费表'!s"&amp;$K$1),INDIRECT("'数据-取费表'!k"&amp;$K$1)+INDIRECT("'数据-取费表'!s"&amp;$K$1)))</f>
        <v>11498.739999999998</v>
      </c>
      <c r="E20" s="24">
        <f>'数据-取费表'!B28</f>
        <v>400</v>
      </c>
      <c r="F20" s="978"/>
      <c r="G20" s="15"/>
      <c r="H20" s="983"/>
      <c r="I20" s="983"/>
      <c r="J20" s="983"/>
      <c r="K20" s="984"/>
    </row>
    <row r="21" spans="1:33" s="977" customFormat="1" ht="13.5" customHeight="1">
      <c r="A21" s="963" t="s">
        <v>802</v>
      </c>
      <c r="B21" s="987" t="s">
        <v>2499</v>
      </c>
      <c r="C21" s="988">
        <f ca="1">C16+C17+C18</f>
        <v>13220</v>
      </c>
      <c r="D21" s="989"/>
      <c r="E21" s="324"/>
      <c r="F21" s="324"/>
      <c r="G21" s="139" t="s">
        <v>2500</v>
      </c>
      <c r="H21" s="981"/>
      <c r="I21" s="981"/>
      <c r="J21" s="981"/>
      <c r="K21" s="982"/>
    </row>
    <row r="22" spans="1:33" s="977" customFormat="1" ht="13.5" customHeight="1">
      <c r="A22" s="963" t="s">
        <v>2472</v>
      </c>
      <c r="B22" s="987" t="s">
        <v>2501</v>
      </c>
      <c r="C22" s="988">
        <f ca="1">ROUND(C21*F22,0)</f>
        <v>198</v>
      </c>
      <c r="D22" s="324"/>
      <c r="E22" s="324"/>
      <c r="F22" s="990">
        <f>'数据-取费表'!B37</f>
        <v>1.4999999999999999E-2</v>
      </c>
      <c r="G22" s="8" t="s">
        <v>2502</v>
      </c>
      <c r="H22" s="970"/>
      <c r="I22" s="970"/>
      <c r="J22" s="970"/>
      <c r="K22" s="971"/>
    </row>
    <row r="23" spans="1:33" s="977" customFormat="1" ht="13.5" customHeight="1">
      <c r="A23" s="963" t="s">
        <v>2474</v>
      </c>
      <c r="B23" s="987" t="s">
        <v>2503</v>
      </c>
      <c r="C23" s="988">
        <f ca="1">ROUND(C4*F23*F11,0)</f>
        <v>1080</v>
      </c>
      <c r="D23" s="324"/>
      <c r="E23" s="324"/>
      <c r="F23" s="990">
        <f>'数据-取费表'!B38</f>
        <v>0.02</v>
      </c>
      <c r="G23" s="8" t="s">
        <v>2504</v>
      </c>
      <c r="H23" s="970"/>
      <c r="I23" s="970"/>
      <c r="J23" s="970"/>
      <c r="K23" s="971"/>
    </row>
    <row r="24" spans="1:33" s="977" customFormat="1" ht="13.5" customHeight="1">
      <c r="A24" s="963" t="s">
        <v>2505</v>
      </c>
      <c r="B24" s="987" t="s">
        <v>2506</v>
      </c>
      <c r="C24" s="323">
        <f>ROUND(F24/(1+'数据-取费表'!C42),4)</f>
        <v>2.9000000000000001E-2</v>
      </c>
      <c r="D24" s="324" t="s">
        <v>15</v>
      </c>
      <c r="E24" s="324"/>
      <c r="F24" s="990">
        <f>'数据-取费表'!B48+'数据-取费表'!B49</f>
        <v>3.0499999999999999E-2</v>
      </c>
      <c r="G24" s="8" t="s">
        <v>2507</v>
      </c>
      <c r="H24" s="992"/>
      <c r="I24" s="992"/>
      <c r="J24" s="992"/>
      <c r="K24" s="993"/>
    </row>
    <row r="25" spans="1:33" s="977" customFormat="1" ht="13.5" customHeight="1">
      <c r="A25" s="963" t="s">
        <v>2508</v>
      </c>
      <c r="B25" s="989" t="s">
        <v>2509</v>
      </c>
      <c r="C25" s="1358">
        <f ca="1">C27</f>
        <v>479</v>
      </c>
      <c r="D25" s="323">
        <f ca="1">C26</f>
        <v>6.9099999999999995E-2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2510</v>
      </c>
      <c r="C26" s="1359">
        <f ca="1">ROUND(IF('数据-取费表'!B22&lt;=1,(1+C24)*F25*'数据-取费表'!B24,(1+C24)*(POWER((1+F25),'数据-取费表'!B24)-1)),4)</f>
        <v>6.9099999999999995E-2</v>
      </c>
      <c r="D26" s="327"/>
      <c r="E26" s="328"/>
      <c r="F26" s="329"/>
      <c r="G26" s="2559"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2511</v>
      </c>
      <c r="C27" s="1360">
        <f ca="1">ROUND(IF('数据-取费表'!B22&lt;=1,(C21+C22+C23)*F25*'数据-取费表'!B24/2,(C21+C22+C23)*(POWER((1+F25),'数据-取费表'!B24/2)-1)),0)</f>
        <v>479</v>
      </c>
      <c r="D27" s="327"/>
      <c r="E27" s="328"/>
      <c r="F27" s="329"/>
      <c r="G27" s="2559" t="str">
        <f>IF('数据-取费表'!B22&lt;=1,"（1）-（3）项×年利率×建设期÷2","（1）-（3）项×((1+年利率)^(建设期÷2)-1)")</f>
        <v>（1）-（3）项×((1+年利率)^(建设期÷2)-1)</v>
      </c>
      <c r="H27" s="981"/>
      <c r="I27" s="981"/>
      <c r="J27" s="981"/>
      <c r="K27" s="982"/>
    </row>
    <row r="28" spans="1:33" s="332" customFormat="1" ht="13.5" customHeight="1">
      <c r="A28" s="963" t="s">
        <v>2512</v>
      </c>
      <c r="B28" s="2560" t="s">
        <v>2513</v>
      </c>
      <c r="C28" s="330">
        <f ca="1">C30</f>
        <v>2175</v>
      </c>
      <c r="D28" s="323">
        <f ca="1">C29</f>
        <v>0.14410000000000001</v>
      </c>
      <c r="E28" s="325" t="s">
        <v>15</v>
      </c>
      <c r="F28" s="331">
        <f ca="1">IF(C1="",'数据-取费表'!Q16,INDIRECT("'数据-取费表'!q"&amp;$K$1))</f>
        <v>0.15</v>
      </c>
      <c r="G28" s="991"/>
      <c r="H28" s="992"/>
      <c r="I28" s="992"/>
      <c r="J28" s="992"/>
      <c r="K28" s="993"/>
    </row>
    <row r="29" spans="1:33" s="334" customFormat="1" ht="13.5" customHeight="1">
      <c r="A29" s="973" t="s">
        <v>803</v>
      </c>
      <c r="B29" s="996" t="s">
        <v>2514</v>
      </c>
      <c r="C29" s="327">
        <f ca="1">ROUND((1+C24)*F28*'数据-取费表'!B24/'数据-取费表'!B20,4)</f>
        <v>0.14410000000000001</v>
      </c>
      <c r="D29" s="327"/>
      <c r="E29" s="328"/>
      <c r="F29" s="333"/>
      <c r="G29" s="139" t="s">
        <v>2515</v>
      </c>
      <c r="H29" s="981"/>
      <c r="I29" s="981"/>
      <c r="J29" s="981"/>
      <c r="K29" s="982"/>
    </row>
    <row r="30" spans="1:33" s="334" customFormat="1" ht="13.5" customHeight="1">
      <c r="A30" s="973" t="s">
        <v>804</v>
      </c>
      <c r="B30" s="996" t="s">
        <v>2516</v>
      </c>
      <c r="C30" s="335">
        <f ca="1">ROUND((C21+C22+C23)*F28,0)</f>
        <v>2175</v>
      </c>
      <c r="D30" s="327"/>
      <c r="E30" s="328"/>
      <c r="F30" s="333"/>
      <c r="G30" s="139"/>
      <c r="H30" s="981"/>
      <c r="I30" s="981"/>
      <c r="J30" s="981"/>
      <c r="K30" s="982"/>
    </row>
    <row r="31" spans="1:33" s="977" customFormat="1" ht="13.5" customHeight="1" thickBot="1">
      <c r="A31" s="2561" t="s">
        <v>2517</v>
      </c>
      <c r="B31" s="1007" t="s">
        <v>2518</v>
      </c>
      <c r="C31" s="1008">
        <f>ROUND(C4*F31/(1+'数据-取费表'!C42),0)</f>
        <v>3031</v>
      </c>
      <c r="D31" s="1009"/>
      <c r="E31" s="1010"/>
      <c r="F31" s="1011">
        <f>'数据-取费表'!B41</f>
        <v>5.6000000000000001E-2</v>
      </c>
      <c r="G31" s="1012" t="s">
        <v>2519</v>
      </c>
      <c r="H31" s="1013"/>
      <c r="I31" s="1013"/>
      <c r="J31" s="1013"/>
      <c r="K31" s="1014"/>
    </row>
    <row r="32" spans="1:33" s="972" customFormat="1" ht="13.5" customHeight="1" thickBot="1">
      <c r="A32" s="1002" t="s">
        <v>2520</v>
      </c>
      <c r="B32" s="1003"/>
      <c r="C32" s="1004">
        <f ca="1">ROUND((C4-C21-C22-C23-C25-C28-C31)/(1+C24+D25+D28),0)</f>
        <v>29498</v>
      </c>
      <c r="D32" s="1003"/>
      <c r="E32" s="1003"/>
      <c r="F32" s="1003"/>
      <c r="G32" s="1005" t="s">
        <v>2521</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1590</v>
      </c>
      <c r="B1" s="781"/>
      <c r="C1" s="1839"/>
      <c r="D1" s="1822"/>
      <c r="E1" s="1823" t="s">
        <v>1387</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1516</v>
      </c>
      <c r="B2" s="1846" t="e">
        <f ca="1">C40+J29+L46</f>
        <v>#DIV/0!</v>
      </c>
      <c r="C2" s="1847" t="s">
        <v>1517</v>
      </c>
      <c r="D2" s="1847"/>
      <c r="E2" s="1848"/>
      <c r="F2" s="1849"/>
      <c r="G2" s="1850"/>
      <c r="H2" s="1842"/>
      <c r="I2" s="1842"/>
      <c r="J2" s="1842"/>
      <c r="K2" s="1843"/>
      <c r="L2" s="1842"/>
      <c r="M2" s="1842"/>
    </row>
    <row r="3" spans="1:37" ht="18" customHeight="1" thickBot="1">
      <c r="A3" s="1851" t="s">
        <v>1518</v>
      </c>
      <c r="B3" s="1852">
        <f ca="1">IF(ISERROR(B2*10000/F43),0,ROUND(B2*10000/F43,0))</f>
        <v>0</v>
      </c>
      <c r="C3" s="1847" t="s">
        <v>1519</v>
      </c>
      <c r="D3" s="1847"/>
      <c r="E3" s="1848"/>
      <c r="F3" s="1849"/>
      <c r="G3" s="1850"/>
      <c r="H3" s="743" t="s">
        <v>1589</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0</v>
      </c>
      <c r="D5" s="1824" t="s">
        <v>1402</v>
      </c>
      <c r="E5" s="1295"/>
      <c r="F5" s="1296"/>
      <c r="G5" s="1853"/>
      <c r="H5" s="343">
        <v>1</v>
      </c>
      <c r="I5" s="344" t="s">
        <v>1401</v>
      </c>
      <c r="J5" s="1294">
        <f ca="1">J6+J10+J12</f>
        <v>0</v>
      </c>
      <c r="K5" s="1824" t="s">
        <v>1402</v>
      </c>
      <c r="L5" s="1295"/>
      <c r="M5" s="1296"/>
    </row>
    <row r="6" spans="1:37" ht="18" customHeight="1">
      <c r="A6" s="1293" t="s">
        <v>1035</v>
      </c>
      <c r="B6" s="3204" t="s">
        <v>1403</v>
      </c>
      <c r="C6" s="1298">
        <f ca="1">ROUND(F6*F8*F7*(1-F9)/10000,0)</f>
        <v>0</v>
      </c>
      <c r="D6" s="163" t="s">
        <v>3038</v>
      </c>
      <c r="E6" s="346" t="s">
        <v>1405</v>
      </c>
      <c r="F6" s="347">
        <f ca="1">INDIRECT("'数据-取费表'!u"&amp;$G$1)</f>
        <v>0</v>
      </c>
      <c r="G6" s="1853"/>
      <c r="H6" s="1293" t="s">
        <v>1035</v>
      </c>
      <c r="I6" s="3204" t="s">
        <v>1403</v>
      </c>
      <c r="J6" s="345">
        <f ca="1">ROUND(M6*M8*M7*(1-M9)/10000,0)</f>
        <v>0</v>
      </c>
      <c r="K6" s="163" t="s">
        <v>3037</v>
      </c>
      <c r="L6" s="346" t="s">
        <v>1405</v>
      </c>
      <c r="M6" s="347">
        <f ca="1">INDIRECT("'数据-取费表'!z"&amp;$G$1)</f>
        <v>0</v>
      </c>
    </row>
    <row r="7" spans="1:37" ht="18" customHeight="1">
      <c r="A7" s="1297"/>
      <c r="B7" s="3205"/>
      <c r="C7" s="1299"/>
      <c r="D7" s="351"/>
      <c r="E7" s="1300" t="s">
        <v>1406</v>
      </c>
      <c r="F7" s="347">
        <f ca="1">IF(INDIRECT("'数据-取费表'!ah"&amp;$G$1)="",INDIRECT("'数据-取费表'!k"&amp;$G$1),INDIRECT("'数据-取费表'!ah"&amp;$G$1))</f>
        <v>0</v>
      </c>
      <c r="G7" s="1853"/>
      <c r="H7" s="348"/>
      <c r="I7" s="3205"/>
      <c r="J7" s="350"/>
      <c r="K7" s="351"/>
      <c r="L7" s="346" t="s">
        <v>1406</v>
      </c>
      <c r="M7" s="347">
        <f ca="1">F7</f>
        <v>0</v>
      </c>
    </row>
    <row r="8" spans="1:37" ht="18" customHeight="1">
      <c r="A8" s="348"/>
      <c r="B8" s="3205"/>
      <c r="C8" s="350"/>
      <c r="D8" s="351"/>
      <c r="E8" s="346" t="s">
        <v>1407</v>
      </c>
      <c r="F8" s="347">
        <f ca="1">INDIRECT("'数据-取费表'!ai"&amp;$G$1)</f>
        <v>0</v>
      </c>
      <c r="G8" s="1853"/>
      <c r="H8" s="348"/>
      <c r="I8" s="3205"/>
      <c r="J8" s="350"/>
      <c r="K8" s="351"/>
      <c r="L8" s="346" t="s">
        <v>1407</v>
      </c>
      <c r="M8" s="347">
        <f ca="1">INDIRECT("'数据-取费表'!ai"&amp;$G$1)</f>
        <v>0</v>
      </c>
    </row>
    <row r="9" spans="1:37" ht="18" customHeight="1">
      <c r="A9" s="348"/>
      <c r="B9" s="3206"/>
      <c r="C9" s="350"/>
      <c r="D9" s="351"/>
      <c r="E9" s="346" t="s">
        <v>1408</v>
      </c>
      <c r="F9" s="356">
        <f ca="1">INDIRECT("'数据-取费表'!w"&amp;$G$1)</f>
        <v>0</v>
      </c>
      <c r="G9" s="1853"/>
      <c r="H9" s="348"/>
      <c r="I9" s="3206"/>
      <c r="J9" s="350"/>
      <c r="K9" s="351"/>
      <c r="L9" s="357" t="s">
        <v>1408</v>
      </c>
      <c r="M9" s="358">
        <f ca="1">INDIRECT("'数据-取费表'!ab"&amp;$G$1)</f>
        <v>0</v>
      </c>
    </row>
    <row r="10" spans="1:37" ht="18" customHeight="1">
      <c r="A10" s="1293" t="s">
        <v>1039</v>
      </c>
      <c r="B10" s="1825" t="s">
        <v>1409</v>
      </c>
      <c r="C10" s="360">
        <f ca="1">ROUND(IF(F10="押一",F6*F8*F7/12*F11,IF(F10="押二",F6*F8*F7/12*2*F11,IF(F10="押三",F6*F8*F7/12*3*F11,C11*F11)))/10000,0)</f>
        <v>0</v>
      </c>
      <c r="D10" s="1826" t="s">
        <v>3039</v>
      </c>
      <c r="E10" s="357" t="s">
        <v>1411</v>
      </c>
      <c r="F10" s="1368"/>
      <c r="G10" s="1853"/>
      <c r="H10" s="1293" t="s">
        <v>1039</v>
      </c>
      <c r="I10" s="1825" t="s">
        <v>1409</v>
      </c>
      <c r="J10" s="345">
        <f ca="1">ROUND(IF(M10="押一",M6*M8*M7/12*M11,IF(M10="押二",M6*M8*M7/12*2*M11,IF(M10="押三",M6*M8*M7/12*3*M11,J11*M11)))/10000,0)</f>
        <v>0</v>
      </c>
      <c r="K10" s="1826" t="s">
        <v>3040</v>
      </c>
      <c r="L10" s="357" t="s">
        <v>1411</v>
      </c>
      <c r="M10" s="1368" t="s">
        <v>1412</v>
      </c>
    </row>
    <row r="11" spans="1:37" ht="18" customHeight="1">
      <c r="A11" s="352"/>
      <c r="B11" s="1827" t="s">
        <v>1388</v>
      </c>
      <c r="C11" s="1180"/>
      <c r="D11" s="1828"/>
      <c r="E11" s="357" t="s">
        <v>1413</v>
      </c>
      <c r="F11" s="358">
        <f ca="1">'数据-取费表'!B39</f>
        <v>1.4999999999999999E-2</v>
      </c>
      <c r="G11" s="1853"/>
      <c r="H11" s="1301"/>
      <c r="I11" s="1827" t="s">
        <v>1388</v>
      </c>
      <c r="J11" s="1180"/>
      <c r="K11" s="747"/>
      <c r="L11" s="357"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4">
        <f ca="1">ROUND(C29*F13,0)</f>
        <v>0</v>
      </c>
      <c r="D13" s="1333" t="s">
        <v>1416</v>
      </c>
      <c r="E13" s="1333" t="s">
        <v>1417</v>
      </c>
      <c r="F13" s="1334">
        <f ca="1">INDIRECT("'数据-取费表'!y"&amp;$G$1)</f>
        <v>0</v>
      </c>
      <c r="G13" s="1853"/>
      <c r="H13" s="1331">
        <v>2</v>
      </c>
      <c r="I13" s="1332" t="s">
        <v>1415</v>
      </c>
      <c r="J13" s="1292">
        <f ca="1">ROUND(J14*J15,0)</f>
        <v>0</v>
      </c>
      <c r="K13" s="1339" t="s">
        <v>1416</v>
      </c>
      <c r="L13" s="1854"/>
      <c r="M13" s="1855"/>
    </row>
    <row r="14" spans="1:37" ht="18" customHeight="1">
      <c r="A14" s="1203" t="s">
        <v>1034</v>
      </c>
      <c r="B14" s="346" t="s">
        <v>1418</v>
      </c>
      <c r="C14" s="362">
        <f ca="1">INDIRECT("'数据-取费表'!m"&amp;$G$1)+INDIRECT("'数据-取费表'!t"&amp;$G$1)</f>
        <v>0</v>
      </c>
      <c r="D14" s="1802" t="s">
        <v>1419</v>
      </c>
      <c r="E14" s="1796"/>
      <c r="F14" s="363"/>
      <c r="G14" s="1853"/>
      <c r="H14" s="1203" t="s">
        <v>1035</v>
      </c>
      <c r="I14" s="346" t="s">
        <v>1420</v>
      </c>
      <c r="J14" s="24">
        <f ca="1">C29</f>
        <v>0</v>
      </c>
      <c r="K14" s="15"/>
      <c r="L14" s="981"/>
      <c r="M14" s="982"/>
    </row>
    <row r="15" spans="1:37" s="1860" customFormat="1" ht="18" customHeight="1" thickBot="1">
      <c r="A15" s="1203" t="s">
        <v>1036</v>
      </c>
      <c r="B15" s="346" t="s">
        <v>1421</v>
      </c>
      <c r="C15" s="24">
        <f ca="1">ROUND(C14*F15,0)</f>
        <v>0</v>
      </c>
      <c r="D15" s="364" t="s">
        <v>1422</v>
      </c>
      <c r="E15" s="364" t="s">
        <v>1423</v>
      </c>
      <c r="F15" s="365">
        <f>'数据-取费表'!B33</f>
        <v>0.03</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1424</v>
      </c>
      <c r="C16" s="24">
        <f ca="1">ROUND(INDIRECT("'数据-取费表'!m"&amp;$G$1)*F16,0)</f>
        <v>0</v>
      </c>
      <c r="D16" s="346" t="s">
        <v>1422</v>
      </c>
      <c r="E16" s="346" t="s">
        <v>1423</v>
      </c>
      <c r="F16" s="366">
        <f ca="1">IF(INDIRECT("'数据-取费表'!c"&amp;$G$1)="住宅",'数据-取费表'!B34,0)</f>
        <v>0</v>
      </c>
      <c r="G16" s="1853"/>
      <c r="H16" s="1331" t="s">
        <v>1030</v>
      </c>
      <c r="I16" s="1332" t="s">
        <v>1425</v>
      </c>
      <c r="J16" s="354">
        <f ca="1">ROUND(J17+J22+J23+J24,0)</f>
        <v>0</v>
      </c>
      <c r="K16" s="1339" t="s">
        <v>1426</v>
      </c>
      <c r="L16" s="1340"/>
      <c r="M16" s="1296"/>
    </row>
    <row r="17" spans="1:37" s="1860" customFormat="1" ht="18" customHeight="1">
      <c r="A17" s="1203" t="s">
        <v>1390</v>
      </c>
      <c r="B17" s="346" t="s">
        <v>1427</v>
      </c>
      <c r="C17" s="24">
        <f ca="1">ROUND(F17*(F43+INDIRECT("'数据-取费表'!S"&amp;$G$1))/10000,0)</f>
        <v>0</v>
      </c>
      <c r="D17" s="346" t="s">
        <v>1428</v>
      </c>
      <c r="E17" s="346" t="s">
        <v>1429</v>
      </c>
      <c r="F17" s="26">
        <f>'数据-取费表'!B35</f>
        <v>200</v>
      </c>
      <c r="G17" s="1856"/>
      <c r="H17" s="1203" t="s">
        <v>1035</v>
      </c>
      <c r="I17" s="346" t="s">
        <v>1430</v>
      </c>
      <c r="J17" s="24">
        <f ca="1">ROUND(IF(项目基本情况!B11="自然人",J5*M17,J18+J19+J20),1)</f>
        <v>0</v>
      </c>
      <c r="K17" s="1802" t="s">
        <v>1431</v>
      </c>
      <c r="L17" s="1800" t="s">
        <v>1432</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1433</v>
      </c>
      <c r="C18" s="24">
        <f ca="1">ROUND(C14*F18,0)</f>
        <v>0</v>
      </c>
      <c r="D18" s="346" t="s">
        <v>1422</v>
      </c>
      <c r="E18" s="346" t="s">
        <v>1423</v>
      </c>
      <c r="F18" s="366">
        <f>'数据-取费表'!B36</f>
        <v>1.4999999999999999E-2</v>
      </c>
      <c r="G18" s="1856"/>
      <c r="H18" s="1203" t="s">
        <v>1034</v>
      </c>
      <c r="I18" s="346" t="s">
        <v>1434</v>
      </c>
      <c r="J18" s="24">
        <f ca="1">ROUND(J5*M18/(1+'数据-取费表'!C42),2)</f>
        <v>0</v>
      </c>
      <c r="K18" s="1800" t="s">
        <v>1435</v>
      </c>
      <c r="L18" s="346" t="s">
        <v>1423</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1436</v>
      </c>
      <c r="C19" s="24">
        <f ca="1">SUM(C14:C18)</f>
        <v>0</v>
      </c>
      <c r="D19" s="139" t="s">
        <v>1437</v>
      </c>
      <c r="E19" s="1820"/>
      <c r="F19" s="26"/>
      <c r="G19" s="1853"/>
      <c r="H19" s="1203" t="s">
        <v>1036</v>
      </c>
      <c r="I19" s="346" t="s">
        <v>1438</v>
      </c>
      <c r="J19" s="24">
        <f ca="1">IF(K19="按租金收入计税",ROUND(J5*M19,2),ROUND(C29*M19*0.7,2))</f>
        <v>0</v>
      </c>
      <c r="K19" s="1830" t="s">
        <v>1439</v>
      </c>
      <c r="L19" s="346" t="s">
        <v>1423</v>
      </c>
      <c r="M19" s="366">
        <f>IF(K19="按租金收入计税",'数据-取费表'!B51,'数据-取费表'!B50)</f>
        <v>1.2E-2</v>
      </c>
    </row>
    <row r="20" spans="1:37" s="1860" customFormat="1" ht="18" customHeight="1">
      <c r="A20" s="1203" t="s">
        <v>1039</v>
      </c>
      <c r="B20" s="346" t="s">
        <v>1440</v>
      </c>
      <c r="C20" s="24">
        <f ca="1">ROUND(C19*F20,0)</f>
        <v>0</v>
      </c>
      <c r="D20" s="368" t="s">
        <v>1441</v>
      </c>
      <c r="E20" s="346" t="s">
        <v>1423</v>
      </c>
      <c r="F20" s="366">
        <f>'数据-取费表'!B37</f>
        <v>1.4999999999999999E-2</v>
      </c>
      <c r="G20" s="1856"/>
      <c r="H20" s="1203" t="s">
        <v>1389</v>
      </c>
      <c r="I20" s="163" t="s">
        <v>1442</v>
      </c>
      <c r="J20" s="25">
        <f ca="1">ROUND(M20*M21/10000,2)</f>
        <v>0</v>
      </c>
      <c r="K20" s="369" t="s">
        <v>1443</v>
      </c>
      <c r="L20" s="346" t="s">
        <v>1444</v>
      </c>
      <c r="M20" s="370">
        <f>'数据-取费表'!B52</f>
        <v>10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1445</v>
      </c>
      <c r="C21" s="24" t="s">
        <v>18</v>
      </c>
      <c r="D21" s="368" t="s">
        <v>1446</v>
      </c>
      <c r="E21" s="346" t="s">
        <v>1447</v>
      </c>
      <c r="F21" s="366">
        <f>'数据-取费表'!B38</f>
        <v>0.02</v>
      </c>
      <c r="G21" s="1856"/>
      <c r="H21" s="371"/>
      <c r="I21" s="355"/>
      <c r="J21" s="29"/>
      <c r="K21" s="372"/>
      <c r="L21" s="346" t="s">
        <v>1448</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1449</v>
      </c>
      <c r="C22" s="24"/>
      <c r="D22" s="139" t="str">
        <f>IF(F23&lt;=1,"单利计息。","复利计息。")&amp;"建造成本、管理费用、销售费用产生的利息。"</f>
        <v>复利计息。建造成本、管理费用、销售费用产生的利息。</v>
      </c>
      <c r="E22" s="1820"/>
      <c r="F22" s="26"/>
      <c r="G22" s="1853"/>
      <c r="H22" s="1203" t="s">
        <v>1039</v>
      </c>
      <c r="I22" s="346" t="s">
        <v>1450</v>
      </c>
      <c r="J22" s="24">
        <f ca="1">ROUND(J14*M22,1)</f>
        <v>0</v>
      </c>
      <c r="K22" s="1800" t="s">
        <v>1451</v>
      </c>
      <c r="L22" s="346" t="s">
        <v>1423</v>
      </c>
      <c r="M22" s="373">
        <f ca="1">INDIRECT("'数据-取费表'!Ak"&amp;$G$1)</f>
        <v>0</v>
      </c>
    </row>
    <row r="23" spans="1:37" s="1860" customFormat="1" ht="18" customHeight="1">
      <c r="A23" s="1203" t="s">
        <v>1034</v>
      </c>
      <c r="B23" s="346" t="s">
        <v>1452</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1.5</v>
      </c>
      <c r="G23" s="1856"/>
      <c r="H23" s="1203" t="s">
        <v>1075</v>
      </c>
      <c r="I23" s="346" t="s">
        <v>1454</v>
      </c>
      <c r="J23" s="24">
        <f ca="1">ROUND(J13*M23,1)</f>
        <v>0</v>
      </c>
      <c r="K23" s="1800" t="s">
        <v>1455</v>
      </c>
      <c r="L23" s="346" t="s">
        <v>1456</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1457</v>
      </c>
      <c r="B24" s="346" t="s">
        <v>1458</v>
      </c>
      <c r="C24" s="24">
        <f ca="1">ROUND(IF('数据-取费表'!B22&lt;=1,F21*F24*F23/2,F21*(POWER((1+F24),F23/2)-1)),4)</f>
        <v>6.9999999999999999E-4</v>
      </c>
      <c r="D24" s="374" t="str">
        <f>IF(F23&lt;=1,"销售费用×利率×(建设周期÷2)","销售费用×((1+利率)^(建设周期÷2)-1)")</f>
        <v>销售费用×((1+利率)^(建设周期÷2)-1)</v>
      </c>
      <c r="E24" s="346" t="s">
        <v>1459</v>
      </c>
      <c r="F24" s="376">
        <f ca="1">'数据-取费表'!B40</f>
        <v>4.7500000000000001E-2</v>
      </c>
      <c r="G24" s="1856"/>
      <c r="H24" s="1341" t="s">
        <v>1393</v>
      </c>
      <c r="I24" s="1342" t="s">
        <v>1440</v>
      </c>
      <c r="J24" s="1343">
        <f ca="1">ROUND(J5*M24,1)</f>
        <v>0</v>
      </c>
      <c r="K24" s="1344" t="s">
        <v>1460</v>
      </c>
      <c r="L24" s="1342" t="s">
        <v>1456</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1461</v>
      </c>
      <c r="B25" s="346" t="s">
        <v>1462</v>
      </c>
      <c r="C25" s="24"/>
      <c r="D25" s="139" t="s">
        <v>1463</v>
      </c>
      <c r="E25" s="1820"/>
      <c r="F25" s="26"/>
      <c r="G25" s="1853"/>
      <c r="H25" s="1331" t="s">
        <v>1031</v>
      </c>
      <c r="I25" s="1346" t="s">
        <v>1464</v>
      </c>
      <c r="J25" s="354">
        <f ca="1">J5-J16</f>
        <v>0</v>
      </c>
      <c r="K25" s="1347" t="s">
        <v>1465</v>
      </c>
      <c r="L25" s="1348"/>
      <c r="M25" s="1349"/>
    </row>
    <row r="26" spans="1:37">
      <c r="A26" s="1203" t="s">
        <v>1034</v>
      </c>
      <c r="B26" s="346" t="s">
        <v>1466</v>
      </c>
      <c r="C26" s="24">
        <f ca="1">ROUND((C19+C20)*F26,0)</f>
        <v>0</v>
      </c>
      <c r="D26" s="368" t="s">
        <v>1467</v>
      </c>
      <c r="E26" s="357" t="s">
        <v>1468</v>
      </c>
      <c r="F26" s="356">
        <f ca="1">INDIRECT("'数据-取费表'!q"&amp;$G$1)</f>
        <v>0</v>
      </c>
      <c r="G26" s="1853"/>
      <c r="H26" s="343" t="s">
        <v>1032</v>
      </c>
      <c r="I26" s="344" t="s">
        <v>1469</v>
      </c>
      <c r="J26" s="345">
        <f ca="1">IF(J5&lt;&gt;0,ROUND(J25*(1-((1+M28)/(1+M26))^M27)/(M26-M28),0),0)</f>
        <v>0</v>
      </c>
      <c r="K26" s="369" t="s">
        <v>1470</v>
      </c>
      <c r="L26" s="346" t="s">
        <v>1471</v>
      </c>
      <c r="M26" s="356">
        <f ca="1">INDIRECT("'数据-取费表'!I"&amp;$G$1)</f>
        <v>0</v>
      </c>
    </row>
    <row r="27" spans="1:37" ht="18" customHeight="1">
      <c r="A27" s="1203" t="s">
        <v>1036</v>
      </c>
      <c r="B27" s="346" t="s">
        <v>1472</v>
      </c>
      <c r="C27" s="24">
        <f ca="1">ROUND(F21*F26,4)</f>
        <v>0</v>
      </c>
      <c r="D27" s="368" t="s">
        <v>1473</v>
      </c>
      <c r="E27" s="364"/>
      <c r="F27" s="365"/>
      <c r="G27" s="1853"/>
      <c r="H27" s="348"/>
      <c r="I27" s="349"/>
      <c r="J27" s="350"/>
      <c r="K27" s="377" t="s">
        <v>1474</v>
      </c>
      <c r="L27" s="346" t="s">
        <v>1475</v>
      </c>
      <c r="M27" s="378">
        <f ca="1">INDIRECT("'数据-取费表'!ag"&amp;$G$1)</f>
        <v>0</v>
      </c>
    </row>
    <row r="28" spans="1:37" s="1860" customFormat="1" ht="18" customHeight="1">
      <c r="A28" s="1203" t="s">
        <v>1037</v>
      </c>
      <c r="B28" s="346" t="s">
        <v>1476</v>
      </c>
      <c r="C28" s="24">
        <f>ROUND(F28/(1+'数据-取费表'!C42),4)</f>
        <v>5.33E-2</v>
      </c>
      <c r="D28" s="368" t="s">
        <v>1477</v>
      </c>
      <c r="E28" s="346" t="s">
        <v>1423</v>
      </c>
      <c r="F28" s="366">
        <f>'数据-取费表'!B41</f>
        <v>5.6000000000000001E-2</v>
      </c>
      <c r="G28" s="1856"/>
      <c r="H28" s="352"/>
      <c r="I28" s="353"/>
      <c r="J28" s="354"/>
      <c r="K28" s="372"/>
      <c r="L28" s="346" t="s">
        <v>1478</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0</v>
      </c>
      <c r="D29" s="1344"/>
      <c r="E29" s="1342"/>
      <c r="F29" s="1345"/>
      <c r="G29" s="1856"/>
      <c r="H29" s="379" t="s">
        <v>1033</v>
      </c>
      <c r="I29" s="380" t="s">
        <v>1480</v>
      </c>
      <c r="J29" s="381">
        <f ca="1">ROUND(J26/(1+F40)^F41,0)</f>
        <v>0</v>
      </c>
      <c r="K29" s="382" t="s">
        <v>1481</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4">
        <f ca="1">ROUND(C31+C36+C37+C38,0)</f>
        <v>0</v>
      </c>
      <c r="D30" s="1339" t="s">
        <v>1426</v>
      </c>
      <c r="E30" s="1340"/>
      <c r="F30" s="1296"/>
      <c r="G30" s="1853"/>
      <c r="H30" s="744"/>
      <c r="I30" s="745"/>
      <c r="J30" s="746"/>
      <c r="K30" s="747"/>
      <c r="L30" s="748"/>
      <c r="M30" s="749"/>
    </row>
    <row r="31" spans="1:37" ht="18" customHeight="1">
      <c r="A31" s="1203" t="s">
        <v>1035</v>
      </c>
      <c r="B31" s="346" t="s">
        <v>1430</v>
      </c>
      <c r="C31" s="24">
        <f ca="1">ROUND(IF(项目基本情况!B11="自然人",C5*F31,C32+C33+C34),1)</f>
        <v>0</v>
      </c>
      <c r="D31" s="1802" t="s">
        <v>1431</v>
      </c>
      <c r="E31" s="1800" t="s">
        <v>1482</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1434</v>
      </c>
      <c r="C32" s="24">
        <f ca="1">IF(项目基本情况!B11="自然人","——",ROUND(C5*F32/(1+'数据-取费表'!C42),2))</f>
        <v>0</v>
      </c>
      <c r="D32" s="1800" t="s">
        <v>1435</v>
      </c>
      <c r="E32" s="346" t="s">
        <v>1423</v>
      </c>
      <c r="F32" s="376">
        <f>'数据-取费表'!B41</f>
        <v>5.6000000000000001E-2</v>
      </c>
      <c r="G32" s="1853"/>
      <c r="H32" s="744"/>
      <c r="I32" s="745"/>
      <c r="J32" s="746"/>
      <c r="K32" s="747"/>
      <c r="L32" s="748"/>
      <c r="M32" s="749"/>
    </row>
    <row r="33" spans="1:18" ht="18" customHeight="1">
      <c r="A33" s="1203" t="s">
        <v>1036</v>
      </c>
      <c r="B33" s="346" t="s">
        <v>1438</v>
      </c>
      <c r="C33" s="24">
        <f ca="1">IF(项目基本情况!B11="自然人","——",IF(D33="按租金收入计税",ROUND(C5*F33,2),IF(D33="按房产原值计税",ROUND(C29*F33*0.7,2),INDIRECT("'数据-取费表'!Aj"&amp;$G$1))))</f>
        <v>0</v>
      </c>
      <c r="D33" s="1830" t="s">
        <v>1439</v>
      </c>
      <c r="E33" s="346" t="s">
        <v>1423</v>
      </c>
      <c r="F33" s="366">
        <f>IF(D33="按票据","——",IF(D33="按租金收入计税",'数据-取费表'!B51,'数据-取费表'!B50))</f>
        <v>1.2E-2</v>
      </c>
      <c r="G33" s="1853"/>
      <c r="H33" s="1861"/>
      <c r="I33" s="1862"/>
      <c r="J33" s="1863"/>
      <c r="K33" s="1864"/>
      <c r="L33" s="1861"/>
      <c r="M33" s="1861"/>
    </row>
    <row r="34" spans="1:18" ht="18" customHeight="1">
      <c r="A34" s="1293" t="s">
        <v>1389</v>
      </c>
      <c r="B34" s="163" t="s">
        <v>1442</v>
      </c>
      <c r="C34" s="25">
        <f ca="1">IF(项目基本情况!B11="自然人","——",ROUND(F34*F35/10000,2))</f>
        <v>0</v>
      </c>
      <c r="D34" s="369" t="s">
        <v>1443</v>
      </c>
      <c r="E34" s="346" t="s">
        <v>1444</v>
      </c>
      <c r="F34" s="370">
        <f>'数据-取费表'!B52</f>
        <v>10</v>
      </c>
      <c r="G34" s="1853"/>
      <c r="H34" s="744"/>
      <c r="I34" s="1862"/>
      <c r="J34" s="1863"/>
      <c r="K34" s="1865"/>
      <c r="L34" s="1866"/>
      <c r="M34" s="1866"/>
    </row>
    <row r="35" spans="1:18" ht="18" customHeight="1">
      <c r="A35" s="1355"/>
      <c r="B35" s="1353"/>
      <c r="C35" s="29"/>
      <c r="D35" s="372"/>
      <c r="E35" s="346" t="s">
        <v>1448</v>
      </c>
      <c r="F35" s="347">
        <f ca="1">INDIRECT("'数据-取费表'!r"&amp;$G$1)</f>
        <v>0</v>
      </c>
      <c r="G35" s="1853"/>
      <c r="H35" s="744"/>
      <c r="I35" s="1862"/>
      <c r="J35" s="1863"/>
      <c r="K35" s="1864"/>
      <c r="L35" s="1861"/>
      <c r="M35" s="1861"/>
    </row>
    <row r="36" spans="1:18" ht="18" customHeight="1">
      <c r="A36" s="1354" t="s">
        <v>1039</v>
      </c>
      <c r="B36" s="346" t="s">
        <v>1450</v>
      </c>
      <c r="C36" s="24">
        <f ca="1">ROUND(C29*F36,1)</f>
        <v>0</v>
      </c>
      <c r="D36" s="1800" t="s">
        <v>1483</v>
      </c>
      <c r="E36" s="346" t="s">
        <v>1423</v>
      </c>
      <c r="F36" s="373">
        <f ca="1">INDIRECT("'数据-取费表'!Ak"&amp;$G$1)</f>
        <v>0</v>
      </c>
      <c r="G36" s="1853"/>
      <c r="H36" s="1861"/>
      <c r="I36" s="1862"/>
      <c r="J36" s="1863"/>
      <c r="K36" s="750"/>
      <c r="L36" s="1861"/>
      <c r="M36" s="1861"/>
    </row>
    <row r="37" spans="1:18" ht="18" customHeight="1">
      <c r="A37" s="1203" t="s">
        <v>1075</v>
      </c>
      <c r="B37" s="346" t="s">
        <v>1454</v>
      </c>
      <c r="C37" s="24">
        <f ca="1">ROUND(C13*F37,1)</f>
        <v>0</v>
      </c>
      <c r="D37" s="1800" t="s">
        <v>1455</v>
      </c>
      <c r="E37" s="346" t="s">
        <v>1456</v>
      </c>
      <c r="F37" s="375">
        <f ca="1">INDIRECT("'数据-取费表'!Al"&amp;$G$1)</f>
        <v>0</v>
      </c>
      <c r="G37" s="1853"/>
      <c r="H37" s="1861"/>
      <c r="I37" s="1862"/>
      <c r="J37" s="1863"/>
      <c r="K37" s="750"/>
      <c r="L37" s="1861"/>
      <c r="M37" s="1861"/>
    </row>
    <row r="38" spans="1:18" ht="18" customHeight="1" thickBot="1">
      <c r="A38" s="1341" t="s">
        <v>1393</v>
      </c>
      <c r="B38" s="1342" t="s">
        <v>1440</v>
      </c>
      <c r="C38" s="1343">
        <f ca="1">ROUND(C5*F38,1)</f>
        <v>0</v>
      </c>
      <c r="D38" s="1344" t="s">
        <v>1460</v>
      </c>
      <c r="E38" s="1342" t="s">
        <v>1456</v>
      </c>
      <c r="F38" s="1338">
        <f ca="1">INDIRECT("'数据-取费表'!Am"&amp;$G$1)</f>
        <v>0</v>
      </c>
      <c r="G38" s="1853"/>
      <c r="H38" s="1861"/>
      <c r="I38" s="1862"/>
      <c r="J38" s="1863"/>
      <c r="K38" s="1867"/>
      <c r="L38" s="1861"/>
      <c r="M38" s="1861"/>
    </row>
    <row r="39" spans="1:18" ht="24.6" customHeight="1" thickTop="1">
      <c r="A39" s="1331" t="s">
        <v>1031</v>
      </c>
      <c r="B39" s="1346" t="s">
        <v>1484</v>
      </c>
      <c r="C39" s="354">
        <f ca="1">C5-C30</f>
        <v>0</v>
      </c>
      <c r="D39" s="1347" t="s">
        <v>1485</v>
      </c>
      <c r="E39" s="1348"/>
      <c r="F39" s="1349"/>
      <c r="G39" s="1853"/>
      <c r="H39" s="1861"/>
      <c r="I39" s="1862"/>
      <c r="J39" s="1863"/>
      <c r="K39" s="1867"/>
      <c r="L39" s="1861"/>
      <c r="M39" s="1861"/>
    </row>
    <row r="40" spans="1:18" ht="18" customHeight="1">
      <c r="A40" s="343" t="s">
        <v>1032</v>
      </c>
      <c r="B40" s="344" t="s">
        <v>1486</v>
      </c>
      <c r="C40" s="345" t="e">
        <f ca="1">ROUND(C39*(1-((1+F42)/(1+F40))^F41)/(F40-F42),0)</f>
        <v>#DIV/0!</v>
      </c>
      <c r="D40" s="369" t="s">
        <v>1470</v>
      </c>
      <c r="E40" s="346" t="s">
        <v>1471</v>
      </c>
      <c r="F40" s="356">
        <f ca="1">INDIRECT("'数据-取费表'!I"&amp;$G$1)</f>
        <v>0</v>
      </c>
      <c r="G40" s="1853"/>
      <c r="H40" s="1841"/>
      <c r="I40" s="1862"/>
      <c r="J40" s="1863"/>
      <c r="K40" s="1867"/>
      <c r="L40" s="1841"/>
      <c r="M40" s="1841"/>
    </row>
    <row r="41" spans="1:18" ht="18" customHeight="1">
      <c r="A41" s="348"/>
      <c r="B41" s="349"/>
      <c r="C41" s="350"/>
      <c r="D41" s="377" t="s">
        <v>1487</v>
      </c>
      <c r="E41" s="346" t="s">
        <v>1475</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1478</v>
      </c>
      <c r="F42" s="356">
        <f ca="1">INDIRECT("'数据-取费表'!v"&amp;$G$1)</f>
        <v>0</v>
      </c>
      <c r="G42" s="1853"/>
      <c r="H42" s="731"/>
      <c r="I42" s="1862"/>
      <c r="J42" s="1863"/>
      <c r="K42" s="750"/>
      <c r="L42" s="731"/>
      <c r="M42" s="731"/>
    </row>
    <row r="43" spans="1:18" ht="18" customHeight="1" thickBot="1">
      <c r="A43" s="379" t="s">
        <v>1033</v>
      </c>
      <c r="B43" s="380" t="s">
        <v>1488</v>
      </c>
      <c r="C43" s="381" t="e">
        <f ca="1">ROUND(C40*10000/F43,0)</f>
        <v>#DIV/0!</v>
      </c>
      <c r="D43" s="382" t="s">
        <v>1489</v>
      </c>
      <c r="E43" s="383" t="s">
        <v>1490</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1520</v>
      </c>
      <c r="P45" s="1841"/>
      <c r="Q45" s="1841"/>
      <c r="R45" s="1841"/>
    </row>
    <row r="46" spans="1:18" s="1844" customFormat="1" ht="13.5" thickBot="1">
      <c r="A46" s="1872" t="s">
        <v>1521</v>
      </c>
      <c r="C46" s="1873" t="e">
        <f ca="1">C68-C40</f>
        <v>#DIV/0!</v>
      </c>
      <c r="D46" s="1874" t="str">
        <f>C2</f>
        <v>万元</v>
      </c>
      <c r="E46" s="1868"/>
      <c r="F46" s="1868"/>
      <c r="I46" s="1875" t="s">
        <v>1522</v>
      </c>
      <c r="J46" s="1876"/>
      <c r="K46" s="1877"/>
      <c r="L46" s="1878" t="e">
        <f ca="1">IF(M47="住宅",0,IF(L48&gt;J51,L60,J60))</f>
        <v>#DIV/0!</v>
      </c>
      <c r="O46" s="1879" t="s">
        <v>1523</v>
      </c>
      <c r="P46" s="1880" t="s">
        <v>1524</v>
      </c>
      <c r="Q46" s="1881" t="s">
        <v>1525</v>
      </c>
      <c r="R46" s="1881" t="s">
        <v>1526</v>
      </c>
    </row>
    <row r="47" spans="1:18" s="1844" customFormat="1" ht="13.5" thickBot="1">
      <c r="A47" s="1167" t="s">
        <v>1396</v>
      </c>
      <c r="B47" s="1199" t="s">
        <v>1397</v>
      </c>
      <c r="C47" s="1369" t="s">
        <v>1398</v>
      </c>
      <c r="D47" s="1199" t="s">
        <v>1399</v>
      </c>
      <c r="E47" s="1281" t="s">
        <v>1400</v>
      </c>
      <c r="F47" s="1282"/>
      <c r="G47" s="791"/>
      <c r="I47" s="1882" t="s">
        <v>1527</v>
      </c>
      <c r="J47" s="1883"/>
      <c r="K47" s="1884" t="s">
        <v>1528</v>
      </c>
      <c r="L47" s="1885">
        <f ca="1">INDIRECT("'数据-取费表'!d"&amp;$G$1)</f>
        <v>0</v>
      </c>
      <c r="M47" s="1840" t="str">
        <f>IF(ISNUMBER(FIND("住宅",C1)),"住宅","非住宅")</f>
        <v>非住宅</v>
      </c>
      <c r="O47" s="1886" t="s">
        <v>1040</v>
      </c>
      <c r="P47" s="1887" t="s">
        <v>1529</v>
      </c>
      <c r="Q47" s="1888" t="e">
        <f ca="1">C40+J29</f>
        <v>#DIV/0!</v>
      </c>
      <c r="R47" s="1888" t="s">
        <v>1530</v>
      </c>
    </row>
    <row r="48" spans="1:18" s="1844" customFormat="1" ht="28.5" thickBot="1">
      <c r="A48" s="1362" t="s">
        <v>1135</v>
      </c>
      <c r="B48" s="344" t="s">
        <v>1401</v>
      </c>
      <c r="C48" s="1819">
        <f ca="1">C49+C53+C55</f>
        <v>0</v>
      </c>
      <c r="D48" s="1364"/>
      <c r="E48" s="1365"/>
      <c r="F48" s="1183"/>
      <c r="G48" s="791"/>
      <c r="H48" s="792"/>
      <c r="I48" s="1889" t="s">
        <v>1531</v>
      </c>
      <c r="J48" s="1890"/>
      <c r="K48" s="1891" t="s">
        <v>1532</v>
      </c>
      <c r="L48" s="1892">
        <f ca="1">INDIRECT("'数据-取费表'!f"&amp;$G$1)</f>
        <v>0</v>
      </c>
      <c r="O48" s="1886" t="s">
        <v>1041</v>
      </c>
      <c r="P48" s="1887" t="s">
        <v>1533</v>
      </c>
      <c r="Q48" s="1888" t="e">
        <f ca="1">J60</f>
        <v>#DIV/0!</v>
      </c>
      <c r="R48" s="1888" t="s">
        <v>1534</v>
      </c>
    </row>
    <row r="49" spans="1:18" s="1844" customFormat="1" ht="13.5" thickBot="1">
      <c r="A49" s="1196" t="s">
        <v>1136</v>
      </c>
      <c r="B49" s="1831" t="s">
        <v>1491</v>
      </c>
      <c r="C49" s="1366">
        <f ca="1">ROUND(F49*F51*F50*(1-F52)/10000,0)</f>
        <v>0</v>
      </c>
      <c r="D49" s="1278" t="s">
        <v>3041</v>
      </c>
      <c r="E49" s="1832" t="s">
        <v>1492</v>
      </c>
      <c r="F49" s="1283"/>
      <c r="G49" s="1893"/>
      <c r="H49" s="792"/>
      <c r="I49" s="1889" t="s">
        <v>1535</v>
      </c>
      <c r="J49" s="1894"/>
      <c r="K49" s="1891" t="s">
        <v>1536</v>
      </c>
      <c r="L49" s="1895"/>
      <c r="O49" s="1896" t="s">
        <v>1042</v>
      </c>
      <c r="P49" s="1887" t="s">
        <v>1537</v>
      </c>
      <c r="Q49" s="1888">
        <f ca="1">C29</f>
        <v>0</v>
      </c>
      <c r="R49" s="1888" t="s">
        <v>1530</v>
      </c>
    </row>
    <row r="50" spans="1:18" s="1844" customFormat="1" ht="13.5" thickBot="1">
      <c r="A50" s="1197"/>
      <c r="B50" s="1200"/>
      <c r="C50" s="1370"/>
      <c r="D50" s="1174"/>
      <c r="E50" s="1279" t="s">
        <v>1406</v>
      </c>
      <c r="F50" s="1280">
        <f ca="1">F7</f>
        <v>0</v>
      </c>
      <c r="H50" s="792"/>
      <c r="I50" s="1889" t="s">
        <v>1538</v>
      </c>
      <c r="J50" s="1897">
        <f>SUMPRODUCT((I63:I65=J47)*(J62:L62=J48)*(J63:L65))</f>
        <v>0</v>
      </c>
      <c r="K50" s="1891" t="s">
        <v>1539</v>
      </c>
      <c r="L50" s="1895"/>
      <c r="M50" s="1898"/>
      <c r="O50" s="1896" t="s">
        <v>1043</v>
      </c>
      <c r="P50" s="1887" t="s">
        <v>1540</v>
      </c>
      <c r="Q50" s="1899" t="e">
        <f ca="1">J58</f>
        <v>#DIV/0!</v>
      </c>
      <c r="R50" s="1888"/>
    </row>
    <row r="51" spans="1:18" s="1844" customFormat="1" ht="13.5" thickBot="1">
      <c r="A51" s="1198"/>
      <c r="B51" s="1200"/>
      <c r="C51" s="1201"/>
      <c r="D51" s="1174"/>
      <c r="E51" s="1202" t="s">
        <v>1407</v>
      </c>
      <c r="F51" s="347">
        <f ca="1">F8</f>
        <v>0</v>
      </c>
      <c r="I51" s="1900" t="s">
        <v>1541</v>
      </c>
      <c r="J51" s="1901">
        <f>IF(J49="",J50,J49+J50-YEAR('数据-取费表'!B2))</f>
        <v>0</v>
      </c>
      <c r="K51" s="1902" t="s">
        <v>1542</v>
      </c>
      <c r="L51" s="1903">
        <f ca="1">ROUND(-PV(INDIRECT("'数据-取费表'!h"&amp;$G$1),L48,(C39-C13*C76),0),0)</f>
        <v>0</v>
      </c>
      <c r="M51" s="1904"/>
      <c r="O51" s="1896" t="s">
        <v>1044</v>
      </c>
      <c r="P51" s="1887" t="s">
        <v>1543</v>
      </c>
      <c r="Q51" s="1899">
        <f>J52</f>
        <v>0</v>
      </c>
      <c r="R51" s="1888"/>
    </row>
    <row r="52" spans="1:18" s="1844" customFormat="1" ht="13.5" thickBot="1">
      <c r="A52" s="1198"/>
      <c r="B52" s="1200"/>
      <c r="C52" s="1201"/>
      <c r="D52" s="1174"/>
      <c r="E52" s="1202" t="s">
        <v>1408</v>
      </c>
      <c r="F52" s="1277"/>
      <c r="I52" s="1905" t="s">
        <v>1544</v>
      </c>
      <c r="J52" s="1906"/>
      <c r="K52" s="1905" t="s">
        <v>1545</v>
      </c>
      <c r="L52" s="1906"/>
      <c r="O52" s="1896" t="s">
        <v>1045</v>
      </c>
      <c r="P52" s="1887" t="s">
        <v>1546</v>
      </c>
      <c r="Q52" s="1888" t="b">
        <f>J53</f>
        <v>0</v>
      </c>
      <c r="R52" s="1888" t="s">
        <v>1547</v>
      </c>
    </row>
    <row r="53" spans="1:18" s="1844" customFormat="1" ht="24.75" thickBot="1">
      <c r="A53" s="1407" t="s">
        <v>1137</v>
      </c>
      <c r="B53" s="1833" t="s">
        <v>1409</v>
      </c>
      <c r="C53" s="360">
        <f ca="1">ROUND(IF(F53="押一",F49*F51*F50/12*F11,IF(F53="押二",F49*F51*F50/12*2*F11,IF(F53="押三",F49*F51*F50/12*3*F11,C54*F11)))/10000,0)</f>
        <v>0</v>
      </c>
      <c r="D53" s="1826" t="s">
        <v>3039</v>
      </c>
      <c r="E53" s="357" t="s">
        <v>1411</v>
      </c>
      <c r="F53" s="1368"/>
      <c r="I53" s="1907" t="s">
        <v>1548</v>
      </c>
      <c r="J53" s="1908" t="b">
        <f>IF(M47="住宅",J51,IF(D1="——",MIN(J51,L48),IF(D1="在建（套用方法）",MIN(J51,L48-'数据-取费表'!B24),IF(D1="土地（套用方法）",MIN(J51,L48-'数据-取费表'!B20)))))</f>
        <v>0</v>
      </c>
      <c r="K53" s="3202" t="s">
        <v>1549</v>
      </c>
      <c r="L53" s="3203"/>
      <c r="O53" s="1886" t="s">
        <v>1046</v>
      </c>
      <c r="P53" s="1887" t="s">
        <v>1550</v>
      </c>
      <c r="Q53" s="1888" t="e">
        <f ca="1">Q47+Q48</f>
        <v>#DIV/0!</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1551</v>
      </c>
      <c r="P54" s="1841"/>
      <c r="Q54" s="1841"/>
      <c r="R54" s="1841"/>
    </row>
    <row r="55" spans="1:18" s="1844" customFormat="1" ht="13.5" thickBot="1">
      <c r="A55" s="1335" t="s">
        <v>1075</v>
      </c>
      <c r="B55" s="1829" t="s">
        <v>1414</v>
      </c>
      <c r="C55" s="1336"/>
      <c r="D55" s="1826"/>
      <c r="E55" s="1834"/>
      <c r="F55" s="1909"/>
      <c r="I55" s="1912" t="s">
        <v>1552</v>
      </c>
      <c r="J55" s="1913" t="e">
        <f ca="1">ROUND(IF(J47="钢混",J57/J50,1-(1-2%)*(J50-J57)/J50),3)</f>
        <v>#DIV/0!</v>
      </c>
      <c r="K55" s="1914" t="s">
        <v>1553</v>
      </c>
      <c r="L55" s="1915" t="s">
        <v>1554</v>
      </c>
      <c r="O55" s="1879" t="s">
        <v>1523</v>
      </c>
      <c r="P55" s="1880" t="s">
        <v>1524</v>
      </c>
      <c r="Q55" s="1881" t="s">
        <v>1525</v>
      </c>
      <c r="R55" s="1881" t="s">
        <v>1526</v>
      </c>
    </row>
    <row r="56" spans="1:18" s="1844" customFormat="1" ht="25.5" thickTop="1" thickBot="1">
      <c r="A56" s="1178">
        <v>2</v>
      </c>
      <c r="B56" s="1179" t="s">
        <v>1415</v>
      </c>
      <c r="C56" s="275">
        <f ca="1">C13</f>
        <v>0</v>
      </c>
      <c r="D56" s="1916"/>
      <c r="E56" s="1917"/>
      <c r="F56" s="1909"/>
      <c r="I56" s="1918" t="s">
        <v>1555</v>
      </c>
      <c r="J56" s="1919"/>
      <c r="K56" s="1889" t="s">
        <v>1556</v>
      </c>
      <c r="L56" s="1892">
        <f ca="1">IF(L48&lt;J51,"——",L48-J53)</f>
        <v>0</v>
      </c>
      <c r="O56" s="1886" t="s">
        <v>1040</v>
      </c>
      <c r="P56" s="1887" t="s">
        <v>1529</v>
      </c>
      <c r="Q56" s="1888" t="e">
        <f ca="1">C40+J29</f>
        <v>#DIV/0!</v>
      </c>
      <c r="R56" s="1888" t="s">
        <v>1530</v>
      </c>
    </row>
    <row r="57" spans="1:18" s="1844" customFormat="1" ht="24.75" thickBot="1">
      <c r="A57" s="1920"/>
      <c r="B57" s="1171" t="s">
        <v>1479</v>
      </c>
      <c r="C57" s="281">
        <f ca="1">C29</f>
        <v>0</v>
      </c>
      <c r="D57" s="1921"/>
      <c r="E57" s="1922"/>
      <c r="F57" s="1923"/>
      <c r="I57" s="1924" t="s">
        <v>1557</v>
      </c>
      <c r="J57" s="1925">
        <f ca="1">IF(OR(M47="住宅",J51&lt;L48,J56="是"),"——",J51-L48)</f>
        <v>0</v>
      </c>
      <c r="K57" s="1889" t="s">
        <v>1558</v>
      </c>
      <c r="L57" s="1892">
        <f ca="1">IF(L48&lt;J51,"——",IF(L55="比较法",L49,IF(L55="基准地价",L50,L51)))</f>
        <v>0</v>
      </c>
      <c r="O57" s="1886" t="s">
        <v>1041</v>
      </c>
      <c r="P57" s="1887" t="s">
        <v>1559</v>
      </c>
      <c r="Q57" s="1888" t="e">
        <f ca="1">L60</f>
        <v>#DIV/0!</v>
      </c>
      <c r="R57" s="1888" t="s">
        <v>1560</v>
      </c>
    </row>
    <row r="58" spans="1:18" s="1844" customFormat="1" ht="24.75" thickBot="1">
      <c r="A58" s="359" t="s">
        <v>1030</v>
      </c>
      <c r="B58" s="1179" t="s">
        <v>1425</v>
      </c>
      <c r="C58" s="360">
        <f ca="1">ROUND(C59+C64+C65+C66,0)</f>
        <v>0</v>
      </c>
      <c r="D58" s="1181" t="s">
        <v>1426</v>
      </c>
      <c r="E58" s="1182"/>
      <c r="F58" s="1183"/>
      <c r="I58" s="1924" t="s">
        <v>1561</v>
      </c>
      <c r="J58" s="1926" t="e">
        <f ca="1">IF(J55&lt;0.4,0.4,J55)</f>
        <v>#DIV/0!</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ROUND(IF(项目基本情况!B11="自然人",C48*F59,C60+C61+C62),1)</f>
        <v>0</v>
      </c>
      <c r="D59" s="1184" t="s">
        <v>1431</v>
      </c>
      <c r="E59" s="1185" t="s">
        <v>1432</v>
      </c>
      <c r="F59" s="367" t="str">
        <f ca="1">IF(项目基本情况!B11="企业","",IF(INDIRECT("'数据-取费表'!c"&amp;$G$1)="住宅",5%,IF(F49*F50*F51/12/(1+'数据-取费表'!C42)&gt;20000,12%,7%)))</f>
        <v/>
      </c>
      <c r="I59" s="1924" t="s">
        <v>1564</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f ca="1">IF(项目基本情况!B11="自然人","——",ROUND(C48*F60/(1+'数据-取费表'!C42),2))</f>
        <v>0</v>
      </c>
      <c r="D60" s="1185" t="s">
        <v>1435</v>
      </c>
      <c r="E60" s="1171" t="s">
        <v>1423</v>
      </c>
      <c r="F60" s="376">
        <f t="shared" ref="F60:F66" si="0">F32</f>
        <v>5.6000000000000001E-2</v>
      </c>
      <c r="I60" s="1927" t="s">
        <v>1566</v>
      </c>
      <c r="J60" s="1928" t="e">
        <f ca="1">IF(OR(M47="住宅",J51&lt;L48,J56="是"),"0",ROUND(J59/(1+J52)^J53,0))</f>
        <v>#DIV/0!</v>
      </c>
      <c r="K60" s="1929" t="s">
        <v>1567</v>
      </c>
      <c r="L60" s="1928" t="e">
        <f ca="1">IF(OR(M47="住宅",L48&lt;J51),0,ROUND(L57*(L58/L59-1),0))</f>
        <v>#DIV/0!</v>
      </c>
      <c r="O60" s="1896" t="s">
        <v>1044</v>
      </c>
      <c r="P60" s="1887" t="s">
        <v>1568</v>
      </c>
      <c r="Q60" s="1888" t="e">
        <f ca="1">L58</f>
        <v>#DIV/0!</v>
      </c>
      <c r="R60" s="1888" t="s">
        <v>1569</v>
      </c>
    </row>
    <row r="61" spans="1:18" s="1844" customFormat="1" ht="13.5" thickBot="1">
      <c r="A61" s="1203" t="s">
        <v>1493</v>
      </c>
      <c r="B61" s="1171" t="s">
        <v>1494</v>
      </c>
      <c r="C61" s="24">
        <f ca="1">IF(项目基本情况!B11="自然人","——",IF(D61="按租金收入计税",ROUND(C48*F61,2),IF(D61="按房产原值计税",ROUND(C57*F61*0.7,2),INDIRECT("'数据-取费表'!Aj"&amp;$G$1))))</f>
        <v>0</v>
      </c>
      <c r="D61" s="1830" t="s">
        <v>1439</v>
      </c>
      <c r="E61" s="1171" t="s">
        <v>1495</v>
      </c>
      <c r="F61" s="366">
        <f t="shared" si="0"/>
        <v>1.2E-2</v>
      </c>
      <c r="I61" s="1930"/>
      <c r="J61" s="1930"/>
      <c r="K61" s="1930"/>
      <c r="L61" s="1930"/>
      <c r="O61" s="1896" t="s">
        <v>1045</v>
      </c>
      <c r="P61" s="1887" t="str">
        <f>K59</f>
        <v>建设期及建筑物耐用年限下的土地年期修正系数Kn</v>
      </c>
      <c r="Q61" s="1888" t="e">
        <f ca="1">L59</f>
        <v>#DIV/0!</v>
      </c>
      <c r="R61" s="1888" t="s">
        <v>1570</v>
      </c>
    </row>
    <row r="62" spans="1:18" s="1844" customFormat="1" ht="13.5" thickBot="1">
      <c r="A62" s="1203" t="s">
        <v>1496</v>
      </c>
      <c r="B62" s="1170" t="s">
        <v>1497</v>
      </c>
      <c r="C62" s="25">
        <f ca="1">IF(项目基本情况!B11="自然人","——",ROUND(F62*F63/10000,2))</f>
        <v>0</v>
      </c>
      <c r="D62" s="1186" t="s">
        <v>1498</v>
      </c>
      <c r="E62" s="1171" t="s">
        <v>1499</v>
      </c>
      <c r="F62" s="370">
        <f t="shared" si="0"/>
        <v>10</v>
      </c>
      <c r="I62" s="1931" t="s">
        <v>1571</v>
      </c>
      <c r="J62" s="1932" t="s">
        <v>1572</v>
      </c>
      <c r="K62" s="1932" t="s">
        <v>1573</v>
      </c>
      <c r="L62" s="1932" t="s">
        <v>1574</v>
      </c>
      <c r="M62" s="1933" t="s">
        <v>1575</v>
      </c>
      <c r="O62" s="1886" t="s">
        <v>1046</v>
      </c>
      <c r="P62" s="1887" t="s">
        <v>1576</v>
      </c>
      <c r="Q62" s="1888" t="e">
        <f ca="1">Q56+Q57</f>
        <v>#DIV/0!</v>
      </c>
      <c r="R62" s="1888" t="s">
        <v>1047</v>
      </c>
    </row>
    <row r="63" spans="1:18" s="1844" customFormat="1" ht="13.5" thickBot="1">
      <c r="A63" s="371"/>
      <c r="B63" s="1177"/>
      <c r="C63" s="29"/>
      <c r="D63" s="1187"/>
      <c r="E63" s="1171" t="s">
        <v>1500</v>
      </c>
      <c r="F63" s="347">
        <f t="shared" ca="1" si="0"/>
        <v>0</v>
      </c>
      <c r="I63" s="1931" t="s">
        <v>1577</v>
      </c>
      <c r="J63" s="1932">
        <v>70</v>
      </c>
      <c r="K63" s="1932">
        <v>50</v>
      </c>
      <c r="L63" s="1932">
        <v>80</v>
      </c>
      <c r="M63" s="1934">
        <v>0.02</v>
      </c>
      <c r="O63" s="1871" t="s">
        <v>1578</v>
      </c>
      <c r="P63" s="1841"/>
      <c r="Q63" s="1841"/>
      <c r="R63" s="1841"/>
    </row>
    <row r="64" spans="1:18" s="1844" customFormat="1" ht="13.5" thickBot="1">
      <c r="A64" s="1203" t="s">
        <v>1501</v>
      </c>
      <c r="B64" s="1171" t="s">
        <v>1502</v>
      </c>
      <c r="C64" s="24">
        <f ca="1">ROUND(C57*F64,1)</f>
        <v>0</v>
      </c>
      <c r="D64" s="1185" t="s">
        <v>1503</v>
      </c>
      <c r="E64" s="1171" t="s">
        <v>1495</v>
      </c>
      <c r="F64" s="373">
        <f t="shared" ca="1" si="0"/>
        <v>0</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ROUND(C56*F65,1)</f>
        <v>0</v>
      </c>
      <c r="D65" s="1185" t="s">
        <v>1455</v>
      </c>
      <c r="E65" s="1171" t="s">
        <v>1456</v>
      </c>
      <c r="F65" s="375">
        <f t="shared" ca="1" si="0"/>
        <v>0</v>
      </c>
      <c r="I65" s="1931" t="s">
        <v>1580</v>
      </c>
      <c r="J65" s="1932">
        <v>40</v>
      </c>
      <c r="K65" s="1932">
        <v>30</v>
      </c>
      <c r="L65" s="1932">
        <v>50</v>
      </c>
      <c r="M65" s="1934">
        <v>0.02</v>
      </c>
      <c r="O65" s="1886" t="s">
        <v>1040</v>
      </c>
      <c r="P65" s="1887" t="s">
        <v>1581</v>
      </c>
      <c r="Q65" s="1888" t="e">
        <f ca="1">C40+J29</f>
        <v>#DIV/0!</v>
      </c>
      <c r="R65" s="1888" t="s">
        <v>1530</v>
      </c>
    </row>
    <row r="66" spans="1:18" s="1844" customFormat="1" ht="16.5" thickBot="1">
      <c r="A66" s="1203" t="s">
        <v>1505</v>
      </c>
      <c r="B66" s="1171" t="s">
        <v>1440</v>
      </c>
      <c r="C66" s="24">
        <f ca="1">ROUND(C48*F66,1)</f>
        <v>0</v>
      </c>
      <c r="D66" s="1185" t="s">
        <v>1506</v>
      </c>
      <c r="E66" s="1171" t="s">
        <v>1423</v>
      </c>
      <c r="F66" s="356">
        <f t="shared" ca="1" si="0"/>
        <v>0</v>
      </c>
      <c r="O66" s="1886" t="s">
        <v>1041</v>
      </c>
      <c r="P66" s="1887" t="s">
        <v>1559</v>
      </c>
      <c r="Q66" s="1888" t="e">
        <f ca="1">L60</f>
        <v>#DIV/0!</v>
      </c>
      <c r="R66" s="1888" t="s">
        <v>1582</v>
      </c>
    </row>
    <row r="67" spans="1:18" s="1844" customFormat="1" ht="16.5" thickBot="1">
      <c r="A67" s="1178" t="s">
        <v>1031</v>
      </c>
      <c r="B67" s="1188" t="s">
        <v>1464</v>
      </c>
      <c r="C67" s="360">
        <f ca="1">C48-C58</f>
        <v>0</v>
      </c>
      <c r="D67" s="1184" t="s">
        <v>1465</v>
      </c>
      <c r="E67" s="1189"/>
      <c r="F67" s="1190"/>
      <c r="O67" s="1896" t="s">
        <v>1042</v>
      </c>
      <c r="P67" s="1887" t="s">
        <v>1563</v>
      </c>
      <c r="Q67" s="1935">
        <f ca="1">L51</f>
        <v>0</v>
      </c>
      <c r="R67" s="1888" t="s">
        <v>1583</v>
      </c>
    </row>
    <row r="68" spans="1:18" s="1844" customFormat="1" ht="16.5" thickBot="1">
      <c r="A68" s="1168" t="s">
        <v>1032</v>
      </c>
      <c r="B68" s="1169" t="s">
        <v>1486</v>
      </c>
      <c r="C68" s="345" t="e">
        <f ca="1">ROUND(C67*(1-((1+F70)/(1+F68))^F69)/(F68-F70),0)</f>
        <v>#DIV/0!</v>
      </c>
      <c r="D68" s="1186" t="s">
        <v>1470</v>
      </c>
      <c r="E68" s="1171" t="s">
        <v>1471</v>
      </c>
      <c r="F68" s="356">
        <f ca="1">F40</f>
        <v>0</v>
      </c>
      <c r="O68" s="1896" t="s">
        <v>1043</v>
      </c>
      <c r="P68" s="1936" t="s">
        <v>1584</v>
      </c>
      <c r="Q68" s="1888">
        <f ca="1">ROUND(Q69-Q70*Q71,0)</f>
        <v>0</v>
      </c>
      <c r="R68" s="1888" t="s">
        <v>1051</v>
      </c>
    </row>
    <row r="69" spans="1:18" s="1844" customFormat="1" ht="13.5" thickBot="1">
      <c r="A69" s="1172"/>
      <c r="B69" s="1173"/>
      <c r="C69" s="350"/>
      <c r="D69" s="1191" t="s">
        <v>1474</v>
      </c>
      <c r="E69" s="1171" t="s">
        <v>1475</v>
      </c>
      <c r="F69" s="378">
        <f ca="1">F41</f>
        <v>0</v>
      </c>
      <c r="O69" s="1896" t="s">
        <v>1048</v>
      </c>
      <c r="P69" s="1936" t="s">
        <v>1585</v>
      </c>
      <c r="Q69" s="1888">
        <f ca="1">C39</f>
        <v>0</v>
      </c>
      <c r="R69" s="1888" t="s">
        <v>1530</v>
      </c>
    </row>
    <row r="70" spans="1:18" s="1844" customFormat="1" ht="13.5" thickBot="1">
      <c r="A70" s="1175"/>
      <c r="B70" s="1176"/>
      <c r="C70" s="354"/>
      <c r="D70" s="1187"/>
      <c r="E70" s="1171" t="s">
        <v>1478</v>
      </c>
      <c r="F70" s="1277"/>
      <c r="O70" s="1896" t="s">
        <v>1049</v>
      </c>
      <c r="P70" s="1936" t="s">
        <v>1586</v>
      </c>
      <c r="Q70" s="1888">
        <f ca="1">C13</f>
        <v>0</v>
      </c>
      <c r="R70" s="1888" t="s">
        <v>1530</v>
      </c>
    </row>
    <row r="71" spans="1:18" s="1844" customFormat="1" ht="13.5" thickBot="1">
      <c r="A71" s="1192" t="s">
        <v>1033</v>
      </c>
      <c r="B71" s="1193" t="s">
        <v>1488</v>
      </c>
      <c r="C71" s="381" t="e">
        <f ca="1">ROUND(C68*10000/F71,0)</f>
        <v>#DIV/0!</v>
      </c>
      <c r="D71" s="1194" t="s">
        <v>1489</v>
      </c>
      <c r="E71" s="1195" t="s">
        <v>1490</v>
      </c>
      <c r="F71" s="384">
        <f ca="1">F43</f>
        <v>0</v>
      </c>
      <c r="O71" s="1896" t="s">
        <v>1050</v>
      </c>
      <c r="P71" s="1936" t="s">
        <v>1587</v>
      </c>
      <c r="Q71" s="1899">
        <f ca="1">C76</f>
        <v>0</v>
      </c>
      <c r="R71" s="1888"/>
    </row>
    <row r="72" spans="1:18" s="1844" customFormat="1" ht="13.5" thickBot="1">
      <c r="B72" s="795"/>
      <c r="C72" s="795"/>
      <c r="O72" s="1896" t="s">
        <v>1044</v>
      </c>
      <c r="P72" s="1887" t="s">
        <v>1565</v>
      </c>
      <c r="Q72" s="1899">
        <f>L52</f>
        <v>0</v>
      </c>
      <c r="R72" s="1888"/>
    </row>
    <row r="73" spans="1:18" ht="16.5" thickBot="1">
      <c r="A73" s="1844"/>
      <c r="B73" s="795"/>
      <c r="C73" s="795"/>
      <c r="D73" s="1844"/>
      <c r="E73" s="1844"/>
      <c r="F73" s="1844"/>
      <c r="O73" s="1896" t="s">
        <v>1045</v>
      </c>
      <c r="P73" s="1887" t="s">
        <v>1568</v>
      </c>
      <c r="Q73" s="1888" t="e">
        <f ca="1">L58</f>
        <v>#DIV/0!</v>
      </c>
      <c r="R73" s="1888" t="s">
        <v>1569</v>
      </c>
    </row>
    <row r="74" spans="1:18" ht="13.5" thickBot="1">
      <c r="A74" s="1844"/>
      <c r="B74" s="316" t="s">
        <v>1588</v>
      </c>
      <c r="C74" s="1938"/>
      <c r="D74" s="1844"/>
      <c r="E74" s="1844"/>
      <c r="F74" s="1844"/>
      <c r="O74" s="1896" t="s">
        <v>1052</v>
      </c>
      <c r="P74" s="1887" t="str">
        <f>K59</f>
        <v>建设期及建筑物耐用年限下的土地年期修正系数Kn</v>
      </c>
      <c r="Q74" s="1888" t="e">
        <f ca="1">L59</f>
        <v>#DIV/0!</v>
      </c>
      <c r="R74" s="1888" t="s">
        <v>1570</v>
      </c>
    </row>
    <row r="75" spans="1:18" ht="13.5" thickBot="1">
      <c r="A75" s="1844"/>
      <c r="B75" s="385" t="s">
        <v>1507</v>
      </c>
      <c r="C75" s="386">
        <f ca="1">ROUND(C13*C76,0)</f>
        <v>0</v>
      </c>
      <c r="D75" s="1844"/>
      <c r="E75" s="1844"/>
      <c r="F75" s="1844"/>
      <c r="K75" s="1870"/>
      <c r="L75" s="1844"/>
      <c r="O75" s="1886" t="s">
        <v>1046</v>
      </c>
      <c r="P75" s="1887" t="s">
        <v>1550</v>
      </c>
      <c r="Q75" s="1888" t="e">
        <f ca="1">Q65+Q66</f>
        <v>#DIV/0!</v>
      </c>
      <c r="R75" s="1888" t="s">
        <v>1047</v>
      </c>
    </row>
    <row r="76" spans="1:18">
      <c r="B76" s="387" t="s">
        <v>1508</v>
      </c>
      <c r="C76" s="388">
        <f ca="1">INDIRECT("'数据-取费表'!j"&amp;$G$1)</f>
        <v>0</v>
      </c>
      <c r="I76" s="1844"/>
      <c r="J76" s="1844"/>
      <c r="K76" s="1870"/>
      <c r="L76" s="1844"/>
    </row>
    <row r="77" spans="1:18">
      <c r="B77" s="389" t="s">
        <v>1509</v>
      </c>
      <c r="C77" s="390"/>
      <c r="I77" s="1844"/>
      <c r="J77" s="1844"/>
      <c r="K77" s="1870"/>
      <c r="L77" s="1844"/>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1590</v>
      </c>
      <c r="B1" s="781"/>
      <c r="C1" s="1839"/>
      <c r="D1" s="1822"/>
      <c r="E1" s="1823" t="s">
        <v>1387</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1591</v>
      </c>
      <c r="B2" s="1846" t="e">
        <f ca="1">ROUND(D2/10000,0)</f>
        <v>#DIV/0!</v>
      </c>
      <c r="C2" s="1847" t="s">
        <v>1592</v>
      </c>
      <c r="D2" s="1940" t="e">
        <f ca="1">C40+J29+L46</f>
        <v>#DIV/0!</v>
      </c>
      <c r="E2" s="1848" t="s">
        <v>1593</v>
      </c>
      <c r="F2" s="1849"/>
      <c r="G2" s="1850"/>
      <c r="H2" s="1842"/>
      <c r="I2" s="1842"/>
      <c r="J2" s="1842"/>
      <c r="K2" s="1843"/>
      <c r="L2" s="1842"/>
      <c r="M2" s="1842"/>
    </row>
    <row r="3" spans="1:37" ht="18" customHeight="1" thickBot="1">
      <c r="A3" s="1851" t="s">
        <v>1594</v>
      </c>
      <c r="B3" s="1852">
        <f ca="1">IF(ISERROR(D2/F43),0,ROUND(D2/F43,0))</f>
        <v>0</v>
      </c>
      <c r="C3" s="1847" t="s">
        <v>1595</v>
      </c>
      <c r="D3" s="1847"/>
      <c r="E3" s="1848"/>
      <c r="F3" s="1849"/>
      <c r="G3" s="1850"/>
      <c r="H3" s="743" t="s">
        <v>1589</v>
      </c>
      <c r="I3" s="1842"/>
      <c r="J3" s="1842"/>
      <c r="K3" s="1843"/>
      <c r="L3" s="1842"/>
      <c r="M3" s="1842"/>
    </row>
    <row r="4" spans="1:37" ht="18" customHeight="1">
      <c r="A4" s="339" t="s">
        <v>1596</v>
      </c>
      <c r="B4" s="340" t="s">
        <v>1597</v>
      </c>
      <c r="C4" s="340" t="s">
        <v>1598</v>
      </c>
      <c r="D4" s="340" t="s">
        <v>1599</v>
      </c>
      <c r="E4" s="341" t="s">
        <v>1600</v>
      </c>
      <c r="F4" s="342"/>
      <c r="G4" s="1853"/>
      <c r="H4" s="339" t="s">
        <v>1596</v>
      </c>
      <c r="I4" s="340" t="s">
        <v>1597</v>
      </c>
      <c r="J4" s="340" t="s">
        <v>1598</v>
      </c>
      <c r="K4" s="340" t="s">
        <v>1599</v>
      </c>
      <c r="L4" s="341" t="s">
        <v>1600</v>
      </c>
      <c r="M4" s="342"/>
    </row>
    <row r="5" spans="1:37" ht="18" customHeight="1">
      <c r="A5" s="343">
        <v>1</v>
      </c>
      <c r="B5" s="344" t="s">
        <v>1601</v>
      </c>
      <c r="C5" s="1294">
        <f ca="1">C6+C10+C12</f>
        <v>0</v>
      </c>
      <c r="D5" s="1824" t="s">
        <v>1602</v>
      </c>
      <c r="E5" s="1295"/>
      <c r="F5" s="1296"/>
      <c r="G5" s="1853"/>
      <c r="H5" s="343">
        <v>1</v>
      </c>
      <c r="I5" s="344" t="s">
        <v>1601</v>
      </c>
      <c r="J5" s="1294">
        <f ca="1">J6+J10+J12</f>
        <v>0</v>
      </c>
      <c r="K5" s="1824" t="s">
        <v>1602</v>
      </c>
      <c r="L5" s="1295"/>
      <c r="M5" s="1296"/>
    </row>
    <row r="6" spans="1:37" ht="18" customHeight="1">
      <c r="A6" s="1293" t="s">
        <v>1035</v>
      </c>
      <c r="B6" s="3204" t="s">
        <v>1403</v>
      </c>
      <c r="C6" s="1298">
        <f ca="1">ROUND(F6*F8*F7*(1-F9),0)</f>
        <v>0</v>
      </c>
      <c r="D6" s="163" t="s">
        <v>3033</v>
      </c>
      <c r="E6" s="346" t="s">
        <v>1405</v>
      </c>
      <c r="F6" s="347">
        <f ca="1">INDIRECT("'数据-取费表'!u"&amp;$G$1)</f>
        <v>0</v>
      </c>
      <c r="G6" s="1853"/>
      <c r="H6" s="1293" t="s">
        <v>1035</v>
      </c>
      <c r="I6" s="3204" t="s">
        <v>1403</v>
      </c>
      <c r="J6" s="345">
        <f ca="1">ROUND(M6*M8*M7*(1-M9),0)</f>
        <v>0</v>
      </c>
      <c r="K6" s="1836" t="s">
        <v>3036</v>
      </c>
      <c r="L6" s="346" t="s">
        <v>1405</v>
      </c>
      <c r="M6" s="347">
        <f ca="1">INDIRECT("'数据-取费表'!z"&amp;$G$1)</f>
        <v>0</v>
      </c>
    </row>
    <row r="7" spans="1:37" ht="18" customHeight="1">
      <c r="A7" s="1297"/>
      <c r="B7" s="3205"/>
      <c r="C7" s="1299"/>
      <c r="D7" s="351"/>
      <c r="E7" s="1300" t="s">
        <v>1406</v>
      </c>
      <c r="F7" s="347">
        <f ca="1">IF(INDIRECT("'数据-取费表'!ah"&amp;$G$1)="",INDIRECT("'数据-取费表'!k"&amp;$G$1),INDIRECT("'数据-取费表'!ah"&amp;$G$1))</f>
        <v>0</v>
      </c>
      <c r="G7" s="1853"/>
      <c r="H7" s="348"/>
      <c r="I7" s="3205"/>
      <c r="J7" s="350"/>
      <c r="K7" s="351"/>
      <c r="L7" s="346" t="s">
        <v>1406</v>
      </c>
      <c r="M7" s="347">
        <f ca="1">F7</f>
        <v>0</v>
      </c>
    </row>
    <row r="8" spans="1:37" ht="18" customHeight="1">
      <c r="A8" s="348"/>
      <c r="B8" s="3205"/>
      <c r="C8" s="350"/>
      <c r="D8" s="351"/>
      <c r="E8" s="346" t="s">
        <v>1407</v>
      </c>
      <c r="F8" s="347">
        <f ca="1">INDIRECT("'数据-取费表'!ai"&amp;$G$1)</f>
        <v>0</v>
      </c>
      <c r="G8" s="1853"/>
      <c r="H8" s="348"/>
      <c r="I8" s="3205"/>
      <c r="J8" s="350"/>
      <c r="K8" s="351"/>
      <c r="L8" s="346" t="s">
        <v>1407</v>
      </c>
      <c r="M8" s="347">
        <f ca="1">INDIRECT("'数据-取费表'!ai"&amp;$G$1)</f>
        <v>0</v>
      </c>
    </row>
    <row r="9" spans="1:37" ht="18" customHeight="1">
      <c r="A9" s="348"/>
      <c r="B9" s="3206"/>
      <c r="C9" s="350"/>
      <c r="D9" s="351"/>
      <c r="E9" s="346" t="s">
        <v>1408</v>
      </c>
      <c r="F9" s="356">
        <f ca="1">INDIRECT("'数据-取费表'!w"&amp;$G$1)</f>
        <v>0</v>
      </c>
      <c r="G9" s="1853"/>
      <c r="H9" s="348"/>
      <c r="I9" s="3206"/>
      <c r="J9" s="350"/>
      <c r="K9" s="351"/>
      <c r="L9" s="357" t="s">
        <v>1408</v>
      </c>
      <c r="M9" s="358">
        <f ca="1">INDIRECT("'数据-取费表'!ab"&amp;$G$1)</f>
        <v>0</v>
      </c>
    </row>
    <row r="10" spans="1:37" ht="18" customHeight="1">
      <c r="A10" s="1293" t="s">
        <v>1039</v>
      </c>
      <c r="B10" s="1825" t="s">
        <v>1409</v>
      </c>
      <c r="C10" s="360">
        <f ca="1">ROUND(IF(F10="押一",F6*F8*F7/12*F11,IF(F10="押二",F6*F8*F7/12*2*F11,IF(F10="押三",F6*F8*F7/12*3*F11,C11*F11))),0)</f>
        <v>0</v>
      </c>
      <c r="D10" s="1826" t="s">
        <v>3034</v>
      </c>
      <c r="E10" s="357" t="s">
        <v>1411</v>
      </c>
      <c r="F10" s="1368"/>
      <c r="G10" s="1853"/>
      <c r="H10" s="1293" t="s">
        <v>1039</v>
      </c>
      <c r="I10" s="1825" t="s">
        <v>1409</v>
      </c>
      <c r="J10" s="345">
        <f ca="1">ROUND(IF(M10="押一",M6*M8*M7/12*M11,IF(M10="押二",M6*M8*M7/12*2*M11,IF(M10="押三",M6*M8*M7/12*3*M11,J11*M11))),0)</f>
        <v>0</v>
      </c>
      <c r="K10" s="1837" t="s">
        <v>3035</v>
      </c>
      <c r="L10" s="357" t="s">
        <v>1411</v>
      </c>
      <c r="M10" s="1368"/>
    </row>
    <row r="11" spans="1:37" ht="18" customHeight="1">
      <c r="A11" s="352"/>
      <c r="B11" s="1827" t="s">
        <v>1603</v>
      </c>
      <c r="C11" s="1180"/>
      <c r="D11" s="351"/>
      <c r="E11" s="357" t="s">
        <v>1413</v>
      </c>
      <c r="F11" s="358">
        <f ca="1">'数据-取费表'!B39</f>
        <v>1.4999999999999999E-2</v>
      </c>
      <c r="G11" s="1853"/>
      <c r="H11" s="1301"/>
      <c r="I11" s="1827" t="s">
        <v>1604</v>
      </c>
      <c r="J11" s="1180"/>
      <c r="K11" s="747"/>
      <c r="L11" s="357"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4">
        <f ca="1">ROUND(C29*F13,0)</f>
        <v>0</v>
      </c>
      <c r="D13" s="1333" t="s">
        <v>1416</v>
      </c>
      <c r="E13" s="1333" t="s">
        <v>1417</v>
      </c>
      <c r="F13" s="1334">
        <f ca="1">INDIRECT("'数据-取费表'!y"&amp;$G$1)</f>
        <v>0</v>
      </c>
      <c r="G13" s="1853"/>
      <c r="H13" s="1331">
        <v>2</v>
      </c>
      <c r="I13" s="1332" t="s">
        <v>1415</v>
      </c>
      <c r="J13" s="1292">
        <f ca="1">ROUND(J14*J15,0)</f>
        <v>0</v>
      </c>
      <c r="K13" s="1339" t="s">
        <v>1416</v>
      </c>
      <c r="L13" s="1854"/>
      <c r="M13" s="1855"/>
    </row>
    <row r="14" spans="1:37" ht="18" customHeight="1">
      <c r="A14" s="1203" t="s">
        <v>1034</v>
      </c>
      <c r="B14" s="346" t="s">
        <v>1418</v>
      </c>
      <c r="C14" s="362">
        <f ca="1">ROUND(INDIRECT("'数据-取费表'!l"&amp;$G$1)*F43+'数据-取费表'!L14*INDIRECT("'数据-取费表'!S"&amp;$G$1),0)</f>
        <v>0</v>
      </c>
      <c r="D14" s="1802" t="s">
        <v>1419</v>
      </c>
      <c r="E14" s="1796"/>
      <c r="F14" s="363"/>
      <c r="G14" s="1853"/>
      <c r="H14" s="1203" t="s">
        <v>1035</v>
      </c>
      <c r="I14" s="346" t="s">
        <v>1420</v>
      </c>
      <c r="J14" s="24">
        <f ca="1">C29</f>
        <v>0</v>
      </c>
      <c r="K14" s="15"/>
      <c r="L14" s="981"/>
      <c r="M14" s="982"/>
    </row>
    <row r="15" spans="1:37" s="1860" customFormat="1" ht="18" customHeight="1" thickBot="1">
      <c r="A15" s="1203" t="s">
        <v>1036</v>
      </c>
      <c r="B15" s="346" t="s">
        <v>1421</v>
      </c>
      <c r="C15" s="24">
        <f ca="1">ROUND(C14*F15,0)</f>
        <v>0</v>
      </c>
      <c r="D15" s="364" t="s">
        <v>1422</v>
      </c>
      <c r="E15" s="364" t="s">
        <v>1423</v>
      </c>
      <c r="F15" s="365">
        <f>'数据-取费表'!B33</f>
        <v>0.03</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1424</v>
      </c>
      <c r="C16" s="24">
        <f ca="1">ROUND(INDIRECT("'数据-取费表'!l"&amp;$G$1)*F43*F16,0)</f>
        <v>0</v>
      </c>
      <c r="D16" s="346" t="s">
        <v>1422</v>
      </c>
      <c r="E16" s="346" t="s">
        <v>1423</v>
      </c>
      <c r="F16" s="366">
        <f ca="1">IF(INDIRECT("'数据-取费表'!c"&amp;$G$1)="住宅",'数据-取费表'!B34,0)</f>
        <v>0</v>
      </c>
      <c r="G16" s="1853"/>
      <c r="H16" s="1331" t="s">
        <v>1030</v>
      </c>
      <c r="I16" s="1332" t="s">
        <v>1425</v>
      </c>
      <c r="J16" s="354">
        <f ca="1">ROUND(J17+J22+J23+J24,0)</f>
        <v>0</v>
      </c>
      <c r="K16" s="1339" t="s">
        <v>1426</v>
      </c>
      <c r="L16" s="1340"/>
      <c r="M16" s="1296"/>
    </row>
    <row r="17" spans="1:37" s="1860" customFormat="1" ht="18" customHeight="1">
      <c r="A17" s="1203" t="s">
        <v>1390</v>
      </c>
      <c r="B17" s="346" t="s">
        <v>1427</v>
      </c>
      <c r="C17" s="24">
        <f ca="1">ROUND(F17*(F43+INDIRECT("'数据-取费表'!S"&amp;$G$1)),0)</f>
        <v>0</v>
      </c>
      <c r="D17" s="346" t="s">
        <v>1428</v>
      </c>
      <c r="E17" s="346" t="s">
        <v>1429</v>
      </c>
      <c r="F17" s="26">
        <f>'数据-取费表'!B35</f>
        <v>200</v>
      </c>
      <c r="G17" s="1856"/>
      <c r="H17" s="1203" t="s">
        <v>1035</v>
      </c>
      <c r="I17" s="346" t="s">
        <v>1430</v>
      </c>
      <c r="J17" s="24">
        <f ca="1">ROUND(IF(项目基本情况!B11="自然人",J5*M17,J18+J19+J20),0)</f>
        <v>0</v>
      </c>
      <c r="K17" s="1802" t="s">
        <v>1431</v>
      </c>
      <c r="L17" s="1800" t="s">
        <v>1432</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1433</v>
      </c>
      <c r="C18" s="24">
        <f ca="1">ROUND(C14*F18,0)</f>
        <v>0</v>
      </c>
      <c r="D18" s="346" t="s">
        <v>1422</v>
      </c>
      <c r="E18" s="346" t="s">
        <v>1423</v>
      </c>
      <c r="F18" s="366">
        <f>'数据-取费表'!B36</f>
        <v>1.4999999999999999E-2</v>
      </c>
      <c r="G18" s="1856"/>
      <c r="H18" s="1203" t="s">
        <v>1034</v>
      </c>
      <c r="I18" s="346" t="s">
        <v>1434</v>
      </c>
      <c r="J18" s="24">
        <f ca="1">ROUND(J5*M18/(1+'数据-取费表'!C42),0)</f>
        <v>0</v>
      </c>
      <c r="K18" s="1800" t="s">
        <v>1435</v>
      </c>
      <c r="L18" s="346" t="s">
        <v>1423</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1436</v>
      </c>
      <c r="C19" s="24">
        <f ca="1">SUM(C14:C18)</f>
        <v>0</v>
      </c>
      <c r="D19" s="139" t="s">
        <v>1437</v>
      </c>
      <c r="E19" s="1820"/>
      <c r="F19" s="26"/>
      <c r="G19" s="1853"/>
      <c r="H19" s="1203" t="s">
        <v>1036</v>
      </c>
      <c r="I19" s="346" t="s">
        <v>1438</v>
      </c>
      <c r="J19" s="24">
        <f ca="1">IF(K19="按租金收入计税",ROUND(J5*M19,0),ROUND(C29*M19*0.7,0))</f>
        <v>0</v>
      </c>
      <c r="K19" s="1830" t="s">
        <v>1439</v>
      </c>
      <c r="L19" s="346" t="s">
        <v>1423</v>
      </c>
      <c r="M19" s="366">
        <f>IF(K19="按租金收入计税",'数据-取费表'!B51,'数据-取费表'!B50)</f>
        <v>1.2E-2</v>
      </c>
    </row>
    <row r="20" spans="1:37" s="1860" customFormat="1" ht="18" customHeight="1">
      <c r="A20" s="1203" t="s">
        <v>1039</v>
      </c>
      <c r="B20" s="346" t="s">
        <v>1440</v>
      </c>
      <c r="C20" s="24">
        <f ca="1">ROUND(C19*F20,0)</f>
        <v>0</v>
      </c>
      <c r="D20" s="368" t="s">
        <v>1441</v>
      </c>
      <c r="E20" s="346" t="s">
        <v>1423</v>
      </c>
      <c r="F20" s="366">
        <f>'数据-取费表'!B37</f>
        <v>1.4999999999999999E-2</v>
      </c>
      <c r="G20" s="1856"/>
      <c r="H20" s="1203" t="s">
        <v>1389</v>
      </c>
      <c r="I20" s="163" t="s">
        <v>1442</v>
      </c>
      <c r="J20" s="25">
        <f ca="1">ROUND(M20*M21,0)</f>
        <v>0</v>
      </c>
      <c r="K20" s="369" t="s">
        <v>1443</v>
      </c>
      <c r="L20" s="346" t="s">
        <v>1444</v>
      </c>
      <c r="M20" s="370">
        <f>'数据-取费表'!B52</f>
        <v>10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1445</v>
      </c>
      <c r="C21" s="24" t="s">
        <v>1</v>
      </c>
      <c r="D21" s="368" t="s">
        <v>1446</v>
      </c>
      <c r="E21" s="346" t="s">
        <v>1447</v>
      </c>
      <c r="F21" s="366">
        <f>'数据-取费表'!B38</f>
        <v>0.02</v>
      </c>
      <c r="G21" s="1856"/>
      <c r="H21" s="371"/>
      <c r="I21" s="355"/>
      <c r="J21" s="29"/>
      <c r="K21" s="372"/>
      <c r="L21" s="346" t="s">
        <v>1448</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1449</v>
      </c>
      <c r="C22" s="24"/>
      <c r="D22" s="139" t="str">
        <f>IF(F23&lt;=1,"单利计息。","复利计息。")&amp;"建造成本、管理费用、销售费用产生的利息。"</f>
        <v>复利计息。建造成本、管理费用、销售费用产生的利息。</v>
      </c>
      <c r="E22" s="1820"/>
      <c r="F22" s="26"/>
      <c r="G22" s="1853"/>
      <c r="H22" s="1203" t="s">
        <v>1039</v>
      </c>
      <c r="I22" s="346" t="s">
        <v>1450</v>
      </c>
      <c r="J22" s="24">
        <f ca="1">ROUND(J14*M22,0)</f>
        <v>0</v>
      </c>
      <c r="K22" s="1800" t="s">
        <v>1451</v>
      </c>
      <c r="L22" s="346" t="s">
        <v>1423</v>
      </c>
      <c r="M22" s="373">
        <f ca="1">INDIRECT("'数据-取费表'!Ak"&amp;$G$1)</f>
        <v>0</v>
      </c>
    </row>
    <row r="23" spans="1:37" s="1860" customFormat="1" ht="18" customHeight="1">
      <c r="A23" s="1203" t="s">
        <v>1034</v>
      </c>
      <c r="B23" s="346" t="s">
        <v>1452</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1.5</v>
      </c>
      <c r="G23" s="1856"/>
      <c r="H23" s="1203" t="s">
        <v>1075</v>
      </c>
      <c r="I23" s="346" t="s">
        <v>1454</v>
      </c>
      <c r="J23" s="24">
        <f ca="1">ROUND(J13*M23,0)</f>
        <v>0</v>
      </c>
      <c r="K23" s="1800" t="s">
        <v>1455</v>
      </c>
      <c r="L23" s="346" t="s">
        <v>1456</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1457</v>
      </c>
      <c r="B24" s="346" t="s">
        <v>1458</v>
      </c>
      <c r="C24" s="24">
        <f ca="1">ROUND(IF('数据-取费表'!B22&lt;=1,F21*F24*F23/2,F21*(POWER((1+F24),F23/2)-1)),4)</f>
        <v>6.9999999999999999E-4</v>
      </c>
      <c r="D24" s="374" t="str">
        <f>IF(F23&lt;=1,"销售费用×利率×(建设周期÷2)","销售费用×((1+利率)^(建设周期÷2)-1)")</f>
        <v>销售费用×((1+利率)^(建设周期÷2)-1)</v>
      </c>
      <c r="E24" s="346" t="s">
        <v>1459</v>
      </c>
      <c r="F24" s="376">
        <f ca="1">'数据-取费表'!B40</f>
        <v>4.7500000000000001E-2</v>
      </c>
      <c r="G24" s="1856"/>
      <c r="H24" s="1341" t="s">
        <v>1393</v>
      </c>
      <c r="I24" s="1342" t="s">
        <v>1440</v>
      </c>
      <c r="J24" s="1343">
        <f ca="1">ROUND(J5*M24,0)</f>
        <v>0</v>
      </c>
      <c r="K24" s="1344" t="s">
        <v>1460</v>
      </c>
      <c r="L24" s="1342" t="s">
        <v>1456</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1461</v>
      </c>
      <c r="B25" s="346" t="s">
        <v>1462</v>
      </c>
      <c r="C25" s="24"/>
      <c r="D25" s="139" t="s">
        <v>1463</v>
      </c>
      <c r="E25" s="1820"/>
      <c r="F25" s="26"/>
      <c r="G25" s="1853"/>
      <c r="H25" s="1331" t="s">
        <v>1031</v>
      </c>
      <c r="I25" s="1346" t="s">
        <v>1464</v>
      </c>
      <c r="J25" s="354">
        <f ca="1">J5-J16</f>
        <v>0</v>
      </c>
      <c r="K25" s="1347" t="s">
        <v>1465</v>
      </c>
      <c r="L25" s="1348"/>
      <c r="M25" s="1349"/>
    </row>
    <row r="26" spans="1:37" ht="18" customHeight="1">
      <c r="A26" s="1203" t="s">
        <v>1034</v>
      </c>
      <c r="B26" s="346" t="s">
        <v>1466</v>
      </c>
      <c r="C26" s="24">
        <f ca="1">ROUND((C19+C20)*F26,0)</f>
        <v>0</v>
      </c>
      <c r="D26" s="368" t="s">
        <v>1467</v>
      </c>
      <c r="E26" s="357" t="s">
        <v>1468</v>
      </c>
      <c r="F26" s="356">
        <f ca="1">INDIRECT("'数据-取费表'!q"&amp;$G$1)</f>
        <v>0</v>
      </c>
      <c r="G26" s="1853"/>
      <c r="H26" s="343" t="s">
        <v>1032</v>
      </c>
      <c r="I26" s="344" t="s">
        <v>1469</v>
      </c>
      <c r="J26" s="345">
        <f ca="1">IF(J5&lt;&gt;0,ROUND(J25*(1-((1+M28)/(1+M26))^M27)/(M26-M28),0),0)</f>
        <v>0</v>
      </c>
      <c r="K26" s="369" t="s">
        <v>1470</v>
      </c>
      <c r="L26" s="346" t="s">
        <v>1471</v>
      </c>
      <c r="M26" s="356">
        <f ca="1">INDIRECT("'数据-取费表'!I"&amp;$G$1)</f>
        <v>0</v>
      </c>
    </row>
    <row r="27" spans="1:37" ht="18" customHeight="1">
      <c r="A27" s="1203" t="s">
        <v>1036</v>
      </c>
      <c r="B27" s="346" t="s">
        <v>1472</v>
      </c>
      <c r="C27" s="24">
        <f ca="1">ROUND(F21*F26,4)</f>
        <v>0</v>
      </c>
      <c r="D27" s="368" t="s">
        <v>1473</v>
      </c>
      <c r="E27" s="364"/>
      <c r="F27" s="365"/>
      <c r="G27" s="1853"/>
      <c r="H27" s="348"/>
      <c r="I27" s="349"/>
      <c r="J27" s="350"/>
      <c r="K27" s="377" t="s">
        <v>1474</v>
      </c>
      <c r="L27" s="346" t="s">
        <v>1475</v>
      </c>
      <c r="M27" s="378">
        <f ca="1">INDIRECT("'数据-取费表'!ag"&amp;$G$1)</f>
        <v>0</v>
      </c>
    </row>
    <row r="28" spans="1:37" s="1860" customFormat="1" ht="18" customHeight="1">
      <c r="A28" s="1203" t="s">
        <v>1037</v>
      </c>
      <c r="B28" s="346" t="s">
        <v>1476</v>
      </c>
      <c r="C28" s="24">
        <f>ROUND(F28/(1+'数据-取费表'!C42),4)</f>
        <v>5.33E-2</v>
      </c>
      <c r="D28" s="368" t="s">
        <v>1477</v>
      </c>
      <c r="E28" s="346" t="s">
        <v>1423</v>
      </c>
      <c r="F28" s="366">
        <f>'数据-取费表'!B41</f>
        <v>5.6000000000000001E-2</v>
      </c>
      <c r="G28" s="1856"/>
      <c r="H28" s="352"/>
      <c r="I28" s="353"/>
      <c r="J28" s="354"/>
      <c r="K28" s="372"/>
      <c r="L28" s="346" t="s">
        <v>1478</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0</v>
      </c>
      <c r="D29" s="1344"/>
      <c r="E29" s="1342"/>
      <c r="F29" s="1345"/>
      <c r="G29" s="1856"/>
      <c r="H29" s="379" t="s">
        <v>1033</v>
      </c>
      <c r="I29" s="380" t="s">
        <v>1480</v>
      </c>
      <c r="J29" s="381">
        <f ca="1">ROUND(J26/(1+F40)^F41,0)</f>
        <v>0</v>
      </c>
      <c r="K29" s="382" t="s">
        <v>1481</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4">
        <f ca="1">ROUND(C31+C36+C37+C38,0)</f>
        <v>0</v>
      </c>
      <c r="D30" s="1339" t="s">
        <v>1426</v>
      </c>
      <c r="E30" s="1340"/>
      <c r="F30" s="1296"/>
      <c r="G30" s="1853"/>
      <c r="H30" s="744"/>
      <c r="I30" s="745"/>
      <c r="J30" s="746"/>
      <c r="K30" s="747"/>
      <c r="L30" s="748"/>
      <c r="M30" s="749"/>
    </row>
    <row r="31" spans="1:37" ht="18" customHeight="1">
      <c r="A31" s="1203" t="s">
        <v>1035</v>
      </c>
      <c r="B31" s="346" t="s">
        <v>1430</v>
      </c>
      <c r="C31" s="24">
        <f ca="1">ROUND(IF(项目基本情况!B11="自然人",C5*F31,C32+C33+C34),0)</f>
        <v>0</v>
      </c>
      <c r="D31" s="1802" t="s">
        <v>1431</v>
      </c>
      <c r="E31" s="1800" t="s">
        <v>1482</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1434</v>
      </c>
      <c r="C32" s="24">
        <f ca="1">IF(项目基本情况!B11="自然人","——",ROUND(C5*F32/(1+'数据-取费表'!C42),0))</f>
        <v>0</v>
      </c>
      <c r="D32" s="1800" t="s">
        <v>1435</v>
      </c>
      <c r="E32" s="346" t="s">
        <v>1423</v>
      </c>
      <c r="F32" s="376">
        <f>'数据-取费表'!B41</f>
        <v>5.6000000000000001E-2</v>
      </c>
      <c r="G32" s="1853"/>
      <c r="H32" s="744"/>
      <c r="I32" s="745"/>
      <c r="J32" s="746"/>
      <c r="K32" s="747"/>
      <c r="L32" s="748"/>
      <c r="M32" s="749"/>
    </row>
    <row r="33" spans="1:18" ht="18" customHeight="1">
      <c r="A33" s="1203" t="s">
        <v>1036</v>
      </c>
      <c r="B33" s="346" t="s">
        <v>1438</v>
      </c>
      <c r="C33" s="24">
        <f ca="1">IF(项目基本情况!B11="自然人","——",IF(D33="按租金收入计税",ROUND(C5*F33,0),IF(D33="按房产原值计税",ROUND(C29*F33*0.7,0),INDIRECT("'数据-取费表'!Aj"&amp;$G$1))))</f>
        <v>0</v>
      </c>
      <c r="D33" s="1830" t="s">
        <v>1439</v>
      </c>
      <c r="E33" s="346" t="s">
        <v>1423</v>
      </c>
      <c r="F33" s="366">
        <f>IF(D33="按票据","——",IF(D33="按租金收入计税",'数据-取费表'!B51,'数据-取费表'!B50))</f>
        <v>1.2E-2</v>
      </c>
      <c r="G33" s="1853"/>
      <c r="H33" s="1861"/>
      <c r="I33" s="1862"/>
      <c r="J33" s="1863"/>
      <c r="K33" s="1864"/>
      <c r="L33" s="1861"/>
      <c r="M33" s="1861"/>
    </row>
    <row r="34" spans="1:18" ht="18" customHeight="1">
      <c r="A34" s="1293" t="s">
        <v>1389</v>
      </c>
      <c r="B34" s="163" t="s">
        <v>1442</v>
      </c>
      <c r="C34" s="25">
        <f ca="1">IF(项目基本情况!B11="自然人","——",ROUND(F34*F35,))</f>
        <v>0</v>
      </c>
      <c r="D34" s="369" t="s">
        <v>1443</v>
      </c>
      <c r="E34" s="346" t="s">
        <v>1444</v>
      </c>
      <c r="F34" s="370">
        <f>'数据-取费表'!B52</f>
        <v>10</v>
      </c>
      <c r="G34" s="1853"/>
      <c r="H34" s="744"/>
      <c r="I34" s="1862"/>
      <c r="J34" s="1863"/>
      <c r="K34" s="1865"/>
      <c r="L34" s="1866"/>
      <c r="M34" s="1866"/>
    </row>
    <row r="35" spans="1:18" ht="18" customHeight="1">
      <c r="A35" s="1355"/>
      <c r="B35" s="1353"/>
      <c r="C35" s="29"/>
      <c r="D35" s="372"/>
      <c r="E35" s="346" t="s">
        <v>1448</v>
      </c>
      <c r="F35" s="347">
        <f ca="1">INDIRECT("'数据-取费表'!r"&amp;$G$1)</f>
        <v>0</v>
      </c>
      <c r="G35" s="1853"/>
      <c r="H35" s="744"/>
      <c r="I35" s="1862"/>
      <c r="J35" s="1863"/>
      <c r="K35" s="1864"/>
      <c r="L35" s="1861"/>
      <c r="M35" s="1861"/>
    </row>
    <row r="36" spans="1:18" ht="18" customHeight="1">
      <c r="A36" s="1354" t="s">
        <v>1039</v>
      </c>
      <c r="B36" s="346" t="s">
        <v>1450</v>
      </c>
      <c r="C36" s="24">
        <f ca="1">ROUND(C29*F36,0)</f>
        <v>0</v>
      </c>
      <c r="D36" s="1800" t="s">
        <v>1483</v>
      </c>
      <c r="E36" s="346" t="s">
        <v>1423</v>
      </c>
      <c r="F36" s="373">
        <f ca="1">INDIRECT("'数据-取费表'!Ak"&amp;$G$1)</f>
        <v>0</v>
      </c>
      <c r="G36" s="1853"/>
      <c r="H36" s="1861"/>
      <c r="I36" s="1862"/>
      <c r="J36" s="1863"/>
      <c r="K36" s="750"/>
      <c r="L36" s="1861"/>
      <c r="M36" s="1861"/>
    </row>
    <row r="37" spans="1:18" ht="18" customHeight="1">
      <c r="A37" s="1203" t="s">
        <v>1075</v>
      </c>
      <c r="B37" s="346" t="s">
        <v>1454</v>
      </c>
      <c r="C37" s="24">
        <f ca="1">ROUND(C13*F37,0)</f>
        <v>0</v>
      </c>
      <c r="D37" s="1800" t="s">
        <v>1455</v>
      </c>
      <c r="E37" s="346" t="s">
        <v>1456</v>
      </c>
      <c r="F37" s="375">
        <f ca="1">INDIRECT("'数据-取费表'!Al"&amp;$G$1)</f>
        <v>0</v>
      </c>
      <c r="G37" s="1853"/>
      <c r="H37" s="1861"/>
      <c r="I37" s="1862"/>
      <c r="J37" s="1863"/>
      <c r="K37" s="750"/>
      <c r="L37" s="1861"/>
      <c r="M37" s="1861"/>
    </row>
    <row r="38" spans="1:18" ht="18" customHeight="1" thickBot="1">
      <c r="A38" s="1341" t="s">
        <v>1393</v>
      </c>
      <c r="B38" s="1342" t="s">
        <v>1440</v>
      </c>
      <c r="C38" s="1343">
        <f ca="1">ROUND(C5*F38,1)</f>
        <v>0</v>
      </c>
      <c r="D38" s="1344" t="s">
        <v>1460</v>
      </c>
      <c r="E38" s="1342" t="s">
        <v>1456</v>
      </c>
      <c r="F38" s="1338">
        <f ca="1">INDIRECT("'数据-取费表'!Am"&amp;$G$1)</f>
        <v>0</v>
      </c>
      <c r="G38" s="1853"/>
      <c r="H38" s="1861"/>
      <c r="I38" s="1862"/>
      <c r="J38" s="1863"/>
      <c r="K38" s="1867"/>
      <c r="L38" s="1861"/>
      <c r="M38" s="1861"/>
    </row>
    <row r="39" spans="1:18" ht="24.6" customHeight="1" thickTop="1">
      <c r="A39" s="1331" t="s">
        <v>1031</v>
      </c>
      <c r="B39" s="1346" t="s">
        <v>1484</v>
      </c>
      <c r="C39" s="354">
        <f ca="1">C5-C30</f>
        <v>0</v>
      </c>
      <c r="D39" s="1347" t="s">
        <v>1485</v>
      </c>
      <c r="E39" s="1348"/>
      <c r="F39" s="1349"/>
      <c r="G39" s="1853"/>
      <c r="H39" s="1861"/>
      <c r="I39" s="1862"/>
      <c r="J39" s="1863"/>
      <c r="K39" s="1867"/>
      <c r="L39" s="1861"/>
      <c r="M39" s="1861"/>
    </row>
    <row r="40" spans="1:18" ht="18" customHeight="1">
      <c r="A40" s="343" t="s">
        <v>1032</v>
      </c>
      <c r="B40" s="344" t="s">
        <v>1486</v>
      </c>
      <c r="C40" s="345" t="e">
        <f ca="1">ROUND(C39*(1-((1+F42)/(1+F40))^F41)/(F40-F42),0)</f>
        <v>#DIV/0!</v>
      </c>
      <c r="D40" s="369" t="s">
        <v>1470</v>
      </c>
      <c r="E40" s="346" t="s">
        <v>1471</v>
      </c>
      <c r="F40" s="356">
        <f ca="1">INDIRECT("'数据-取费表'!I"&amp;$G$1)</f>
        <v>0</v>
      </c>
      <c r="G40" s="1853"/>
      <c r="H40" s="1841"/>
      <c r="I40" s="1862"/>
      <c r="J40" s="1863"/>
      <c r="K40" s="1867"/>
      <c r="L40" s="1841"/>
      <c r="M40" s="1841"/>
    </row>
    <row r="41" spans="1:18" ht="18" customHeight="1">
      <c r="A41" s="348"/>
      <c r="B41" s="349"/>
      <c r="C41" s="350"/>
      <c r="D41" s="377" t="s">
        <v>1487</v>
      </c>
      <c r="E41" s="346" t="s">
        <v>1475</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1478</v>
      </c>
      <c r="F42" s="356">
        <f ca="1">INDIRECT("'数据-取费表'!v"&amp;$G$1)</f>
        <v>0</v>
      </c>
      <c r="G42" s="1853"/>
      <c r="H42" s="731"/>
      <c r="I42" s="1862"/>
      <c r="J42" s="1863"/>
      <c r="K42" s="750"/>
      <c r="L42" s="731"/>
      <c r="M42" s="731"/>
    </row>
    <row r="43" spans="1:18" ht="18" customHeight="1" thickBot="1">
      <c r="A43" s="379" t="s">
        <v>1033</v>
      </c>
      <c r="B43" s="380" t="s">
        <v>1488</v>
      </c>
      <c r="C43" s="381" t="e">
        <f ca="1">ROUND(C40/F43,0)</f>
        <v>#DIV/0!</v>
      </c>
      <c r="D43" s="382" t="s">
        <v>1489</v>
      </c>
      <c r="E43" s="383" t="s">
        <v>1490</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1605</v>
      </c>
      <c r="E45" s="1868"/>
      <c r="F45" s="1868"/>
      <c r="O45" s="1871" t="s">
        <v>1520</v>
      </c>
      <c r="P45" s="1841"/>
      <c r="Q45" s="1841"/>
      <c r="R45" s="1841"/>
    </row>
    <row r="46" spans="1:18" s="1844" customFormat="1" ht="13.5" thickBot="1">
      <c r="A46" s="1872" t="s">
        <v>1521</v>
      </c>
      <c r="C46" s="1873" t="e">
        <f ca="1">ROUND(C45/10000,0)</f>
        <v>#DIV/0!</v>
      </c>
      <c r="D46" s="1874" t="str">
        <f>C2</f>
        <v>万元</v>
      </c>
      <c r="I46" s="1875" t="s">
        <v>1522</v>
      </c>
      <c r="J46" s="1876"/>
      <c r="K46" s="1877"/>
      <c r="L46" s="1878" t="e">
        <f ca="1">IF(M47="住宅",0,IF(L48&gt;J51,L60,J60))</f>
        <v>#DIV/0!</v>
      </c>
      <c r="O46" s="1879" t="s">
        <v>1523</v>
      </c>
      <c r="P46" s="1880" t="s">
        <v>1524</v>
      </c>
      <c r="Q46" s="1881" t="s">
        <v>1525</v>
      </c>
      <c r="R46" s="1881" t="s">
        <v>1526</v>
      </c>
    </row>
    <row r="47" spans="1:18" s="1844" customFormat="1" ht="13.5" thickBot="1">
      <c r="A47" s="1167" t="s">
        <v>1396</v>
      </c>
      <c r="B47" s="1199" t="s">
        <v>1397</v>
      </c>
      <c r="C47" s="1199" t="s">
        <v>1398</v>
      </c>
      <c r="D47" s="1199" t="s">
        <v>1399</v>
      </c>
      <c r="E47" s="1281" t="s">
        <v>1400</v>
      </c>
      <c r="F47" s="1282"/>
      <c r="G47" s="791"/>
      <c r="I47" s="1882" t="s">
        <v>1527</v>
      </c>
      <c r="J47" s="1883"/>
      <c r="K47" s="1884" t="s">
        <v>1528</v>
      </c>
      <c r="L47" s="1885">
        <f ca="1">INDIRECT("'数据-取费表'!d"&amp;$G$1)</f>
        <v>0</v>
      </c>
      <c r="M47" s="1840" t="str">
        <f>IF(ISNUMBER(FIND("住宅",C1)),"住宅","非住宅")</f>
        <v>非住宅</v>
      </c>
      <c r="O47" s="1886" t="s">
        <v>1040</v>
      </c>
      <c r="P47" s="1887" t="s">
        <v>1529</v>
      </c>
      <c r="Q47" s="1888" t="e">
        <f ca="1">C40+J29</f>
        <v>#DIV/0!</v>
      </c>
      <c r="R47" s="1888" t="s">
        <v>1530</v>
      </c>
    </row>
    <row r="48" spans="1:18" s="1844" customFormat="1" ht="28.5" thickBot="1">
      <c r="A48" s="1362" t="s">
        <v>1135</v>
      </c>
      <c r="B48" s="344" t="s">
        <v>1401</v>
      </c>
      <c r="C48" s="1819">
        <f ca="1">C49+C53+C55</f>
        <v>0</v>
      </c>
      <c r="D48" s="1364"/>
      <c r="E48" s="1365"/>
      <c r="F48" s="1183"/>
      <c r="G48" s="791"/>
      <c r="H48" s="792"/>
      <c r="I48" s="1889" t="s">
        <v>1531</v>
      </c>
      <c r="J48" s="1890"/>
      <c r="K48" s="1891" t="s">
        <v>1532</v>
      </c>
      <c r="L48" s="1892">
        <f ca="1">INDIRECT("'数据-取费表'!f"&amp;$G$1)</f>
        <v>0</v>
      </c>
      <c r="O48" s="1886" t="s">
        <v>1041</v>
      </c>
      <c r="P48" s="1887" t="s">
        <v>1533</v>
      </c>
      <c r="Q48" s="1888" t="e">
        <f ca="1">J60</f>
        <v>#DIV/0!</v>
      </c>
      <c r="R48" s="1888" t="s">
        <v>1534</v>
      </c>
    </row>
    <row r="49" spans="1:18" s="1844" customFormat="1" ht="13.5" thickBot="1">
      <c r="A49" s="1196" t="s">
        <v>1136</v>
      </c>
      <c r="B49" s="1831" t="s">
        <v>1491</v>
      </c>
      <c r="C49" s="1366">
        <f ca="1">ROUND(F49*F51*F50*(1-F52),0)</f>
        <v>0</v>
      </c>
      <c r="D49" s="1278" t="s">
        <v>1404</v>
      </c>
      <c r="E49" s="1832" t="s">
        <v>1492</v>
      </c>
      <c r="F49" s="1283"/>
      <c r="G49" s="1893"/>
      <c r="H49" s="792"/>
      <c r="I49" s="1889" t="s">
        <v>1535</v>
      </c>
      <c r="J49" s="1894"/>
      <c r="K49" s="1891" t="s">
        <v>1536</v>
      </c>
      <c r="L49" s="1895"/>
      <c r="O49" s="1896" t="s">
        <v>1042</v>
      </c>
      <c r="P49" s="1887" t="s">
        <v>1537</v>
      </c>
      <c r="Q49" s="1888">
        <f ca="1">C29</f>
        <v>0</v>
      </c>
      <c r="R49" s="1888" t="s">
        <v>1530</v>
      </c>
    </row>
    <row r="50" spans="1:18" s="1844" customFormat="1" ht="13.5" thickBot="1">
      <c r="A50" s="1197"/>
      <c r="B50" s="1200"/>
      <c r="C50" s="1201"/>
      <c r="D50" s="1174"/>
      <c r="E50" s="1279" t="s">
        <v>1406</v>
      </c>
      <c r="F50" s="1280">
        <f ca="1">F7</f>
        <v>0</v>
      </c>
      <c r="H50" s="792"/>
      <c r="I50" s="1889" t="s">
        <v>1538</v>
      </c>
      <c r="J50" s="1897">
        <f>SUMPRODUCT((I63:I65=J47)*(J62:L62=J48)*(J63:L65))</f>
        <v>0</v>
      </c>
      <c r="K50" s="1891" t="s">
        <v>1539</v>
      </c>
      <c r="L50" s="1895"/>
      <c r="M50" s="1898"/>
      <c r="O50" s="1896" t="s">
        <v>1043</v>
      </c>
      <c r="P50" s="1887" t="s">
        <v>1540</v>
      </c>
      <c r="Q50" s="1899" t="e">
        <f ca="1">J58</f>
        <v>#DIV/0!</v>
      </c>
      <c r="R50" s="1888"/>
    </row>
    <row r="51" spans="1:18" s="1844" customFormat="1" ht="13.5" thickBot="1">
      <c r="A51" s="1198"/>
      <c r="B51" s="1200"/>
      <c r="C51" s="1201"/>
      <c r="D51" s="1174"/>
      <c r="E51" s="1202" t="s">
        <v>1407</v>
      </c>
      <c r="F51" s="347">
        <f ca="1">F8</f>
        <v>0</v>
      </c>
      <c r="I51" s="1900" t="s">
        <v>1541</v>
      </c>
      <c r="J51" s="1901">
        <f>IF(J49="",J50,J49+J50-YEAR('数据-取费表'!B2))</f>
        <v>0</v>
      </c>
      <c r="K51" s="1902" t="s">
        <v>1542</v>
      </c>
      <c r="L51" s="1903">
        <f ca="1">ROUND(-PV(INDIRECT("'数据-取费表'!h"&amp;$G$1),L48,(C39-C13*C76),0),0)</f>
        <v>0</v>
      </c>
      <c r="M51" s="1904"/>
      <c r="O51" s="1896" t="s">
        <v>1044</v>
      </c>
      <c r="P51" s="1887" t="s">
        <v>1543</v>
      </c>
      <c r="Q51" s="1899">
        <f>J52</f>
        <v>0</v>
      </c>
      <c r="R51" s="1888"/>
    </row>
    <row r="52" spans="1:18" s="1844" customFormat="1" ht="13.5" thickBot="1">
      <c r="A52" s="1198"/>
      <c r="B52" s="1200"/>
      <c r="C52" s="1201"/>
      <c r="D52" s="1174"/>
      <c r="E52" s="1202" t="s">
        <v>1408</v>
      </c>
      <c r="F52" s="1277"/>
      <c r="I52" s="1905" t="s">
        <v>1544</v>
      </c>
      <c r="J52" s="1906"/>
      <c r="K52" s="1905" t="s">
        <v>1545</v>
      </c>
      <c r="L52" s="1906"/>
      <c r="O52" s="1896" t="s">
        <v>1045</v>
      </c>
      <c r="P52" s="1887" t="s">
        <v>1546</v>
      </c>
      <c r="Q52" s="1888" t="b">
        <f>J53</f>
        <v>0</v>
      </c>
      <c r="R52" s="1888" t="s">
        <v>1547</v>
      </c>
    </row>
    <row r="53" spans="1:18" s="1844" customFormat="1" ht="30.75" customHeight="1" thickBot="1">
      <c r="A53" s="1363" t="s">
        <v>1137</v>
      </c>
      <c r="B53" s="368" t="s">
        <v>1409</v>
      </c>
      <c r="C53" s="360">
        <f ca="1">ROUND(IF(F53="押一",F49*F51*F50/12*F11,IF(F53="押二",F49*F51*F50/12*2*F11,IF(F53="押三",F49*F51*F50/12*3*F11,C54*F11))),0)</f>
        <v>0</v>
      </c>
      <c r="D53" s="1826" t="s">
        <v>1410</v>
      </c>
      <c r="E53" s="357" t="s">
        <v>1411</v>
      </c>
      <c r="F53" s="1368"/>
      <c r="I53" s="1907" t="s">
        <v>1548</v>
      </c>
      <c r="J53" s="1908" t="b">
        <f>IF(M47="住宅",J51,IF(D1="——",MIN(J51,L48),IF(D1="在建（套用方法）",MIN(J51,L48-'数据-取费表'!B24),IF(D1="土地（套用方法）",MIN(J51,L48-'数据-取费表'!B20)))))</f>
        <v>0</v>
      </c>
      <c r="K53" s="3202" t="s">
        <v>1549</v>
      </c>
      <c r="L53" s="3203"/>
      <c r="O53" s="1886" t="s">
        <v>1046</v>
      </c>
      <c r="P53" s="1887" t="s">
        <v>1550</v>
      </c>
      <c r="Q53" s="1888" t="e">
        <f ca="1">Q47+Q48</f>
        <v>#DIV/0!</v>
      </c>
      <c r="R53" s="1888" t="s">
        <v>1047</v>
      </c>
    </row>
    <row r="54" spans="1:18" s="1844" customFormat="1" ht="13.5" thickBot="1">
      <c r="A54" s="1196"/>
      <c r="B54" s="1943" t="s">
        <v>1604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1551</v>
      </c>
      <c r="P54" s="1841"/>
      <c r="Q54" s="1841"/>
      <c r="R54" s="1841"/>
    </row>
    <row r="55" spans="1:18" s="1844" customFormat="1" ht="13.5" thickBot="1">
      <c r="A55" s="1335" t="s">
        <v>1075</v>
      </c>
      <c r="B55" s="1829" t="s">
        <v>1414</v>
      </c>
      <c r="C55" s="1336"/>
      <c r="D55" s="1826"/>
      <c r="E55" s="1834"/>
      <c r="F55" s="1909"/>
      <c r="I55" s="1912" t="s">
        <v>1552</v>
      </c>
      <c r="J55" s="1913" t="e">
        <f ca="1">ROUND(IF(J47="钢混",J57/J50,1-(1-2%)*(J50-J57)/J50),3)</f>
        <v>#DIV/0!</v>
      </c>
      <c r="K55" s="1914" t="s">
        <v>1553</v>
      </c>
      <c r="L55" s="1915"/>
      <c r="O55" s="1879" t="s">
        <v>1523</v>
      </c>
      <c r="P55" s="1880" t="s">
        <v>1524</v>
      </c>
      <c r="Q55" s="1881" t="s">
        <v>1525</v>
      </c>
      <c r="R55" s="1881" t="s">
        <v>1526</v>
      </c>
    </row>
    <row r="56" spans="1:18" s="1844" customFormat="1" ht="36" customHeight="1" thickTop="1" thickBot="1">
      <c r="A56" s="1178">
        <v>2</v>
      </c>
      <c r="B56" s="1179" t="s">
        <v>1415</v>
      </c>
      <c r="C56" s="275">
        <f ca="1">C13</f>
        <v>0</v>
      </c>
      <c r="D56" s="1916"/>
      <c r="E56" s="1917"/>
      <c r="F56" s="1909"/>
      <c r="I56" s="1918" t="s">
        <v>1555</v>
      </c>
      <c r="J56" s="1919"/>
      <c r="K56" s="1889" t="s">
        <v>1556</v>
      </c>
      <c r="L56" s="1892">
        <f ca="1">IF(L48&lt;J51,"——",L48-J51)</f>
        <v>0</v>
      </c>
      <c r="O56" s="1886" t="s">
        <v>1040</v>
      </c>
      <c r="P56" s="1887" t="s">
        <v>1529</v>
      </c>
      <c r="Q56" s="1888" t="e">
        <f ca="1">C40+J29</f>
        <v>#DIV/0!</v>
      </c>
      <c r="R56" s="1888" t="s">
        <v>1530</v>
      </c>
    </row>
    <row r="57" spans="1:18" s="1844" customFormat="1" ht="24.75" thickBot="1">
      <c r="A57" s="1920"/>
      <c r="B57" s="1171" t="s">
        <v>1479</v>
      </c>
      <c r="C57" s="281">
        <f ca="1">C29</f>
        <v>0</v>
      </c>
      <c r="D57" s="1921"/>
      <c r="E57" s="1922"/>
      <c r="F57" s="1923"/>
      <c r="I57" s="1924" t="s">
        <v>1557</v>
      </c>
      <c r="J57" s="1925">
        <f ca="1">IF(OR(M47="住宅",J51&lt;L48,J56="是"),"——",J51-L48)</f>
        <v>0</v>
      </c>
      <c r="K57" s="1889" t="s">
        <v>1606</v>
      </c>
      <c r="L57" s="1892">
        <f ca="1">IF(L48&lt;J51,"——",IF(L55="比较法",L49,IF(L55="基准地价",L50,L51)))</f>
        <v>0</v>
      </c>
      <c r="O57" s="1886" t="s">
        <v>1041</v>
      </c>
      <c r="P57" s="1887" t="s">
        <v>1607</v>
      </c>
      <c r="Q57" s="1888" t="e">
        <f ca="1">L60</f>
        <v>#DIV/0!</v>
      </c>
      <c r="R57" s="1888" t="s">
        <v>1608</v>
      </c>
    </row>
    <row r="58" spans="1:18" s="1844" customFormat="1" ht="24.75" thickBot="1">
      <c r="A58" s="359" t="s">
        <v>1030</v>
      </c>
      <c r="B58" s="1179" t="s">
        <v>1425</v>
      </c>
      <c r="C58" s="360">
        <f ca="1">ROUND(C59+C64+C65+C66,0)</f>
        <v>0</v>
      </c>
      <c r="D58" s="1181" t="s">
        <v>1426</v>
      </c>
      <c r="E58" s="1182"/>
      <c r="F58" s="1183"/>
      <c r="I58" s="1924" t="s">
        <v>1561</v>
      </c>
      <c r="J58" s="1926" t="e">
        <f ca="1">IF(J55&lt;0.4,0.4,J55)</f>
        <v>#DIV/0!</v>
      </c>
      <c r="K58" s="1902" t="s">
        <v>1609</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ROUND(IF(项目基本情况!B11="自然人",C48*F59,C60+C61+C62),0)</f>
        <v>0</v>
      </c>
      <c r="D59" s="1184" t="s">
        <v>1431</v>
      </c>
      <c r="E59" s="1185" t="s">
        <v>1432</v>
      </c>
      <c r="F59" s="367" t="str">
        <f ca="1">IF(项目基本情况!B11="企业","",IF(INDIRECT("'数据-取费表'!c"&amp;$G$1)="住宅",5%,IF(F49*F50*F51/12/(1+'数据-取费表'!C42)&gt;20000,12%,7%)))</f>
        <v/>
      </c>
      <c r="I59" s="1924" t="s">
        <v>1564</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f ca="1">IF(项目基本情况!B11="自然人","——",ROUND(C48*F60/(1+'数据-取费表'!C42),0))</f>
        <v>0</v>
      </c>
      <c r="D60" s="1185" t="s">
        <v>1435</v>
      </c>
      <c r="E60" s="1171" t="s">
        <v>1423</v>
      </c>
      <c r="F60" s="376">
        <f t="shared" ref="F60:F66" si="0">F32</f>
        <v>5.6000000000000001E-2</v>
      </c>
      <c r="I60" s="1927" t="s">
        <v>1566</v>
      </c>
      <c r="J60" s="1928" t="e">
        <f ca="1">IF(OR(M47="住宅",J51&lt;L48,J56="是"),"0",ROUND(J59/(1+J52)^J53,0))</f>
        <v>#DIV/0!</v>
      </c>
      <c r="K60" s="1929" t="s">
        <v>1567</v>
      </c>
      <c r="L60" s="1928" t="e">
        <f ca="1">IF(OR(M47="住宅",L48&lt;J51),0,ROUND(L57*(L58/L59-1),0))</f>
        <v>#DIV/0!</v>
      </c>
      <c r="O60" s="1896" t="s">
        <v>1044</v>
      </c>
      <c r="P60" s="1887" t="s">
        <v>1568</v>
      </c>
      <c r="Q60" s="1888" t="e">
        <f ca="1">L58</f>
        <v>#DIV/0!</v>
      </c>
      <c r="R60" s="1888" t="s">
        <v>1569</v>
      </c>
    </row>
    <row r="61" spans="1:18" s="1844" customFormat="1" ht="13.5" thickBot="1">
      <c r="A61" s="1203" t="s">
        <v>1493</v>
      </c>
      <c r="B61" s="1171" t="s">
        <v>1494</v>
      </c>
      <c r="C61" s="24">
        <f ca="1">IF(项目基本情况!B11="自然人","——",IF(D61="按租金收入计税",ROUND(C48*F61,0),IF(D61="按房产原值计税",ROUND(C57*F61*0.7,0),INDIRECT("'数据-取费表'!Aj"&amp;$G$1))))</f>
        <v>0</v>
      </c>
      <c r="D61" s="1830" t="s">
        <v>1439</v>
      </c>
      <c r="E61" s="1171" t="s">
        <v>1495</v>
      </c>
      <c r="F61" s="366">
        <f t="shared" si="0"/>
        <v>1.2E-2</v>
      </c>
      <c r="I61" s="1930"/>
      <c r="J61" s="1930"/>
      <c r="K61" s="1930"/>
      <c r="L61" s="1930"/>
      <c r="O61" s="1896" t="s">
        <v>1045</v>
      </c>
      <c r="P61" s="1887" t="str">
        <f>K59</f>
        <v>建设期及建筑物耐用年限下的土地年期修正系数Kn</v>
      </c>
      <c r="Q61" s="1888" t="e">
        <f ca="1">L59</f>
        <v>#DIV/0!</v>
      </c>
      <c r="R61" s="1888" t="s">
        <v>1570</v>
      </c>
    </row>
    <row r="62" spans="1:18" s="1844" customFormat="1" ht="13.5" thickBot="1">
      <c r="A62" s="1203" t="s">
        <v>1496</v>
      </c>
      <c r="B62" s="1170" t="s">
        <v>1497</v>
      </c>
      <c r="C62" s="25">
        <f ca="1">IF(项目基本情况!B11="自然人","——",ROUND(F62*F63,0))</f>
        <v>0</v>
      </c>
      <c r="D62" s="1186" t="s">
        <v>1498</v>
      </c>
      <c r="E62" s="1171" t="s">
        <v>1499</v>
      </c>
      <c r="F62" s="370">
        <f t="shared" si="0"/>
        <v>10</v>
      </c>
      <c r="I62" s="1931" t="s">
        <v>1571</v>
      </c>
      <c r="J62" s="1932" t="s">
        <v>1572</v>
      </c>
      <c r="K62" s="1932" t="s">
        <v>1573</v>
      </c>
      <c r="L62" s="1932" t="s">
        <v>1574</v>
      </c>
      <c r="M62" s="1933" t="s">
        <v>1575</v>
      </c>
      <c r="O62" s="1886" t="s">
        <v>1046</v>
      </c>
      <c r="P62" s="1887" t="s">
        <v>1576</v>
      </c>
      <c r="Q62" s="1888" t="e">
        <f ca="1">Q56+Q57</f>
        <v>#DIV/0!</v>
      </c>
      <c r="R62" s="1888" t="s">
        <v>1047</v>
      </c>
    </row>
    <row r="63" spans="1:18" s="1844" customFormat="1" ht="13.5" thickBot="1">
      <c r="A63" s="371"/>
      <c r="B63" s="1177"/>
      <c r="C63" s="29"/>
      <c r="D63" s="1187"/>
      <c r="E63" s="1171" t="s">
        <v>1500</v>
      </c>
      <c r="F63" s="347">
        <f t="shared" ca="1" si="0"/>
        <v>0</v>
      </c>
      <c r="I63" s="1931" t="s">
        <v>1577</v>
      </c>
      <c r="J63" s="1932">
        <v>70</v>
      </c>
      <c r="K63" s="1932">
        <v>50</v>
      </c>
      <c r="L63" s="1932">
        <v>80</v>
      </c>
      <c r="M63" s="1934">
        <v>0.02</v>
      </c>
      <c r="O63" s="1871" t="s">
        <v>1578</v>
      </c>
      <c r="P63" s="1841"/>
      <c r="Q63" s="1841"/>
      <c r="R63" s="1841"/>
    </row>
    <row r="64" spans="1:18" s="1844" customFormat="1" ht="13.5" thickBot="1">
      <c r="A64" s="1203" t="s">
        <v>1501</v>
      </c>
      <c r="B64" s="1171" t="s">
        <v>1502</v>
      </c>
      <c r="C64" s="24">
        <f ca="1">ROUND(C57*F64,0)</f>
        <v>0</v>
      </c>
      <c r="D64" s="1185" t="s">
        <v>1503</v>
      </c>
      <c r="E64" s="1171" t="s">
        <v>1495</v>
      </c>
      <c r="F64" s="373">
        <f t="shared" ca="1" si="0"/>
        <v>0</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ROUND(C56*F65,0)</f>
        <v>0</v>
      </c>
      <c r="D65" s="1185" t="s">
        <v>1455</v>
      </c>
      <c r="E65" s="1171" t="s">
        <v>1456</v>
      </c>
      <c r="F65" s="375">
        <f t="shared" ca="1" si="0"/>
        <v>0</v>
      </c>
      <c r="I65" s="1931" t="s">
        <v>1580</v>
      </c>
      <c r="J65" s="1932">
        <v>40</v>
      </c>
      <c r="K65" s="1932">
        <v>30</v>
      </c>
      <c r="L65" s="1932">
        <v>50</v>
      </c>
      <c r="M65" s="1934">
        <v>0.02</v>
      </c>
      <c r="O65" s="1886" t="s">
        <v>1040</v>
      </c>
      <c r="P65" s="1887" t="s">
        <v>1581</v>
      </c>
      <c r="Q65" s="1888" t="e">
        <f ca="1">C40+J29</f>
        <v>#DIV/0!</v>
      </c>
      <c r="R65" s="1888" t="s">
        <v>1530</v>
      </c>
    </row>
    <row r="66" spans="1:18" s="1844" customFormat="1" ht="16.5" thickBot="1">
      <c r="A66" s="1203" t="s">
        <v>1505</v>
      </c>
      <c r="B66" s="1171" t="s">
        <v>1440</v>
      </c>
      <c r="C66" s="24">
        <f ca="1">ROUND(C48*F66,0)</f>
        <v>0</v>
      </c>
      <c r="D66" s="1185" t="s">
        <v>1506</v>
      </c>
      <c r="E66" s="1171" t="s">
        <v>1423</v>
      </c>
      <c r="F66" s="356">
        <f t="shared" ca="1" si="0"/>
        <v>0</v>
      </c>
      <c r="O66" s="1886" t="s">
        <v>1041</v>
      </c>
      <c r="P66" s="1887" t="s">
        <v>1559</v>
      </c>
      <c r="Q66" s="1888" t="e">
        <f ca="1">L60</f>
        <v>#DIV/0!</v>
      </c>
      <c r="R66" s="1888" t="s">
        <v>1582</v>
      </c>
    </row>
    <row r="67" spans="1:18" s="1844" customFormat="1" ht="16.5" thickBot="1">
      <c r="A67" s="1178" t="s">
        <v>1031</v>
      </c>
      <c r="B67" s="1188" t="s">
        <v>1464</v>
      </c>
      <c r="C67" s="360">
        <f ca="1">C48-C58</f>
        <v>0</v>
      </c>
      <c r="D67" s="1184" t="s">
        <v>1465</v>
      </c>
      <c r="E67" s="1189"/>
      <c r="F67" s="1190"/>
      <c r="O67" s="1896" t="s">
        <v>1042</v>
      </c>
      <c r="P67" s="1887" t="s">
        <v>1563</v>
      </c>
      <c r="Q67" s="1935">
        <f ca="1">L51</f>
        <v>0</v>
      </c>
      <c r="R67" s="1888" t="s">
        <v>1583</v>
      </c>
    </row>
    <row r="68" spans="1:18" s="1844" customFormat="1" ht="16.5" thickBot="1">
      <c r="A68" s="1168" t="s">
        <v>1032</v>
      </c>
      <c r="B68" s="1169" t="s">
        <v>1486</v>
      </c>
      <c r="C68" s="345" t="e">
        <f ca="1">ROUND(C67*(1-((1+F70)/(1+F68))^F69)/(F68-F70),0)</f>
        <v>#DIV/0!</v>
      </c>
      <c r="D68" s="1186" t="s">
        <v>1470</v>
      </c>
      <c r="E68" s="1171" t="s">
        <v>1471</v>
      </c>
      <c r="F68" s="356">
        <f ca="1">F40</f>
        <v>0</v>
      </c>
      <c r="O68" s="1896" t="s">
        <v>1043</v>
      </c>
      <c r="P68" s="1936" t="s">
        <v>1584</v>
      </c>
      <c r="Q68" s="1888">
        <f ca="1">ROUND(Q69-Q70*Q71,0)</f>
        <v>0</v>
      </c>
      <c r="R68" s="1888" t="s">
        <v>1051</v>
      </c>
    </row>
    <row r="69" spans="1:18" s="1844" customFormat="1" ht="13.5" thickBot="1">
      <c r="A69" s="1172"/>
      <c r="B69" s="1173"/>
      <c r="C69" s="350"/>
      <c r="D69" s="1191" t="s">
        <v>1474</v>
      </c>
      <c r="E69" s="1171" t="s">
        <v>1475</v>
      </c>
      <c r="F69" s="378">
        <f ca="1">F41</f>
        <v>0</v>
      </c>
      <c r="O69" s="1896" t="s">
        <v>1048</v>
      </c>
      <c r="P69" s="1936" t="s">
        <v>1585</v>
      </c>
      <c r="Q69" s="1888">
        <f ca="1">C39</f>
        <v>0</v>
      </c>
      <c r="R69" s="1888" t="s">
        <v>1530</v>
      </c>
    </row>
    <row r="70" spans="1:18" s="1844" customFormat="1" ht="13.5" thickBot="1">
      <c r="A70" s="1175"/>
      <c r="B70" s="1176"/>
      <c r="C70" s="354"/>
      <c r="D70" s="1187"/>
      <c r="E70" s="1171" t="s">
        <v>1478</v>
      </c>
      <c r="F70" s="1277">
        <f ca="1">F42</f>
        <v>0</v>
      </c>
      <c r="O70" s="1896" t="s">
        <v>1049</v>
      </c>
      <c r="P70" s="1936" t="s">
        <v>1586</v>
      </c>
      <c r="Q70" s="1888">
        <f ca="1">C13</f>
        <v>0</v>
      </c>
      <c r="R70" s="1888" t="s">
        <v>1530</v>
      </c>
    </row>
    <row r="71" spans="1:18" s="1844" customFormat="1" ht="13.5" thickBot="1">
      <c r="A71" s="1192" t="s">
        <v>1033</v>
      </c>
      <c r="B71" s="1193" t="s">
        <v>1488</v>
      </c>
      <c r="C71" s="381" t="e">
        <f ca="1">ROUND(C68/F71,0)</f>
        <v>#DIV/0!</v>
      </c>
      <c r="D71" s="1194" t="s">
        <v>1489</v>
      </c>
      <c r="E71" s="1195" t="s">
        <v>1490</v>
      </c>
      <c r="F71" s="384">
        <f ca="1">F43</f>
        <v>0</v>
      </c>
      <c r="O71" s="1896" t="s">
        <v>1050</v>
      </c>
      <c r="P71" s="1936" t="s">
        <v>1587</v>
      </c>
      <c r="Q71" s="1899">
        <f ca="1">C76</f>
        <v>0</v>
      </c>
      <c r="R71" s="1888"/>
    </row>
    <row r="72" spans="1:18" s="1844" customFormat="1" ht="13.5" thickBot="1">
      <c r="B72" s="795"/>
      <c r="C72" s="795"/>
      <c r="O72" s="1896" t="s">
        <v>1044</v>
      </c>
      <c r="P72" s="1887" t="s">
        <v>1565</v>
      </c>
      <c r="Q72" s="1899">
        <f>L52</f>
        <v>0</v>
      </c>
      <c r="R72" s="1888"/>
    </row>
    <row r="73" spans="1:18" ht="16.5" thickBot="1">
      <c r="A73" s="1844"/>
      <c r="B73" s="795"/>
      <c r="C73" s="795"/>
      <c r="D73" s="1844"/>
      <c r="E73" s="1844"/>
      <c r="F73" s="1844"/>
      <c r="O73" s="1896" t="s">
        <v>1045</v>
      </c>
      <c r="P73" s="1887" t="s">
        <v>1568</v>
      </c>
      <c r="Q73" s="1888" t="e">
        <f ca="1">L58</f>
        <v>#DIV/0!</v>
      </c>
      <c r="R73" s="1888" t="s">
        <v>1569</v>
      </c>
    </row>
    <row r="74" spans="1:18" ht="13.5" thickBot="1">
      <c r="A74" s="1844"/>
      <c r="B74" s="316" t="s">
        <v>1588</v>
      </c>
      <c r="C74" s="1938"/>
      <c r="D74" s="1844"/>
      <c r="E74" s="1844"/>
      <c r="F74" s="1844"/>
      <c r="O74" s="1896" t="s">
        <v>1052</v>
      </c>
      <c r="P74" s="1887" t="str">
        <f>K59</f>
        <v>建设期及建筑物耐用年限下的土地年期修正系数Kn</v>
      </c>
      <c r="Q74" s="1888" t="e">
        <f ca="1">L59</f>
        <v>#DIV/0!</v>
      </c>
      <c r="R74" s="1888" t="s">
        <v>1570</v>
      </c>
    </row>
    <row r="75" spans="1:18" ht="13.5" thickBot="1">
      <c r="A75" s="1844"/>
      <c r="B75" s="385" t="s">
        <v>1507</v>
      </c>
      <c r="C75" s="386">
        <f ca="1">ROUND(C13*C76,0)</f>
        <v>0</v>
      </c>
      <c r="D75" s="1844"/>
      <c r="E75" s="1844"/>
      <c r="F75" s="1844"/>
      <c r="K75" s="1870"/>
      <c r="L75" s="1844"/>
      <c r="O75" s="1886" t="s">
        <v>1046</v>
      </c>
      <c r="P75" s="1887" t="s">
        <v>1550</v>
      </c>
      <c r="Q75" s="1888" t="e">
        <f ca="1">Q65+Q66</f>
        <v>#DIV/0!</v>
      </c>
      <c r="R75" s="1888" t="s">
        <v>1047</v>
      </c>
    </row>
    <row r="76" spans="1:18">
      <c r="B76" s="387" t="s">
        <v>1508</v>
      </c>
      <c r="C76" s="388">
        <f ca="1">INDIRECT("'数据-取费表'!j"&amp;$G$1)</f>
        <v>0</v>
      </c>
      <c r="I76" s="1844"/>
      <c r="J76" s="1844"/>
      <c r="K76" s="1870"/>
      <c r="L76" s="1844"/>
    </row>
    <row r="77" spans="1:18">
      <c r="B77" s="389" t="s">
        <v>1509</v>
      </c>
      <c r="C77" s="390"/>
      <c r="I77" s="1844"/>
      <c r="J77" s="1844"/>
      <c r="K77" s="1870"/>
      <c r="L77" s="1844"/>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2529</v>
      </c>
      <c r="B1" s="2563"/>
      <c r="C1" s="2563"/>
      <c r="D1" s="2563"/>
      <c r="E1" s="2564"/>
    </row>
    <row r="2" spans="1:6" ht="15.75">
      <c r="A2" s="2565" t="s">
        <v>2333</v>
      </c>
      <c r="B2" s="2566">
        <f ca="1">SUMIF(B6:B13,"&lt;&gt;#ref!",B6:B13)</f>
        <v>0</v>
      </c>
      <c r="C2" s="2567" t="s">
        <v>2522</v>
      </c>
      <c r="D2" s="2568" t="s">
        <v>2523</v>
      </c>
      <c r="E2" s="2569">
        <f>SUM(E6:E13)</f>
        <v>0</v>
      </c>
    </row>
    <row r="3" spans="1:6" ht="15.75">
      <c r="A3" s="2565" t="s">
        <v>1395</v>
      </c>
      <c r="B3" s="2566" t="e">
        <f ca="1">ROUND(B2*10000/E2,0)</f>
        <v>#DIV/0!</v>
      </c>
      <c r="C3" s="2567" t="s">
        <v>2530</v>
      </c>
      <c r="D3" s="2570"/>
      <c r="E3" s="2571"/>
    </row>
    <row r="4" spans="1:6" ht="15.75">
      <c r="A4" s="2572"/>
      <c r="B4" s="2570"/>
      <c r="C4" s="2570"/>
      <c r="D4" s="2570"/>
      <c r="E4" s="2571"/>
    </row>
    <row r="5" spans="1:6" ht="15">
      <c r="A5" s="2573" t="s">
        <v>2524</v>
      </c>
      <c r="B5" s="3207" t="s">
        <v>2525</v>
      </c>
      <c r="C5" s="3207"/>
      <c r="D5" s="2574"/>
      <c r="E5" s="2575" t="s">
        <v>2526</v>
      </c>
      <c r="F5" s="2576" t="s">
        <v>2527</v>
      </c>
    </row>
    <row r="6" spans="1:6">
      <c r="A6" s="2577">
        <f>'数据-取费表'!AN6</f>
        <v>0</v>
      </c>
      <c r="B6" s="2576" t="e">
        <f ca="1">IF(F6="是",'数据-取费表'!AO6,0)</f>
        <v>#REF!</v>
      </c>
      <c r="C6" s="2567" t="s">
        <v>2522</v>
      </c>
      <c r="D6" s="2570"/>
      <c r="E6" s="2578">
        <f>IF(OR(A6=0,F6="否"),0,'数据-取费表'!K6+'数据-取费表'!S6)</f>
        <v>0</v>
      </c>
      <c r="F6" s="2579" t="s">
        <v>2528</v>
      </c>
    </row>
    <row r="7" spans="1:6">
      <c r="A7" s="2577">
        <f>'数据-取费表'!AN7</f>
        <v>0</v>
      </c>
      <c r="B7" s="2576" t="e">
        <f ca="1">IF(F7="是",'数据-取费表'!AO7,0)</f>
        <v>#REF!</v>
      </c>
      <c r="C7" s="2567" t="s">
        <v>2522</v>
      </c>
      <c r="D7" s="2570"/>
      <c r="E7" s="2578">
        <f>IF(OR(A7=0,F7="否"),0,'数据-取费表'!K7+'数据-取费表'!S7)</f>
        <v>0</v>
      </c>
      <c r="F7" s="2579" t="s">
        <v>2528</v>
      </c>
    </row>
    <row r="8" spans="1:6">
      <c r="A8" s="2577">
        <f>'数据-取费表'!AN8</f>
        <v>0</v>
      </c>
      <c r="B8" s="2576" t="e">
        <f ca="1">IF(F8="是",'数据-取费表'!AO8,0)</f>
        <v>#REF!</v>
      </c>
      <c r="C8" s="2567" t="s">
        <v>2522</v>
      </c>
      <c r="D8" s="2570"/>
      <c r="E8" s="2578">
        <f>IF(OR(A8=0,F8="否"),0,'数据-取费表'!K8+'数据-取费表'!S8)</f>
        <v>0</v>
      </c>
      <c r="F8" s="2579" t="s">
        <v>2528</v>
      </c>
    </row>
    <row r="9" spans="1:6">
      <c r="A9" s="2577">
        <f>'数据-取费表'!AN9</f>
        <v>0</v>
      </c>
      <c r="B9" s="2576" t="e">
        <f ca="1">IF(F9="是",'数据-取费表'!AO9,0)</f>
        <v>#REF!</v>
      </c>
      <c r="C9" s="2567" t="s">
        <v>2522</v>
      </c>
      <c r="D9" s="2570"/>
      <c r="E9" s="2578">
        <f>IF(OR(A9=0,F9="否"),0,'数据-取费表'!K9+'数据-取费表'!S9)</f>
        <v>0</v>
      </c>
      <c r="F9" s="2579" t="s">
        <v>2528</v>
      </c>
    </row>
    <row r="10" spans="1:6">
      <c r="A10" s="2577">
        <f>'数据-取费表'!AN10</f>
        <v>0</v>
      </c>
      <c r="B10" s="2576" t="e">
        <f ca="1">IF(F10="是",'数据-取费表'!AO10,0)</f>
        <v>#REF!</v>
      </c>
      <c r="C10" s="2567" t="s">
        <v>2522</v>
      </c>
      <c r="D10" s="2570"/>
      <c r="E10" s="2578">
        <f>IF(OR(A10=0,F10="否"),0,'数据-取费表'!K10+'数据-取费表'!S10)</f>
        <v>0</v>
      </c>
      <c r="F10" s="2579" t="s">
        <v>2528</v>
      </c>
    </row>
    <row r="11" spans="1:6">
      <c r="A11" s="2577">
        <f>'数据-取费表'!AN11</f>
        <v>0</v>
      </c>
      <c r="B11" s="2576" t="e">
        <f ca="1">IF(F11="是",'数据-取费表'!AO11,0)</f>
        <v>#REF!</v>
      </c>
      <c r="C11" s="2567" t="s">
        <v>2522</v>
      </c>
      <c r="D11" s="2570"/>
      <c r="E11" s="2578">
        <f>IF(OR(A11=0,F11="否"),0,'数据-取费表'!K11+'数据-取费表'!S11)</f>
        <v>0</v>
      </c>
      <c r="F11" s="2579" t="s">
        <v>2528</v>
      </c>
    </row>
    <row r="12" spans="1:6">
      <c r="A12" s="2577">
        <f>'数据-取费表'!AN12</f>
        <v>0</v>
      </c>
      <c r="B12" s="2576" t="e">
        <f ca="1">IF(F12="是",'数据-取费表'!AO12,0)</f>
        <v>#REF!</v>
      </c>
      <c r="C12" s="2567" t="s">
        <v>2522</v>
      </c>
      <c r="D12" s="2570"/>
      <c r="E12" s="2578">
        <f>IF(OR(A12=0,F12="否"),0,'数据-取费表'!K12+'数据-取费表'!S12)</f>
        <v>0</v>
      </c>
      <c r="F12" s="2579" t="s">
        <v>2528</v>
      </c>
    </row>
    <row r="13" spans="1:6" ht="15" thickBot="1">
      <c r="A13" s="2580">
        <f>'数据-取费表'!AN13</f>
        <v>0</v>
      </c>
      <c r="B13" s="2576" t="e">
        <f ca="1">IF(F13="是",'数据-取费表'!AO13,0)</f>
        <v>#REF!</v>
      </c>
      <c r="C13" s="2581" t="s">
        <v>2522</v>
      </c>
      <c r="D13" s="2582"/>
      <c r="E13" s="2578">
        <f>IF(OR(A13=0,F13="否"),0,'数据-取费表'!K13+'数据-取费表'!S13)</f>
        <v>0</v>
      </c>
      <c r="F13" s="2579"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8" t="s">
        <v>1076</v>
      </c>
      <c r="B1" s="3209"/>
      <c r="C1" s="3210"/>
      <c r="D1" s="3211">
        <f>SUM(I10,I15,I20,I21,I23)</f>
        <v>0</v>
      </c>
      <c r="E1" s="3211"/>
      <c r="F1" s="3211"/>
      <c r="G1" s="3211"/>
      <c r="H1" s="3211"/>
      <c r="I1" s="3212"/>
    </row>
    <row r="2" spans="1:9">
      <c r="A2" s="3213" t="s">
        <v>1077</v>
      </c>
      <c r="B2" s="3214" t="s">
        <v>1078</v>
      </c>
      <c r="C2" s="3214"/>
      <c r="D2" s="1303" t="s">
        <v>1079</v>
      </c>
      <c r="E2" s="1303" t="s">
        <v>1080</v>
      </c>
      <c r="F2" s="1303" t="s">
        <v>1081</v>
      </c>
      <c r="G2" s="1303" t="s">
        <v>1082</v>
      </c>
      <c r="H2" s="1303" t="s">
        <v>1083</v>
      </c>
      <c r="I2" s="1304" t="s">
        <v>1084</v>
      </c>
    </row>
    <row r="3" spans="1:9">
      <c r="A3" s="3213"/>
      <c r="B3" s="3214" t="s">
        <v>1085</v>
      </c>
      <c r="C3" s="3214"/>
      <c r="D3" s="1305"/>
      <c r="E3" s="1303"/>
      <c r="F3" s="1306"/>
      <c r="G3" s="1306"/>
      <c r="H3" s="1307"/>
      <c r="I3" s="1308">
        <f>ROUND(D3*E3*F3*G3*H3/10000,0)</f>
        <v>0</v>
      </c>
    </row>
    <row r="4" spans="1:9">
      <c r="A4" s="3213"/>
      <c r="B4" s="3214" t="s">
        <v>1086</v>
      </c>
      <c r="C4" s="3214"/>
      <c r="D4" s="1305"/>
      <c r="E4" s="1303"/>
      <c r="F4" s="1306"/>
      <c r="G4" s="1306"/>
      <c r="H4" s="1307"/>
      <c r="I4" s="1308">
        <f t="shared" ref="I4:I9" si="0">ROUND(D4*E4*F4*G4*H4/10000,0)</f>
        <v>0</v>
      </c>
    </row>
    <row r="5" spans="1:9">
      <c r="A5" s="3213"/>
      <c r="B5" s="3214" t="s">
        <v>1087</v>
      </c>
      <c r="C5" s="3214"/>
      <c r="D5" s="1305"/>
      <c r="E5" s="1303"/>
      <c r="F5" s="1306"/>
      <c r="G5" s="1306"/>
      <c r="H5" s="1307"/>
      <c r="I5" s="1308">
        <f t="shared" si="0"/>
        <v>0</v>
      </c>
    </row>
    <row r="6" spans="1:9">
      <c r="A6" s="3213"/>
      <c r="B6" s="3214" t="s">
        <v>1088</v>
      </c>
      <c r="C6" s="3214"/>
      <c r="D6" s="1305"/>
      <c r="E6" s="1303"/>
      <c r="F6" s="1306"/>
      <c r="G6" s="1306"/>
      <c r="H6" s="1307"/>
      <c r="I6" s="1308">
        <f t="shared" si="0"/>
        <v>0</v>
      </c>
    </row>
    <row r="7" spans="1:9">
      <c r="A7" s="3213"/>
      <c r="B7" s="3214" t="s">
        <v>1089</v>
      </c>
      <c r="C7" s="3214"/>
      <c r="D7" s="1305"/>
      <c r="E7" s="1303"/>
      <c r="F7" s="1306"/>
      <c r="G7" s="1306"/>
      <c r="H7" s="1307"/>
      <c r="I7" s="1308">
        <f t="shared" si="0"/>
        <v>0</v>
      </c>
    </row>
    <row r="8" spans="1:9">
      <c r="A8" s="3213"/>
      <c r="B8" s="3214" t="s">
        <v>1090</v>
      </c>
      <c r="C8" s="3214"/>
      <c r="D8" s="1305"/>
      <c r="E8" s="1303"/>
      <c r="F8" s="1306"/>
      <c r="G8" s="1306"/>
      <c r="H8" s="1307"/>
      <c r="I8" s="1308">
        <f t="shared" si="0"/>
        <v>0</v>
      </c>
    </row>
    <row r="9" spans="1:9">
      <c r="A9" s="3213"/>
      <c r="B9" s="3214" t="s">
        <v>1091</v>
      </c>
      <c r="C9" s="3214"/>
      <c r="D9" s="1305"/>
      <c r="E9" s="1303"/>
      <c r="F9" s="1306"/>
      <c r="G9" s="1306"/>
      <c r="H9" s="1307"/>
      <c r="I9" s="1308">
        <f t="shared" si="0"/>
        <v>0</v>
      </c>
    </row>
    <row r="10" spans="1:9">
      <c r="A10" s="3213"/>
      <c r="B10" s="3215" t="s">
        <v>1092</v>
      </c>
      <c r="C10" s="3215"/>
      <c r="D10" s="1309"/>
      <c r="E10" s="1309" t="e">
        <f>ROUND(D1*10000/D10/H9,0)</f>
        <v>#DIV/0!</v>
      </c>
      <c r="F10" s="1310"/>
      <c r="G10" s="1310"/>
      <c r="H10" s="1311"/>
      <c r="I10" s="1312">
        <f>SUM(I3:I9)</f>
        <v>0</v>
      </c>
    </row>
    <row r="11" spans="1:9" ht="14.25">
      <c r="A11" s="3213" t="s">
        <v>1093</v>
      </c>
      <c r="B11" s="3214" t="s">
        <v>1094</v>
      </c>
      <c r="C11" s="3214"/>
      <c r="D11" s="1305" t="s">
        <v>1095</v>
      </c>
      <c r="E11" s="1305" t="s">
        <v>1096</v>
      </c>
      <c r="F11" s="1306" t="s">
        <v>1097</v>
      </c>
      <c r="G11" s="1306" t="s">
        <v>1083</v>
      </c>
      <c r="H11" s="1313" t="s">
        <v>1098</v>
      </c>
      <c r="I11" s="1304" t="s">
        <v>1084</v>
      </c>
    </row>
    <row r="12" spans="1:9">
      <c r="A12" s="3213"/>
      <c r="B12" s="3214" t="s">
        <v>1099</v>
      </c>
      <c r="C12" s="3214"/>
      <c r="D12" s="1305"/>
      <c r="E12" s="1305"/>
      <c r="F12" s="1306"/>
      <c r="G12" s="1307"/>
      <c r="H12" s="1314"/>
      <c r="I12" s="1304">
        <f>ROUND(D12*E12*F12*G12/10000,0)</f>
        <v>0</v>
      </c>
    </row>
    <row r="13" spans="1:9">
      <c r="A13" s="3213"/>
      <c r="B13" s="3214" t="s">
        <v>1100</v>
      </c>
      <c r="C13" s="3214"/>
      <c r="D13" s="1305"/>
      <c r="E13" s="1305"/>
      <c r="F13" s="1306"/>
      <c r="G13" s="1307"/>
      <c r="H13" s="1314"/>
      <c r="I13" s="1304">
        <f>ROUND(D13*E13*F13*G13/10000,0)</f>
        <v>0</v>
      </c>
    </row>
    <row r="14" spans="1:9">
      <c r="A14" s="3213"/>
      <c r="B14" s="3214" t="s">
        <v>1101</v>
      </c>
      <c r="C14" s="3214"/>
      <c r="D14" s="1305"/>
      <c r="E14" s="1305"/>
      <c r="F14" s="1306"/>
      <c r="G14" s="1307"/>
      <c r="H14" s="1314"/>
      <c r="I14" s="1304">
        <f>ROUND(D14*E14*F14*G14/10000,0)</f>
        <v>0</v>
      </c>
    </row>
    <row r="15" spans="1:9">
      <c r="A15" s="3213"/>
      <c r="B15" s="3215" t="s">
        <v>1092</v>
      </c>
      <c r="C15" s="3215"/>
      <c r="D15" s="1309"/>
      <c r="E15" s="1309">
        <f>SUM(E12:E14)</f>
        <v>0</v>
      </c>
      <c r="F15" s="1310"/>
      <c r="G15" s="1307"/>
      <c r="H15" s="1314"/>
      <c r="I15" s="1315">
        <f>SUM(I12:I14)</f>
        <v>0</v>
      </c>
    </row>
    <row r="16" spans="1:9" ht="24">
      <c r="A16" s="3213" t="s">
        <v>1102</v>
      </c>
      <c r="B16" s="3214" t="s">
        <v>1103</v>
      </c>
      <c r="C16" s="3214"/>
      <c r="D16" s="1305" t="s">
        <v>1079</v>
      </c>
      <c r="E16" s="1316" t="s">
        <v>1104</v>
      </c>
      <c r="F16" s="1306" t="s">
        <v>1105</v>
      </c>
      <c r="G16" s="1307" t="s">
        <v>1083</v>
      </c>
      <c r="H16" s="1313" t="s">
        <v>1098</v>
      </c>
      <c r="I16" s="1304" t="s">
        <v>1084</v>
      </c>
    </row>
    <row r="17" spans="1:9" ht="14.25">
      <c r="A17" s="3213"/>
      <c r="B17" s="3214" t="s">
        <v>1106</v>
      </c>
      <c r="C17" s="3214"/>
      <c r="D17" s="1305"/>
      <c r="E17" s="1305"/>
      <c r="F17" s="1306"/>
      <c r="G17" s="1307"/>
      <c r="H17" s="1317"/>
      <c r="I17" s="1318">
        <f>ROUND(D17*E17*F17*G17/10000,0)</f>
        <v>0</v>
      </c>
    </row>
    <row r="18" spans="1:9" ht="14.25">
      <c r="A18" s="3213"/>
      <c r="B18" s="3214" t="s">
        <v>1107</v>
      </c>
      <c r="C18" s="3214"/>
      <c r="D18" s="1305"/>
      <c r="E18" s="1305"/>
      <c r="F18" s="1306"/>
      <c r="G18" s="1307"/>
      <c r="H18" s="1317"/>
      <c r="I18" s="1318">
        <f>ROUND(D18*E18*F18*G18/10000,0)</f>
        <v>0</v>
      </c>
    </row>
    <row r="19" spans="1:9" ht="14.25">
      <c r="A19" s="3213"/>
      <c r="B19" s="3214" t="s">
        <v>1108</v>
      </c>
      <c r="C19" s="3214"/>
      <c r="D19" s="1305"/>
      <c r="E19" s="1305"/>
      <c r="F19" s="1306"/>
      <c r="G19" s="1307"/>
      <c r="H19" s="1317"/>
      <c r="I19" s="1318">
        <f>ROUND(D19*E19*F19*G19/10000,0)</f>
        <v>0</v>
      </c>
    </row>
    <row r="20" spans="1:9">
      <c r="A20" s="3213"/>
      <c r="B20" s="3215" t="s">
        <v>1092</v>
      </c>
      <c r="C20" s="3215"/>
      <c r="D20" s="1309">
        <f>SUM(D17:D19)</f>
        <v>0</v>
      </c>
      <c r="E20" s="1309"/>
      <c r="F20" s="1310"/>
      <c r="G20" s="1307"/>
      <c r="H20" s="1314"/>
      <c r="I20" s="1315">
        <f>SUM(I17:I19)</f>
        <v>0</v>
      </c>
    </row>
    <row r="21" spans="1:9">
      <c r="A21" s="3213" t="s">
        <v>1109</v>
      </c>
      <c r="B21" s="3217"/>
      <c r="C21" s="3217"/>
      <c r="D21" s="3217"/>
      <c r="E21" s="3217"/>
      <c r="F21" s="3217"/>
      <c r="G21" s="3217"/>
      <c r="H21" s="1767">
        <v>0.1</v>
      </c>
      <c r="I21" s="1312">
        <f>ROUND(I10*H21,0)</f>
        <v>0</v>
      </c>
    </row>
    <row r="22" spans="1:9" ht="14.25">
      <c r="A22" s="3218" t="s">
        <v>1110</v>
      </c>
      <c r="B22" s="3219"/>
      <c r="C22" s="3220"/>
      <c r="D22" s="1319" t="s">
        <v>1111</v>
      </c>
      <c r="E22" s="1319" t="s">
        <v>1112</v>
      </c>
      <c r="F22" s="1320" t="s">
        <v>1113</v>
      </c>
      <c r="G22" s="1320" t="s">
        <v>1114</v>
      </c>
      <c r="H22" s="1313" t="s">
        <v>1115</v>
      </c>
      <c r="I22" s="1304" t="s">
        <v>1116</v>
      </c>
    </row>
    <row r="23" spans="1:9" ht="14.25" thickBot="1">
      <c r="A23" s="3221"/>
      <c r="B23" s="3222"/>
      <c r="C23" s="3223"/>
      <c r="D23" s="1321"/>
      <c r="E23" s="1321"/>
      <c r="F23" s="1321"/>
      <c r="G23" s="1322"/>
      <c r="H23" s="1323"/>
      <c r="I23" s="1324">
        <f>ROUND(E23*D23*F23*(1-G23)/10000,0)</f>
        <v>0</v>
      </c>
    </row>
    <row r="26" spans="1:9">
      <c r="A26" s="1325" t="s">
        <v>1117</v>
      </c>
      <c r="B26" s="1325"/>
      <c r="C26" s="1325"/>
      <c r="D26" s="1325"/>
      <c r="E26" s="3224">
        <f>C27-C30-C31-C32</f>
        <v>0</v>
      </c>
      <c r="F26" s="3224"/>
      <c r="G26" s="3224"/>
      <c r="H26" s="1739" t="s">
        <v>1340</v>
      </c>
    </row>
    <row r="27" spans="1:9">
      <c r="A27" s="1326">
        <v>1</v>
      </c>
      <c r="B27" s="1327" t="s">
        <v>1118</v>
      </c>
      <c r="C27" s="1327">
        <f>C28+C29</f>
        <v>0</v>
      </c>
      <c r="D27" s="1327"/>
      <c r="E27" s="3225"/>
      <c r="F27" s="3225"/>
      <c r="G27" s="3225"/>
    </row>
    <row r="28" spans="1:9">
      <c r="A28" s="1328" t="s">
        <v>1119</v>
      </c>
      <c r="B28" s="1327" t="s">
        <v>1120</v>
      </c>
      <c r="C28" s="1327"/>
      <c r="D28" s="1327"/>
      <c r="E28" s="3225"/>
      <c r="F28" s="3225"/>
      <c r="G28" s="3225"/>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16"/>
      <c r="F32" s="3216"/>
      <c r="G32" s="3216"/>
    </row>
    <row r="33" spans="1:7" hidden="1">
      <c r="A33" s="3226" t="s">
        <v>1129</v>
      </c>
      <c r="B33" s="3227"/>
      <c r="C33" s="3227"/>
      <c r="D33" s="3228"/>
      <c r="E33" s="3224"/>
      <c r="F33" s="3224"/>
      <c r="G33" s="3224"/>
    </row>
    <row r="34" spans="1:7" hidden="1">
      <c r="A34" s="1330">
        <v>1</v>
      </c>
      <c r="B34" s="1327" t="s">
        <v>1130</v>
      </c>
      <c r="C34" s="1327"/>
      <c r="D34" s="1327"/>
      <c r="E34" s="3225"/>
      <c r="F34" s="3225"/>
      <c r="G34" s="3225"/>
    </row>
    <row r="35" spans="1:7" hidden="1">
      <c r="A35" s="1330">
        <v>2</v>
      </c>
      <c r="B35" s="1327" t="s">
        <v>1131</v>
      </c>
      <c r="C35" s="1327"/>
      <c r="D35" s="1327"/>
      <c r="E35" s="3225"/>
      <c r="F35" s="3225"/>
      <c r="G35" s="3225"/>
    </row>
    <row r="36" spans="1:7" hidden="1">
      <c r="A36" s="1330">
        <v>3</v>
      </c>
      <c r="B36" s="1327" t="s">
        <v>1132</v>
      </c>
      <c r="C36" s="1327"/>
      <c r="D36" s="1327"/>
      <c r="E36" s="3225"/>
      <c r="F36" s="3225"/>
      <c r="G36" s="3225"/>
    </row>
    <row r="37" spans="1:7" hidden="1">
      <c r="A37" s="1330">
        <v>4</v>
      </c>
      <c r="B37" s="1327" t="s">
        <v>1133</v>
      </c>
      <c r="C37" s="1327"/>
      <c r="D37" s="1327"/>
      <c r="E37" s="3225"/>
      <c r="F37" s="3225"/>
      <c r="G37" s="3225"/>
    </row>
    <row r="38" spans="1:7" hidden="1">
      <c r="A38" s="3226" t="s">
        <v>1134</v>
      </c>
      <c r="B38" s="3227"/>
      <c r="C38" s="3227"/>
      <c r="D38" s="3228"/>
      <c r="E38" s="3224"/>
      <c r="F38" s="3224"/>
      <c r="G38" s="322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47" sqref="E4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2531</v>
      </c>
      <c r="B1" s="2583" t="s">
        <v>2532</v>
      </c>
      <c r="C1" s="1636" t="s">
        <v>2533</v>
      </c>
      <c r="D1" s="1623" t="s">
        <v>3050</v>
      </c>
      <c r="E1" s="2584"/>
      <c r="F1" s="2585" t="s">
        <v>2534</v>
      </c>
      <c r="G1" s="1633" t="s">
        <v>2535</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2" customFormat="1" ht="28.5" customHeight="1" thickTop="1">
      <c r="A2" s="1619" t="s">
        <v>1394</v>
      </c>
      <c r="B2" s="1420">
        <f>IF(C2="——",ROUND(C49*D3/10000,0),ROUND(C49*D3/10000,0)-D2)</f>
        <v>56825</v>
      </c>
      <c r="C2" s="2587" t="s">
        <v>70</v>
      </c>
      <c r="D2" s="1367">
        <f ca="1">SUMIF(INDIRECT("'"&amp;F2&amp;"'"&amp;"!A:A"),"承租人权益价值",INDIRECT("'"&amp;F2&amp;"'"&amp;"!c:c"))</f>
        <v>0</v>
      </c>
      <c r="E2" s="2588" t="s">
        <v>2536</v>
      </c>
      <c r="F2" s="2589" t="s">
        <v>3055</v>
      </c>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1395</v>
      </c>
      <c r="B3" s="398">
        <f>IF(C2="——",C49,ROUND(B2*10000/D3,0))</f>
        <v>22983</v>
      </c>
      <c r="C3" s="399" t="s">
        <v>2537</v>
      </c>
      <c r="D3" s="398">
        <f>IF(D1="",'数据-汇总表'!E3,SUMIF('数据-汇总表'!$C19:$C33,D1,'数据-汇总表'!$E19:$E33))</f>
        <v>24724.93</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0" t="s">
        <v>2538</v>
      </c>
      <c r="B4" s="401"/>
      <c r="C4" s="3177" t="s">
        <v>2539</v>
      </c>
      <c r="D4" s="3178"/>
      <c r="E4" s="3179" t="s">
        <v>2540</v>
      </c>
      <c r="F4" s="3180"/>
      <c r="G4" s="3177" t="s">
        <v>2541</v>
      </c>
      <c r="H4" s="3178"/>
      <c r="I4" s="3177" t="s">
        <v>2542</v>
      </c>
      <c r="J4" s="3178"/>
      <c r="K4" s="2597" t="s">
        <v>2543</v>
      </c>
      <c r="L4" s="1132"/>
      <c r="M4" s="1133"/>
      <c r="N4" s="1133"/>
      <c r="O4" s="1133"/>
      <c r="P4" s="3181" t="s">
        <v>2544</v>
      </c>
      <c r="Q4" s="3182"/>
      <c r="R4" s="3162" t="s">
        <v>2540</v>
      </c>
      <c r="S4" s="3163"/>
      <c r="T4" s="3162" t="s">
        <v>2541</v>
      </c>
      <c r="U4" s="3163"/>
      <c r="V4" s="3189" t="s">
        <v>2542</v>
      </c>
      <c r="W4" s="3189"/>
      <c r="X4" s="1815"/>
      <c r="Y4" s="3162" t="s">
        <v>2544</v>
      </c>
      <c r="Z4" s="3163"/>
      <c r="AA4" s="3157" t="s">
        <v>2540</v>
      </c>
      <c r="AB4" s="3157" t="s">
        <v>2541</v>
      </c>
      <c r="AC4" s="3157" t="s">
        <v>2542</v>
      </c>
    </row>
    <row r="5" spans="1:29" ht="15">
      <c r="A5" s="403"/>
      <c r="B5" s="404"/>
      <c r="C5" s="3168" t="s">
        <v>2545</v>
      </c>
      <c r="D5" s="3169"/>
      <c r="E5" s="3229" t="s">
        <v>3076</v>
      </c>
      <c r="F5" s="3230"/>
      <c r="G5" s="3166" t="s">
        <v>3077</v>
      </c>
      <c r="H5" s="3167"/>
      <c r="I5" s="3166" t="s">
        <v>3081</v>
      </c>
      <c r="J5" s="3167"/>
      <c r="K5" s="2598"/>
      <c r="L5" s="1132"/>
      <c r="M5" s="1133"/>
      <c r="N5" s="1133"/>
      <c r="O5" s="1133"/>
      <c r="P5" s="3183"/>
      <c r="Q5" s="3184"/>
      <c r="R5" s="3164"/>
      <c r="S5" s="3165"/>
      <c r="T5" s="3164"/>
      <c r="U5" s="3165"/>
      <c r="V5" s="3189"/>
      <c r="W5" s="3189"/>
      <c r="X5" s="1815"/>
      <c r="Y5" s="3164"/>
      <c r="Z5" s="3165"/>
      <c r="AA5" s="3158"/>
      <c r="AB5" s="3158"/>
      <c r="AC5" s="3158"/>
    </row>
    <row r="6" spans="1:29" ht="15.75" thickBot="1">
      <c r="A6" s="405"/>
      <c r="B6" s="406"/>
      <c r="C6" s="3170" t="s">
        <v>2549</v>
      </c>
      <c r="D6" s="3171"/>
      <c r="E6" s="3231" t="s">
        <v>3078</v>
      </c>
      <c r="F6" s="3232"/>
      <c r="G6" s="3174" t="s">
        <v>3079</v>
      </c>
      <c r="H6" s="3175"/>
      <c r="I6" s="3174" t="s">
        <v>3080</v>
      </c>
      <c r="J6" s="3175"/>
      <c r="K6" s="2598" t="s">
        <v>2550</v>
      </c>
      <c r="L6" s="1132"/>
      <c r="M6" s="1133"/>
      <c r="N6" s="1133"/>
      <c r="O6" s="1133"/>
      <c r="P6" s="3185"/>
      <c r="Q6" s="3186"/>
      <c r="R6" s="3164"/>
      <c r="S6" s="3165"/>
      <c r="T6" s="3187"/>
      <c r="U6" s="3188"/>
      <c r="V6" s="3189"/>
      <c r="W6" s="3189"/>
      <c r="X6" s="1815"/>
      <c r="Y6" s="3187"/>
      <c r="Z6" s="3188"/>
      <c r="AA6" s="3159"/>
      <c r="AB6" s="3159"/>
      <c r="AC6" s="3159"/>
    </row>
    <row r="7" spans="1:29" s="116" customFormat="1" ht="15.75" thickBot="1">
      <c r="A7" s="407" t="s">
        <v>2551</v>
      </c>
      <c r="B7" s="408"/>
      <c r="C7" s="409">
        <f>'数据-取费表'!B2</f>
        <v>43160</v>
      </c>
      <c r="D7" s="410">
        <v>100</v>
      </c>
      <c r="E7" s="411">
        <f>C7</f>
        <v>43160</v>
      </c>
      <c r="F7" s="412">
        <f>SUMIF(58:58,YEAR(E7)&amp;"-"&amp;MONTH(E7),59:59)</f>
        <v>100</v>
      </c>
      <c r="G7" s="411">
        <f>C7</f>
        <v>43160</v>
      </c>
      <c r="H7" s="410">
        <f>SUMIF(58:58,YEAR(G7)&amp;"-"&amp;MONTH(G7),59:59)</f>
        <v>100</v>
      </c>
      <c r="I7" s="411">
        <f>C7</f>
        <v>43160</v>
      </c>
      <c r="J7" s="410">
        <f>SUMIF(58:58,YEAR(I7)&amp;"-"&amp;MONTH(I7),59:59)</f>
        <v>100</v>
      </c>
      <c r="K7" s="2599"/>
      <c r="L7" s="1134"/>
      <c r="M7" s="1135"/>
      <c r="N7" s="1135"/>
      <c r="O7" s="1135"/>
      <c r="P7" s="3160" t="s">
        <v>2552</v>
      </c>
      <c r="Q7" s="3190"/>
      <c r="R7" s="769" t="s">
        <v>23</v>
      </c>
      <c r="S7" s="770">
        <f t="shared" ref="S7:S15" si="0">F7</f>
        <v>100</v>
      </c>
      <c r="T7" s="769" t="s">
        <v>23</v>
      </c>
      <c r="U7" s="770">
        <f t="shared" ref="U7:U15" si="1">H7</f>
        <v>100</v>
      </c>
      <c r="V7" s="769" t="s">
        <v>23</v>
      </c>
      <c r="W7" s="770">
        <f t="shared" ref="W7:W15" si="2">J7</f>
        <v>100</v>
      </c>
      <c r="X7" s="771"/>
      <c r="Y7" s="3160" t="s">
        <v>2552</v>
      </c>
      <c r="Z7" s="3161"/>
      <c r="AA7" s="772">
        <f>D7/F7</f>
        <v>1</v>
      </c>
      <c r="AB7" s="772">
        <f>D7/H7</f>
        <v>1</v>
      </c>
      <c r="AC7" s="772">
        <f>D7/J7</f>
        <v>1</v>
      </c>
    </row>
    <row r="8" spans="1:29" s="116" customFormat="1" ht="15.75" thickBot="1">
      <c r="A8" s="407" t="s">
        <v>2553</v>
      </c>
      <c r="B8" s="408"/>
      <c r="C8" s="413" t="s">
        <v>2554</v>
      </c>
      <c r="D8" s="410">
        <v>100</v>
      </c>
      <c r="E8" s="2600" t="s">
        <v>3057</v>
      </c>
      <c r="F8" s="412">
        <f>SUMIF(61:61,E8,62:62)-SUMIF(61:61,C8,62:62)+100</f>
        <v>100</v>
      </c>
      <c r="G8" s="413" t="s">
        <v>3057</v>
      </c>
      <c r="H8" s="410">
        <f>SUMIF(61:61,G8,62:62)-SUMIF(61:61,C8,62:62)+100</f>
        <v>100</v>
      </c>
      <c r="I8" s="2600" t="s">
        <v>3057</v>
      </c>
      <c r="J8" s="410">
        <f>SUMIF(61:61,I8,62:62)-SUMIF(61:61,C8,62:62)+100</f>
        <v>100</v>
      </c>
      <c r="K8" s="2599"/>
      <c r="L8" s="1134"/>
      <c r="M8" s="1135"/>
      <c r="N8" s="1135"/>
      <c r="O8" s="1135"/>
      <c r="P8" s="3160" t="s">
        <v>2555</v>
      </c>
      <c r="Q8" s="3161"/>
      <c r="R8" s="769" t="s">
        <v>23</v>
      </c>
      <c r="S8" s="770">
        <f t="shared" si="0"/>
        <v>100</v>
      </c>
      <c r="T8" s="769" t="s">
        <v>23</v>
      </c>
      <c r="U8" s="770">
        <f t="shared" si="1"/>
        <v>100</v>
      </c>
      <c r="V8" s="769" t="s">
        <v>23</v>
      </c>
      <c r="W8" s="770">
        <f t="shared" si="2"/>
        <v>100</v>
      </c>
      <c r="X8" s="771"/>
      <c r="Y8" s="3160" t="s">
        <v>2555</v>
      </c>
      <c r="Z8" s="3161"/>
      <c r="AA8" s="772">
        <f t="shared" ref="AA8:AA19" si="3">D8/F8</f>
        <v>1</v>
      </c>
      <c r="AB8" s="772">
        <f t="shared" ref="AB8:AB19" si="4">D8/H8</f>
        <v>1</v>
      </c>
      <c r="AC8" s="772">
        <f t="shared" ref="AC8:AC19" si="5">D8/J8</f>
        <v>1</v>
      </c>
    </row>
    <row r="9" spans="1:29" s="116" customFormat="1">
      <c r="A9" s="414" t="s">
        <v>2556</v>
      </c>
      <c r="B9" s="70" t="s">
        <v>2557</v>
      </c>
      <c r="C9" s="2961" t="s">
        <v>3184</v>
      </c>
      <c r="D9" s="134">
        <v>100</v>
      </c>
      <c r="E9" s="416" t="s">
        <v>3050</v>
      </c>
      <c r="F9" s="417">
        <f>SUMIF(63:63,E9,64:64)-SUMIF(63:63,C9,64:64)+100</f>
        <v>100</v>
      </c>
      <c r="G9" s="418" t="s">
        <v>3050</v>
      </c>
      <c r="H9" s="134">
        <f>SUMIF(63:63,G9,64:64)-SUMIF(63:63,C9,64:64)+100</f>
        <v>100</v>
      </c>
      <c r="I9" s="418" t="s">
        <v>3050</v>
      </c>
      <c r="J9" s="134">
        <f>SUMIF(63:63,I9,64:64)-SUMIF(63:63,C9,64:64)+100</f>
        <v>100</v>
      </c>
      <c r="K9" s="2599"/>
      <c r="L9" s="1134"/>
      <c r="M9" s="1135"/>
      <c r="N9" s="1135"/>
      <c r="O9" s="1135"/>
      <c r="P9" s="3200" t="s">
        <v>2558</v>
      </c>
      <c r="Q9" s="1797" t="str">
        <f t="shared" ref="Q9:Q15" si="6">B9</f>
        <v>用途</v>
      </c>
      <c r="R9" s="769" t="s">
        <v>17</v>
      </c>
      <c r="S9" s="770">
        <f t="shared" si="0"/>
        <v>100</v>
      </c>
      <c r="T9" s="769" t="s">
        <v>17</v>
      </c>
      <c r="U9" s="770">
        <f t="shared" si="1"/>
        <v>100</v>
      </c>
      <c r="V9" s="769" t="s">
        <v>17</v>
      </c>
      <c r="W9" s="770">
        <f t="shared" si="2"/>
        <v>100</v>
      </c>
      <c r="X9" s="771"/>
      <c r="Y9" s="3034" t="s">
        <v>2559</v>
      </c>
      <c r="Z9" s="54" t="str">
        <f t="shared" ref="Z9:Z15" si="7">Q9</f>
        <v>用途</v>
      </c>
      <c r="AA9" s="772">
        <f t="shared" si="3"/>
        <v>1</v>
      </c>
      <c r="AB9" s="772">
        <f t="shared" si="4"/>
        <v>1</v>
      </c>
      <c r="AC9" s="772">
        <f t="shared" si="5"/>
        <v>1</v>
      </c>
    </row>
    <row r="10" spans="1:29" s="426" customFormat="1" ht="27">
      <c r="A10" s="420"/>
      <c r="B10" s="421" t="s">
        <v>2560</v>
      </c>
      <c r="C10" s="422" t="s">
        <v>3069</v>
      </c>
      <c r="D10" s="135">
        <v>100</v>
      </c>
      <c r="E10" s="423" t="s">
        <v>3068</v>
      </c>
      <c r="F10" s="424">
        <f>SUMIF(65:65,E10,66:66)-SUMIF(65:65,C10,66:66)+100</f>
        <v>101</v>
      </c>
      <c r="G10" s="422" t="s">
        <v>3068</v>
      </c>
      <c r="H10" s="135">
        <f>SUMIF(65:65,G10,66:66)-SUMIF(65:65,C10,66:66)+100</f>
        <v>101</v>
      </c>
      <c r="I10" s="422" t="s">
        <v>3068</v>
      </c>
      <c r="J10" s="135">
        <f>SUMIF(65:65,I10,66:66)-SUMIF(65:65,C10,66:66)+100</f>
        <v>101</v>
      </c>
      <c r="K10" s="425">
        <v>1</v>
      </c>
      <c r="L10" s="1137"/>
      <c r="M10" s="1138"/>
      <c r="N10" s="1138"/>
      <c r="O10" s="1138"/>
      <c r="P10" s="3200"/>
      <c r="Q10" s="1797" t="str">
        <f t="shared" si="6"/>
        <v>土地使用年限（年）</v>
      </c>
      <c r="R10" s="769" t="s">
        <v>17</v>
      </c>
      <c r="S10" s="770">
        <f t="shared" si="0"/>
        <v>101</v>
      </c>
      <c r="T10" s="769" t="s">
        <v>17</v>
      </c>
      <c r="U10" s="770">
        <f t="shared" si="1"/>
        <v>101</v>
      </c>
      <c r="V10" s="769" t="s">
        <v>17</v>
      </c>
      <c r="W10" s="770">
        <f t="shared" si="2"/>
        <v>101</v>
      </c>
      <c r="X10" s="771"/>
      <c r="Y10" s="3034"/>
      <c r="Z10" s="54" t="str">
        <f t="shared" si="7"/>
        <v>土地使用年限（年）</v>
      </c>
      <c r="AA10" s="772">
        <f t="shared" si="3"/>
        <v>0.99009900990099009</v>
      </c>
      <c r="AB10" s="772">
        <f t="shared" si="4"/>
        <v>0.99009900990099009</v>
      </c>
      <c r="AC10" s="772">
        <f t="shared" si="5"/>
        <v>0.99009900990099009</v>
      </c>
    </row>
    <row r="11" spans="1:29" ht="15.75" thickBot="1">
      <c r="A11" s="427"/>
      <c r="B11" s="421" t="s">
        <v>2561</v>
      </c>
      <c r="C11" s="428">
        <v>4.29</v>
      </c>
      <c r="D11" s="135">
        <v>100</v>
      </c>
      <c r="E11" s="429">
        <v>3.41</v>
      </c>
      <c r="F11" s="424">
        <f>LOOKUP(E11,68:68,69:69)-LOOKUP(C11,68:68,69:69)+100</f>
        <v>105</v>
      </c>
      <c r="G11" s="428">
        <v>4.2300000000000004</v>
      </c>
      <c r="H11" s="135">
        <f>LOOKUP(G11,68:68,69:69)-LOOKUP(C11,68:68,69:69)+100</f>
        <v>100</v>
      </c>
      <c r="I11" s="428">
        <v>4.16</v>
      </c>
      <c r="J11" s="135">
        <f>LOOKUP(I11,68:68,69:69)-LOOKUP(C11,68:68,69:69)+100</f>
        <v>100</v>
      </c>
      <c r="K11" s="425">
        <f>'土地比较法-住宅、综合'!K11</f>
        <v>5</v>
      </c>
      <c r="L11" s="1140"/>
      <c r="M11" s="1133"/>
      <c r="N11" s="1133"/>
      <c r="O11" s="1133"/>
      <c r="P11" s="3200"/>
      <c r="Q11" s="1797" t="str">
        <f t="shared" si="6"/>
        <v>容积率</v>
      </c>
      <c r="R11" s="769" t="s">
        <v>21</v>
      </c>
      <c r="S11" s="770">
        <f t="shared" si="0"/>
        <v>105</v>
      </c>
      <c r="T11" s="769" t="s">
        <v>21</v>
      </c>
      <c r="U11" s="770">
        <f t="shared" si="1"/>
        <v>100</v>
      </c>
      <c r="V11" s="769" t="s">
        <v>21</v>
      </c>
      <c r="W11" s="770">
        <f t="shared" si="2"/>
        <v>100</v>
      </c>
      <c r="X11" s="771"/>
      <c r="Y11" s="3034"/>
      <c r="Z11" s="54" t="str">
        <f t="shared" si="7"/>
        <v>容积率</v>
      </c>
      <c r="AA11" s="772">
        <f t="shared" si="3"/>
        <v>0.95238095238095233</v>
      </c>
      <c r="AB11" s="772">
        <f t="shared" si="4"/>
        <v>1</v>
      </c>
      <c r="AC11" s="772">
        <f t="shared" si="5"/>
        <v>1</v>
      </c>
    </row>
    <row r="12" spans="1:29" s="116" customFormat="1" ht="15" hidden="1">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4"/>
      <c r="M12" s="1135"/>
      <c r="N12" s="1135"/>
      <c r="O12" s="1135"/>
      <c r="P12" s="3200"/>
      <c r="Q12" s="1797">
        <f t="shared" si="6"/>
        <v>111</v>
      </c>
      <c r="R12" s="769" t="s">
        <v>21</v>
      </c>
      <c r="S12" s="770">
        <f t="shared" si="0"/>
        <v>100</v>
      </c>
      <c r="T12" s="769" t="s">
        <v>21</v>
      </c>
      <c r="U12" s="770">
        <f t="shared" si="1"/>
        <v>100</v>
      </c>
      <c r="V12" s="769" t="s">
        <v>21</v>
      </c>
      <c r="W12" s="770">
        <f t="shared" si="2"/>
        <v>100</v>
      </c>
      <c r="X12" s="771"/>
      <c r="Y12" s="3034"/>
      <c r="Z12" s="54">
        <f t="shared" si="7"/>
        <v>111</v>
      </c>
      <c r="AA12" s="772">
        <f>D12/F12</f>
        <v>1</v>
      </c>
      <c r="AB12" s="772">
        <f>D12/H12</f>
        <v>1</v>
      </c>
      <c r="AC12" s="772">
        <f>D12/J12</f>
        <v>1</v>
      </c>
    </row>
    <row r="13" spans="1:29" ht="15" hidden="1">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42"/>
      <c r="M13" s="1133"/>
      <c r="N13" s="1133"/>
      <c r="O13" s="1133"/>
      <c r="P13" s="3200"/>
      <c r="Q13" s="1797">
        <f t="shared" si="6"/>
        <v>111</v>
      </c>
      <c r="R13" s="769" t="s">
        <v>21</v>
      </c>
      <c r="S13" s="770">
        <f t="shared" si="0"/>
        <v>100</v>
      </c>
      <c r="T13" s="769" t="s">
        <v>21</v>
      </c>
      <c r="U13" s="770">
        <f t="shared" si="1"/>
        <v>100</v>
      </c>
      <c r="V13" s="769" t="s">
        <v>21</v>
      </c>
      <c r="W13" s="770">
        <f t="shared" si="2"/>
        <v>100</v>
      </c>
      <c r="X13" s="771"/>
      <c r="Y13" s="3034"/>
      <c r="Z13" s="54">
        <f t="shared" si="7"/>
        <v>111</v>
      </c>
      <c r="AA13" s="772">
        <f t="shared" si="3"/>
        <v>1</v>
      </c>
      <c r="AB13" s="772">
        <f t="shared" si="4"/>
        <v>1</v>
      </c>
      <c r="AC13" s="772">
        <f t="shared" si="5"/>
        <v>1</v>
      </c>
    </row>
    <row r="14" spans="1:29" ht="15.75" hidden="1"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42"/>
      <c r="M14" s="1133"/>
      <c r="N14" s="1133"/>
      <c r="O14" s="1133"/>
      <c r="P14" s="3200"/>
      <c r="Q14" s="1797">
        <f t="shared" si="6"/>
        <v>111</v>
      </c>
      <c r="R14" s="769" t="s">
        <v>21</v>
      </c>
      <c r="S14" s="770">
        <f t="shared" si="0"/>
        <v>100</v>
      </c>
      <c r="T14" s="769" t="s">
        <v>21</v>
      </c>
      <c r="U14" s="770">
        <f t="shared" si="1"/>
        <v>100</v>
      </c>
      <c r="V14" s="769" t="s">
        <v>21</v>
      </c>
      <c r="W14" s="770">
        <f t="shared" si="2"/>
        <v>100</v>
      </c>
      <c r="X14" s="771"/>
      <c r="Y14" s="3034"/>
      <c r="Z14" s="54">
        <f t="shared" si="7"/>
        <v>111</v>
      </c>
      <c r="AA14" s="772">
        <f t="shared" si="3"/>
        <v>1</v>
      </c>
      <c r="AB14" s="772">
        <f t="shared" si="4"/>
        <v>1</v>
      </c>
      <c r="AC14" s="772">
        <f t="shared" si="5"/>
        <v>1</v>
      </c>
    </row>
    <row r="15" spans="1:29" ht="99.75">
      <c r="A15" s="439" t="s">
        <v>2562</v>
      </c>
      <c r="B15" s="68" t="s">
        <v>2089</v>
      </c>
      <c r="C15" s="2604"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39" t="s">
        <v>2563</v>
      </c>
      <c r="Q15" s="1812" t="str">
        <f t="shared" si="6"/>
        <v>居住社区成熟度</v>
      </c>
      <c r="R15" s="773" t="s">
        <v>21</v>
      </c>
      <c r="S15" s="774">
        <f t="shared" si="0"/>
        <v>100</v>
      </c>
      <c r="T15" s="773" t="s">
        <v>21</v>
      </c>
      <c r="U15" s="774">
        <f t="shared" si="1"/>
        <v>100</v>
      </c>
      <c r="V15" s="773" t="s">
        <v>21</v>
      </c>
      <c r="W15" s="774">
        <f t="shared" si="2"/>
        <v>100</v>
      </c>
      <c r="X15" s="1815"/>
      <c r="Y15" s="3191" t="s">
        <v>2563</v>
      </c>
      <c r="Z15" s="1816" t="str">
        <f t="shared" si="7"/>
        <v>居住社区成熟度</v>
      </c>
      <c r="AA15" s="1813">
        <f t="shared" si="3"/>
        <v>1</v>
      </c>
      <c r="AB15" s="1813">
        <f t="shared" si="4"/>
        <v>1</v>
      </c>
      <c r="AC15" s="1813">
        <f t="shared" si="5"/>
        <v>1</v>
      </c>
    </row>
    <row r="16" spans="1:29" ht="15">
      <c r="A16" s="427"/>
      <c r="B16" s="445"/>
      <c r="C16" s="446" t="s">
        <v>3059</v>
      </c>
      <c r="D16" s="447"/>
      <c r="E16" s="2605" t="s">
        <v>3059</v>
      </c>
      <c r="F16" s="447"/>
      <c r="G16" s="2606" t="s">
        <v>3059</v>
      </c>
      <c r="H16" s="449"/>
      <c r="I16" s="2606" t="s">
        <v>3059</v>
      </c>
      <c r="J16" s="447"/>
      <c r="K16" s="2607"/>
      <c r="L16" s="1142"/>
      <c r="M16" s="1133"/>
      <c r="N16" s="1133"/>
      <c r="O16" s="1133"/>
      <c r="P16" s="3240"/>
      <c r="Q16" s="1812"/>
      <c r="R16" s="773"/>
      <c r="S16" s="774"/>
      <c r="T16" s="773"/>
      <c r="U16" s="774"/>
      <c r="V16" s="773"/>
      <c r="W16" s="774"/>
      <c r="X16" s="1815"/>
      <c r="Y16" s="3192"/>
      <c r="Z16" s="1816"/>
      <c r="AA16" s="1813">
        <v>1</v>
      </c>
      <c r="AB16" s="1813">
        <v>1</v>
      </c>
      <c r="AC16" s="1813">
        <v>1</v>
      </c>
    </row>
    <row r="17" spans="1:29" ht="85.5">
      <c r="A17" s="427"/>
      <c r="B17" s="450" t="s">
        <v>2101</v>
      </c>
      <c r="C17" s="2608"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40"/>
      <c r="Q17" s="1812" t="str">
        <f>B17</f>
        <v>交通便捷度</v>
      </c>
      <c r="R17" s="773" t="s">
        <v>21</v>
      </c>
      <c r="S17" s="774">
        <f>F17</f>
        <v>100</v>
      </c>
      <c r="T17" s="773" t="s">
        <v>21</v>
      </c>
      <c r="U17" s="774">
        <f>H17</f>
        <v>100</v>
      </c>
      <c r="V17" s="773" t="s">
        <v>21</v>
      </c>
      <c r="W17" s="774">
        <f>J17</f>
        <v>100</v>
      </c>
      <c r="X17" s="1815"/>
      <c r="Y17" s="3192"/>
      <c r="Z17" s="1816" t="str">
        <f>Q17</f>
        <v>交通便捷度</v>
      </c>
      <c r="AA17" s="1813">
        <f t="shared" si="3"/>
        <v>1</v>
      </c>
      <c r="AB17" s="1813">
        <f t="shared" si="4"/>
        <v>1</v>
      </c>
      <c r="AC17" s="1813">
        <f t="shared" si="5"/>
        <v>1</v>
      </c>
    </row>
    <row r="18" spans="1:29" ht="15">
      <c r="A18" s="427"/>
      <c r="B18" s="455"/>
      <c r="C18" s="2609" t="s">
        <v>3059</v>
      </c>
      <c r="D18" s="449"/>
      <c r="E18" s="2610" t="s">
        <v>3059</v>
      </c>
      <c r="F18" s="449"/>
      <c r="G18" s="2611" t="s">
        <v>3059</v>
      </c>
      <c r="H18" s="447"/>
      <c r="I18" s="2611" t="s">
        <v>3059</v>
      </c>
      <c r="J18" s="447"/>
      <c r="K18" s="2607"/>
      <c r="L18" s="1142"/>
      <c r="M18" s="1133"/>
      <c r="N18" s="1133"/>
      <c r="O18" s="1133"/>
      <c r="P18" s="3240"/>
      <c r="Q18" s="1812"/>
      <c r="R18" s="773"/>
      <c r="S18" s="774"/>
      <c r="T18" s="773"/>
      <c r="U18" s="774"/>
      <c r="V18" s="773"/>
      <c r="W18" s="774"/>
      <c r="X18" s="1815"/>
      <c r="Y18" s="3192"/>
      <c r="Z18" s="1816"/>
      <c r="AA18" s="1813">
        <v>1</v>
      </c>
      <c r="AB18" s="1813">
        <v>1</v>
      </c>
      <c r="AC18" s="1813">
        <v>1</v>
      </c>
    </row>
    <row r="19" spans="1:29" ht="42.75">
      <c r="A19" s="427"/>
      <c r="B19" s="450" t="s">
        <v>2099</v>
      </c>
      <c r="C19" s="2608"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40"/>
      <c r="Q19" s="1812" t="str">
        <f>B19</f>
        <v>公共配套设施</v>
      </c>
      <c r="R19" s="773" t="s">
        <v>21</v>
      </c>
      <c r="S19" s="774">
        <f>F19</f>
        <v>100</v>
      </c>
      <c r="T19" s="773" t="s">
        <v>21</v>
      </c>
      <c r="U19" s="774">
        <f>H19</f>
        <v>100</v>
      </c>
      <c r="V19" s="773" t="s">
        <v>21</v>
      </c>
      <c r="W19" s="774">
        <f>J19</f>
        <v>100</v>
      </c>
      <c r="X19" s="1815"/>
      <c r="Y19" s="3192"/>
      <c r="Z19" s="1816" t="str">
        <f>Q19</f>
        <v>公共配套设施</v>
      </c>
      <c r="AA19" s="1813">
        <f t="shared" si="3"/>
        <v>1</v>
      </c>
      <c r="AB19" s="1813">
        <f t="shared" si="4"/>
        <v>1</v>
      </c>
      <c r="AC19" s="1813">
        <f t="shared" si="5"/>
        <v>1</v>
      </c>
    </row>
    <row r="20" spans="1:29" ht="15">
      <c r="A20" s="427"/>
      <c r="B20" s="455"/>
      <c r="C20" s="446" t="s">
        <v>3059</v>
      </c>
      <c r="D20" s="447"/>
      <c r="E20" s="2605" t="s">
        <v>3059</v>
      </c>
      <c r="F20" s="447"/>
      <c r="G20" s="2606" t="s">
        <v>3059</v>
      </c>
      <c r="H20" s="447"/>
      <c r="I20" s="2606" t="s">
        <v>3059</v>
      </c>
      <c r="J20" s="447"/>
      <c r="K20" s="2607"/>
      <c r="L20" s="1142"/>
      <c r="M20" s="1133"/>
      <c r="N20" s="1133"/>
      <c r="O20" s="1133"/>
      <c r="P20" s="3240"/>
      <c r="Q20" s="1812"/>
      <c r="R20" s="773"/>
      <c r="S20" s="774"/>
      <c r="T20" s="773"/>
      <c r="U20" s="774"/>
      <c r="V20" s="773"/>
      <c r="W20" s="774"/>
      <c r="X20" s="1815"/>
      <c r="Y20" s="3192"/>
      <c r="Z20" s="1816"/>
      <c r="AA20" s="1813">
        <v>1</v>
      </c>
      <c r="AB20" s="1813">
        <v>1</v>
      </c>
      <c r="AC20" s="1813">
        <v>1</v>
      </c>
    </row>
    <row r="21" spans="1:29" ht="28.5">
      <c r="A21" s="427"/>
      <c r="B21" s="1386" t="s">
        <v>2102</v>
      </c>
      <c r="C21" s="2608"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40"/>
      <c r="Q21" s="1812" t="str">
        <f>B21</f>
        <v>基础设施水平</v>
      </c>
      <c r="R21" s="773" t="s">
        <v>17</v>
      </c>
      <c r="S21" s="774">
        <f>F21</f>
        <v>100</v>
      </c>
      <c r="T21" s="773" t="s">
        <v>17</v>
      </c>
      <c r="U21" s="774">
        <f>H21</f>
        <v>100</v>
      </c>
      <c r="V21" s="773" t="s">
        <v>17</v>
      </c>
      <c r="W21" s="774">
        <f>J21</f>
        <v>100</v>
      </c>
      <c r="X21" s="1815"/>
      <c r="Y21" s="3192"/>
      <c r="Z21" s="1816" t="str">
        <f>Q21</f>
        <v>基础设施水平</v>
      </c>
      <c r="AA21" s="1813">
        <f t="shared" ref="AA21" si="8">D21/F21</f>
        <v>1</v>
      </c>
      <c r="AB21" s="1813">
        <f t="shared" ref="AB21" si="9">D21/H21</f>
        <v>1</v>
      </c>
      <c r="AC21" s="1813">
        <f t="shared" ref="AC21" si="10">D21/J21</f>
        <v>1</v>
      </c>
    </row>
    <row r="22" spans="1:29" ht="15">
      <c r="A22" s="427"/>
      <c r="B22" s="1386"/>
      <c r="C22" s="2609" t="s">
        <v>3061</v>
      </c>
      <c r="D22" s="447"/>
      <c r="E22" s="446" t="s">
        <v>3061</v>
      </c>
      <c r="F22" s="447"/>
      <c r="G22" s="2612" t="s">
        <v>3061</v>
      </c>
      <c r="H22" s="447"/>
      <c r="I22" s="446" t="s">
        <v>3061</v>
      </c>
      <c r="J22" s="447"/>
      <c r="K22" s="2613"/>
      <c r="L22" s="1142"/>
      <c r="M22" s="1133"/>
      <c r="N22" s="1133"/>
      <c r="O22" s="1133"/>
      <c r="P22" s="3240"/>
      <c r="Q22" s="1812"/>
      <c r="R22" s="773"/>
      <c r="S22" s="774"/>
      <c r="T22" s="773"/>
      <c r="U22" s="774"/>
      <c r="V22" s="773"/>
      <c r="W22" s="774"/>
      <c r="X22" s="1815"/>
      <c r="Y22" s="3192"/>
      <c r="Z22" s="1816"/>
      <c r="AA22" s="1813">
        <v>1</v>
      </c>
      <c r="AB22" s="1813">
        <v>1</v>
      </c>
      <c r="AC22" s="1813">
        <v>1</v>
      </c>
    </row>
    <row r="23" spans="1:29" ht="57">
      <c r="A23" s="427"/>
      <c r="B23" s="450" t="s">
        <v>2106</v>
      </c>
      <c r="C23" s="2608"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97</v>
      </c>
      <c r="K23" s="444">
        <f>'土地比较法-住宅、综合'!K25</f>
        <v>3</v>
      </c>
      <c r="L23" s="1142"/>
      <c r="M23" s="1133"/>
      <c r="N23" s="1133"/>
      <c r="O23" s="1133"/>
      <c r="P23" s="3240"/>
      <c r="Q23" s="1812" t="str">
        <f>B23</f>
        <v>自然及人文环境</v>
      </c>
      <c r="R23" s="773" t="s">
        <v>21</v>
      </c>
      <c r="S23" s="774">
        <f>F23</f>
        <v>100</v>
      </c>
      <c r="T23" s="773" t="s">
        <v>21</v>
      </c>
      <c r="U23" s="774">
        <f>H23</f>
        <v>100</v>
      </c>
      <c r="V23" s="773" t="s">
        <v>21</v>
      </c>
      <c r="W23" s="774">
        <f>J23</f>
        <v>97</v>
      </c>
      <c r="X23" s="1815"/>
      <c r="Y23" s="3192"/>
      <c r="Z23" s="1816" t="str">
        <f>Q23</f>
        <v>自然及人文环境</v>
      </c>
      <c r="AA23" s="1813">
        <f>D23/F23</f>
        <v>1</v>
      </c>
      <c r="AB23" s="1813">
        <f>D23/H23</f>
        <v>1</v>
      </c>
      <c r="AC23" s="1813">
        <f>D23/J23</f>
        <v>1.0309278350515463</v>
      </c>
    </row>
    <row r="24" spans="1:29" ht="15.75" thickBot="1">
      <c r="A24" s="427"/>
      <c r="B24" s="455"/>
      <c r="C24" s="446" t="s">
        <v>3059</v>
      </c>
      <c r="D24" s="447"/>
      <c r="E24" s="2605" t="s">
        <v>3059</v>
      </c>
      <c r="F24" s="447"/>
      <c r="G24" s="2606" t="s">
        <v>3059</v>
      </c>
      <c r="H24" s="447"/>
      <c r="I24" s="2606" t="s">
        <v>3060</v>
      </c>
      <c r="J24" s="447"/>
      <c r="K24" s="2607"/>
      <c r="L24" s="1142"/>
      <c r="M24" s="1133"/>
      <c r="N24" s="1133"/>
      <c r="O24" s="1133"/>
      <c r="P24" s="3240"/>
      <c r="Q24" s="1812"/>
      <c r="R24" s="773"/>
      <c r="S24" s="774"/>
      <c r="T24" s="773"/>
      <c r="U24" s="774"/>
      <c r="V24" s="773"/>
      <c r="W24" s="774"/>
      <c r="X24" s="1815"/>
      <c r="Y24" s="3192"/>
      <c r="Z24" s="1816"/>
      <c r="AA24" s="1813">
        <v>1</v>
      </c>
      <c r="AB24" s="1813">
        <v>1</v>
      </c>
      <c r="AC24" s="1813">
        <v>1</v>
      </c>
    </row>
    <row r="25" spans="1:29" ht="15" hidden="1">
      <c r="A25" s="427"/>
      <c r="B25" s="421" t="s">
        <v>2564</v>
      </c>
      <c r="C25" s="459"/>
      <c r="D25" s="434">
        <v>100</v>
      </c>
      <c r="E25" s="2614"/>
      <c r="F25" s="434">
        <f>SUMIF(86:86,E25,87:87)-SUMIF(86:86,C25,87:87)+100</f>
        <v>100</v>
      </c>
      <c r="G25" s="2615"/>
      <c r="H25" s="434">
        <f>SUMIF(86:86,G25,87:87)-SUMIF(86:86,C25,87:87)+100</f>
        <v>100</v>
      </c>
      <c r="I25" s="2615"/>
      <c r="J25" s="434">
        <f>SUMIF(86:86,I25,87:87)-SUMIF(86:86,C25,87:87)+100</f>
        <v>100</v>
      </c>
      <c r="K25" s="425"/>
      <c r="L25" s="1142"/>
      <c r="M25" s="1133"/>
      <c r="N25" s="1133"/>
      <c r="O25" s="1133"/>
      <c r="P25" s="3240"/>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92"/>
      <c r="Z25" s="1816" t="str">
        <f>Q25</f>
        <v>楼层-1</v>
      </c>
      <c r="AA25" s="1813">
        <f t="shared" ref="AA25:AA46" si="15">D25/F25</f>
        <v>1</v>
      </c>
      <c r="AB25" s="1813">
        <f t="shared" ref="AB25:AB46" si="16">D25/H25</f>
        <v>1</v>
      </c>
      <c r="AC25" s="1813">
        <f t="shared" ref="AC25:AC46" si="17">D25/J25</f>
        <v>1</v>
      </c>
    </row>
    <row r="26" spans="1:29" ht="15" hidden="1">
      <c r="A26" s="427"/>
      <c r="B26" s="421" t="s">
        <v>2565</v>
      </c>
      <c r="C26" s="459"/>
      <c r="D26" s="434">
        <v>100</v>
      </c>
      <c r="E26" s="2614"/>
      <c r="F26" s="434">
        <f>SUMIF(88:88,E26,89:89)-SUMIF(88:88,C26,89:89)+100</f>
        <v>100</v>
      </c>
      <c r="G26" s="2615"/>
      <c r="H26" s="434">
        <f>SUMIF(88:88,G26,89:89)-SUMIF(88:88,C26,89:89)+100</f>
        <v>100</v>
      </c>
      <c r="I26" s="2615"/>
      <c r="J26" s="434">
        <f>SUMIF(88:88,I26,89:89)-SUMIF(88:88,C26,89:89)+100</f>
        <v>100</v>
      </c>
      <c r="K26" s="425"/>
      <c r="L26" s="1142"/>
      <c r="M26" s="1133"/>
      <c r="N26" s="1133"/>
      <c r="O26" s="1133"/>
      <c r="P26" s="3240"/>
      <c r="Q26" s="1812" t="str">
        <f t="shared" si="11"/>
        <v>朝向</v>
      </c>
      <c r="R26" s="773" t="s">
        <v>21</v>
      </c>
      <c r="S26" s="774">
        <f t="shared" si="12"/>
        <v>100</v>
      </c>
      <c r="T26" s="773" t="s">
        <v>21</v>
      </c>
      <c r="U26" s="774">
        <f t="shared" si="13"/>
        <v>100</v>
      </c>
      <c r="V26" s="773" t="s">
        <v>21</v>
      </c>
      <c r="W26" s="774">
        <f t="shared" si="14"/>
        <v>100</v>
      </c>
      <c r="X26" s="1815"/>
      <c r="Y26" s="3192"/>
      <c r="Z26" s="1816" t="str">
        <f>Q26</f>
        <v>朝向</v>
      </c>
      <c r="AA26" s="1813">
        <f t="shared" si="15"/>
        <v>1</v>
      </c>
      <c r="AB26" s="1813">
        <f t="shared" si="16"/>
        <v>1</v>
      </c>
      <c r="AC26" s="1813">
        <f t="shared" si="17"/>
        <v>1</v>
      </c>
    </row>
    <row r="27" spans="1:29" s="116" customFormat="1" ht="15" hidden="1">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2"/>
      <c r="L27" s="1134"/>
      <c r="M27" s="1135"/>
      <c r="N27" s="1135"/>
      <c r="O27" s="1135"/>
      <c r="P27" s="3240"/>
      <c r="Q27" s="1797">
        <f t="shared" si="11"/>
        <v>111</v>
      </c>
      <c r="R27" s="769" t="s">
        <v>21</v>
      </c>
      <c r="S27" s="770">
        <f t="shared" si="12"/>
        <v>100</v>
      </c>
      <c r="T27" s="769" t="s">
        <v>21</v>
      </c>
      <c r="U27" s="770">
        <f t="shared" si="13"/>
        <v>100</v>
      </c>
      <c r="V27" s="769" t="s">
        <v>21</v>
      </c>
      <c r="W27" s="770">
        <f t="shared" si="14"/>
        <v>100</v>
      </c>
      <c r="X27" s="771"/>
      <c r="Y27" s="3192"/>
      <c r="Z27" s="54">
        <f>Q27</f>
        <v>111</v>
      </c>
      <c r="AA27" s="1813">
        <f t="shared" si="15"/>
        <v>1</v>
      </c>
      <c r="AB27" s="1813">
        <f t="shared" si="16"/>
        <v>1</v>
      </c>
      <c r="AC27" s="1813">
        <f t="shared" si="17"/>
        <v>1</v>
      </c>
    </row>
    <row r="28" spans="1:29" ht="15" hidden="1">
      <c r="A28" s="427"/>
      <c r="B28" s="1388">
        <v>111</v>
      </c>
      <c r="C28" s="433"/>
      <c r="D28" s="434">
        <v>100</v>
      </c>
      <c r="E28" s="433"/>
      <c r="F28" s="434">
        <f>SUMIF(92:92,E28,93:93)-SUMIF(92:92,C28,93:93)+100</f>
        <v>100</v>
      </c>
      <c r="G28" s="2616"/>
      <c r="H28" s="434">
        <f>SUMIF(92:92,G28,93:93)-SUMIF(92:92,C28,93:93)+100</f>
        <v>100</v>
      </c>
      <c r="I28" s="433"/>
      <c r="J28" s="434">
        <f>SUMIF(92:92,I28,93:93)-SUMIF(92:92,C28,93:93)+100</f>
        <v>100</v>
      </c>
      <c r="K28" s="2602"/>
      <c r="L28" s="1142"/>
      <c r="M28" s="1133"/>
      <c r="N28" s="1133"/>
      <c r="O28" s="1133"/>
      <c r="P28" s="3240"/>
      <c r="Q28" s="1812">
        <f t="shared" si="11"/>
        <v>111</v>
      </c>
      <c r="R28" s="773" t="s">
        <v>21</v>
      </c>
      <c r="S28" s="774">
        <f t="shared" si="12"/>
        <v>100</v>
      </c>
      <c r="T28" s="773" t="s">
        <v>21</v>
      </c>
      <c r="U28" s="774">
        <f t="shared" si="13"/>
        <v>100</v>
      </c>
      <c r="V28" s="773" t="s">
        <v>21</v>
      </c>
      <c r="W28" s="774">
        <f t="shared" si="14"/>
        <v>100</v>
      </c>
      <c r="X28" s="1815"/>
      <c r="Y28" s="3192"/>
      <c r="Z28" s="1816">
        <f t="shared" ref="Z28:Z46" si="18">Q28</f>
        <v>111</v>
      </c>
      <c r="AA28" s="1813">
        <f t="shared" si="15"/>
        <v>1</v>
      </c>
      <c r="AB28" s="1813">
        <f t="shared" si="16"/>
        <v>1</v>
      </c>
      <c r="AC28" s="1813">
        <f t="shared" si="17"/>
        <v>1</v>
      </c>
    </row>
    <row r="29" spans="1:29" ht="15" hidden="1">
      <c r="A29" s="427"/>
      <c r="B29" s="1388">
        <v>111</v>
      </c>
      <c r="C29" s="433"/>
      <c r="D29" s="434">
        <v>100</v>
      </c>
      <c r="E29" s="433"/>
      <c r="F29" s="434">
        <f>SUMIF(94:94,E29,95:95)-SUMIF(94:94,C29,95:95)+100</f>
        <v>100</v>
      </c>
      <c r="G29" s="2616"/>
      <c r="H29" s="434">
        <f>SUMIF(94:94,G29,95:95)-SUMIF(94:94,C29,95:95)+100</f>
        <v>100</v>
      </c>
      <c r="I29" s="433"/>
      <c r="J29" s="434">
        <f>SUMIF(94:94,I29,95:95)-SUMIF(94:94,C29,95:95)+100</f>
        <v>100</v>
      </c>
      <c r="K29" s="2602"/>
      <c r="L29" s="1142"/>
      <c r="M29" s="1133"/>
      <c r="N29" s="1133"/>
      <c r="O29" s="1133"/>
      <c r="P29" s="3240"/>
      <c r="Q29" s="1812">
        <f t="shared" si="11"/>
        <v>111</v>
      </c>
      <c r="R29" s="773" t="s">
        <v>21</v>
      </c>
      <c r="S29" s="774">
        <f t="shared" si="12"/>
        <v>100</v>
      </c>
      <c r="T29" s="773" t="s">
        <v>21</v>
      </c>
      <c r="U29" s="774">
        <f t="shared" si="13"/>
        <v>100</v>
      </c>
      <c r="V29" s="773" t="s">
        <v>21</v>
      </c>
      <c r="W29" s="774">
        <f t="shared" si="14"/>
        <v>100</v>
      </c>
      <c r="X29" s="1815"/>
      <c r="Y29" s="3192"/>
      <c r="Z29" s="1816">
        <f t="shared" si="18"/>
        <v>111</v>
      </c>
      <c r="AA29" s="1813">
        <f t="shared" si="15"/>
        <v>1</v>
      </c>
      <c r="AB29" s="1813">
        <f t="shared" si="16"/>
        <v>1</v>
      </c>
      <c r="AC29" s="1813">
        <f t="shared" si="17"/>
        <v>1</v>
      </c>
    </row>
    <row r="30" spans="1:29" ht="15" hidden="1">
      <c r="A30" s="427"/>
      <c r="B30" s="1388">
        <v>111</v>
      </c>
      <c r="C30" s="433"/>
      <c r="D30" s="434">
        <v>100</v>
      </c>
      <c r="E30" s="433"/>
      <c r="F30" s="434">
        <f>SUMIF(96:96,E30,97:97)-SUMIF(96:96,C30,97:97)+100</f>
        <v>100</v>
      </c>
      <c r="G30" s="2616"/>
      <c r="H30" s="434">
        <f>SUMIF(96:96,G30,97:97)-SUMIF(96:96,C30,97:97)+100</f>
        <v>100</v>
      </c>
      <c r="I30" s="433"/>
      <c r="J30" s="434">
        <f>SUMIF(96:96,I30,97:97)-SUMIF(96:96,C30,97:97)+100</f>
        <v>100</v>
      </c>
      <c r="K30" s="2602"/>
      <c r="L30" s="1142"/>
      <c r="M30" s="1133"/>
      <c r="N30" s="1133"/>
      <c r="O30" s="1133"/>
      <c r="P30" s="3240"/>
      <c r="Q30" s="1812">
        <f t="shared" si="11"/>
        <v>111</v>
      </c>
      <c r="R30" s="773" t="s">
        <v>21</v>
      </c>
      <c r="S30" s="774">
        <f t="shared" si="12"/>
        <v>100</v>
      </c>
      <c r="T30" s="773" t="s">
        <v>21</v>
      </c>
      <c r="U30" s="774">
        <f t="shared" si="13"/>
        <v>100</v>
      </c>
      <c r="V30" s="773" t="s">
        <v>21</v>
      </c>
      <c r="W30" s="774">
        <f t="shared" si="14"/>
        <v>100</v>
      </c>
      <c r="X30" s="1815"/>
      <c r="Y30" s="3192"/>
      <c r="Z30" s="1816">
        <f t="shared" si="18"/>
        <v>111</v>
      </c>
      <c r="AA30" s="1813">
        <f t="shared" si="15"/>
        <v>1</v>
      </c>
      <c r="AB30" s="1813">
        <f t="shared" si="16"/>
        <v>1</v>
      </c>
      <c r="AC30" s="1813">
        <f t="shared" si="17"/>
        <v>1</v>
      </c>
    </row>
    <row r="31" spans="1:29" ht="15.75" hidden="1" thickBot="1">
      <c r="A31" s="435"/>
      <c r="B31" s="1388">
        <v>111</v>
      </c>
      <c r="C31" s="436"/>
      <c r="D31" s="437">
        <v>100</v>
      </c>
      <c r="E31" s="436"/>
      <c r="F31" s="437">
        <f>SUMIF(98:98,E31,99:99)-SUMIF(98:98,C31,99:99)+100</f>
        <v>100</v>
      </c>
      <c r="G31" s="2617"/>
      <c r="H31" s="437">
        <f>SUMIF(98:98,G31,99:99)-SUMIF(98:98,C31,99:99)+100</f>
        <v>100</v>
      </c>
      <c r="I31" s="436"/>
      <c r="J31" s="437">
        <f>SUMIF(98:98,I31,99:99)-SUMIF(98:98,C31,99:99)+100</f>
        <v>100</v>
      </c>
      <c r="K31" s="2602"/>
      <c r="L31" s="1142"/>
      <c r="M31" s="1133"/>
      <c r="N31" s="1133"/>
      <c r="O31" s="1133"/>
      <c r="P31" s="3240"/>
      <c r="Q31" s="1812">
        <f t="shared" si="11"/>
        <v>111</v>
      </c>
      <c r="R31" s="773" t="s">
        <v>21</v>
      </c>
      <c r="S31" s="774">
        <f t="shared" si="12"/>
        <v>100</v>
      </c>
      <c r="T31" s="773" t="s">
        <v>21</v>
      </c>
      <c r="U31" s="774">
        <f t="shared" si="13"/>
        <v>100</v>
      </c>
      <c r="V31" s="773" t="s">
        <v>21</v>
      </c>
      <c r="W31" s="774">
        <f t="shared" si="14"/>
        <v>100</v>
      </c>
      <c r="X31" s="1815"/>
      <c r="Y31" s="3192"/>
      <c r="Z31" s="1816">
        <f t="shared" si="18"/>
        <v>111</v>
      </c>
      <c r="AA31" s="1813">
        <f t="shared" si="15"/>
        <v>1</v>
      </c>
      <c r="AB31" s="1813">
        <f t="shared" si="16"/>
        <v>1</v>
      </c>
      <c r="AC31" s="1813">
        <f t="shared" si="17"/>
        <v>1</v>
      </c>
    </row>
    <row r="32" spans="1:29" ht="15">
      <c r="A32" s="439" t="s">
        <v>2566</v>
      </c>
      <c r="B32" s="70" t="s">
        <v>2567</v>
      </c>
      <c r="C32" s="2618" t="s">
        <v>3116</v>
      </c>
      <c r="D32" s="466">
        <v>100</v>
      </c>
      <c r="E32" s="2619" t="s">
        <v>3116</v>
      </c>
      <c r="F32" s="460">
        <f>SUMIF(100:100,E32,101:101)-SUMIF(100:100,C32,101:101)+100</f>
        <v>100</v>
      </c>
      <c r="G32" s="2618" t="s">
        <v>3116</v>
      </c>
      <c r="H32" s="466">
        <f>SUMIF(100:100,G32,101:101)-SUMIF(100:100,C32,101:101)+100</f>
        <v>100</v>
      </c>
      <c r="I32" s="2619" t="s">
        <v>3116</v>
      </c>
      <c r="J32" s="434">
        <f>SUMIF(100:100,I32,101:101)-SUMIF(100:100,C32,101:101)+100</f>
        <v>100</v>
      </c>
      <c r="K32" s="425"/>
      <c r="L32" s="1142"/>
      <c r="M32" s="1133"/>
      <c r="N32" s="1133"/>
      <c r="O32" s="1133"/>
      <c r="P32" s="3235" t="s">
        <v>2568</v>
      </c>
      <c r="Q32" s="1812" t="str">
        <f t="shared" si="11"/>
        <v>建筑类型</v>
      </c>
      <c r="R32" s="773" t="s">
        <v>21</v>
      </c>
      <c r="S32" s="774">
        <f t="shared" si="12"/>
        <v>100</v>
      </c>
      <c r="T32" s="773" t="s">
        <v>21</v>
      </c>
      <c r="U32" s="774">
        <f t="shared" si="13"/>
        <v>100</v>
      </c>
      <c r="V32" s="773" t="s">
        <v>21</v>
      </c>
      <c r="W32" s="774">
        <f t="shared" si="14"/>
        <v>100</v>
      </c>
      <c r="X32" s="1815"/>
      <c r="Y32" s="3194" t="s">
        <v>2568</v>
      </c>
      <c r="Z32" s="1816" t="str">
        <f t="shared" si="18"/>
        <v>建筑类型</v>
      </c>
      <c r="AA32" s="1813">
        <f t="shared" si="15"/>
        <v>1</v>
      </c>
      <c r="AB32" s="1813">
        <f t="shared" si="16"/>
        <v>1</v>
      </c>
      <c r="AC32" s="1813">
        <f t="shared" si="17"/>
        <v>1</v>
      </c>
    </row>
    <row r="33" spans="1:29" s="470" customFormat="1" ht="15">
      <c r="A33" s="467"/>
      <c r="B33" s="421" t="s">
        <v>2569</v>
      </c>
      <c r="C33" s="468">
        <f>'数据-基础表'!B3</f>
        <v>36223.67</v>
      </c>
      <c r="D33" s="135">
        <v>100</v>
      </c>
      <c r="E33" s="429">
        <v>270179</v>
      </c>
      <c r="F33" s="424">
        <f>LOOKUP(E33,103:103,104:104)-LOOKUP(C33,103:103,104:104)+100</f>
        <v>103</v>
      </c>
      <c r="G33" s="428">
        <v>230000</v>
      </c>
      <c r="H33" s="135">
        <f>LOOKUP(G33,103:103,104:104)-LOOKUP(C33,103:103,104:104)+100</f>
        <v>103</v>
      </c>
      <c r="I33" s="429">
        <v>98193</v>
      </c>
      <c r="J33" s="135">
        <f>LOOKUP(I33,103:103,104:104)-LOOKUP(C33,103:103,104:104)+100</f>
        <v>101</v>
      </c>
      <c r="K33" s="2602"/>
      <c r="L33" s="1140"/>
      <c r="M33" s="1143"/>
      <c r="N33" s="1143"/>
      <c r="O33" s="1143"/>
      <c r="P33" s="3236"/>
      <c r="Q33" s="775" t="str">
        <f t="shared" si="11"/>
        <v>项目建筑规模</v>
      </c>
      <c r="R33" s="776" t="s">
        <v>21</v>
      </c>
      <c r="S33" s="777">
        <f t="shared" si="12"/>
        <v>103</v>
      </c>
      <c r="T33" s="776" t="s">
        <v>21</v>
      </c>
      <c r="U33" s="777">
        <f t="shared" si="13"/>
        <v>103</v>
      </c>
      <c r="V33" s="776" t="s">
        <v>21</v>
      </c>
      <c r="W33" s="777">
        <f t="shared" si="14"/>
        <v>101</v>
      </c>
      <c r="X33" s="778"/>
      <c r="Y33" s="3194"/>
      <c r="Z33" s="779" t="str">
        <f t="shared" si="18"/>
        <v>项目建筑规模</v>
      </c>
      <c r="AA33" s="1813">
        <f t="shared" si="15"/>
        <v>0.970873786407767</v>
      </c>
      <c r="AB33" s="1813">
        <f t="shared" si="16"/>
        <v>0.970873786407767</v>
      </c>
      <c r="AC33" s="1813">
        <f t="shared" si="17"/>
        <v>0.99009900990099009</v>
      </c>
    </row>
    <row r="34" spans="1:29" ht="15">
      <c r="A34" s="471"/>
      <c r="B34" s="421" t="s">
        <v>2570</v>
      </c>
      <c r="C34" s="2620" t="s">
        <v>3120</v>
      </c>
      <c r="D34" s="434">
        <v>100</v>
      </c>
      <c r="E34" s="2621" t="s">
        <v>3120</v>
      </c>
      <c r="F34" s="460">
        <f>SUMIF(105:105,E34,106:106)-SUMIF(105:105,C34,106:106)+100</f>
        <v>100</v>
      </c>
      <c r="G34" s="2620" t="s">
        <v>3120</v>
      </c>
      <c r="H34" s="434">
        <f>SUMIF(105:105,G34,106:106)-SUMIF(105:105,C34,106:106)+100</f>
        <v>100</v>
      </c>
      <c r="I34" s="2621" t="s">
        <v>3120</v>
      </c>
      <c r="J34" s="434">
        <f>SUMIF(105:105,I34,106:106)-SUMIF(105:105,C34,106:106)+100</f>
        <v>100</v>
      </c>
      <c r="K34" s="425"/>
      <c r="L34" s="1142"/>
      <c r="M34" s="1133"/>
      <c r="N34" s="1133"/>
      <c r="O34" s="1133"/>
      <c r="P34" s="3236"/>
      <c r="Q34" s="1812" t="str">
        <f t="shared" si="11"/>
        <v>建筑结构</v>
      </c>
      <c r="R34" s="773" t="s">
        <v>21</v>
      </c>
      <c r="S34" s="774">
        <f t="shared" si="12"/>
        <v>100</v>
      </c>
      <c r="T34" s="773" t="s">
        <v>21</v>
      </c>
      <c r="U34" s="774">
        <f t="shared" si="13"/>
        <v>100</v>
      </c>
      <c r="V34" s="773" t="s">
        <v>21</v>
      </c>
      <c r="W34" s="774">
        <f t="shared" si="14"/>
        <v>100</v>
      </c>
      <c r="X34" s="1815"/>
      <c r="Y34" s="3194"/>
      <c r="Z34" s="1816" t="str">
        <f t="shared" si="18"/>
        <v>建筑结构</v>
      </c>
      <c r="AA34" s="1813">
        <f t="shared" si="15"/>
        <v>1</v>
      </c>
      <c r="AB34" s="1813">
        <f t="shared" si="16"/>
        <v>1</v>
      </c>
      <c r="AC34" s="1813">
        <f t="shared" si="17"/>
        <v>1</v>
      </c>
    </row>
    <row r="35" spans="1:29" ht="15">
      <c r="A35" s="471"/>
      <c r="B35" s="421" t="s">
        <v>2571</v>
      </c>
      <c r="C35" s="2614" t="s">
        <v>3127</v>
      </c>
      <c r="D35" s="434">
        <v>100</v>
      </c>
      <c r="E35" s="2615" t="s">
        <v>3127</v>
      </c>
      <c r="F35" s="460">
        <f>SUMIF(107:107,E35,108:108)-SUMIF(107:107,C35,108:108)+100</f>
        <v>100</v>
      </c>
      <c r="G35" s="2614" t="s">
        <v>3127</v>
      </c>
      <c r="H35" s="434">
        <f>SUMIF(107:107,G35,108:108)-SUMIF(107:107,C35,108:108)+100</f>
        <v>100</v>
      </c>
      <c r="I35" s="2615" t="s">
        <v>3127</v>
      </c>
      <c r="J35" s="434">
        <f>SUMIF(107:107,I35,108:108)-SUMIF(107:107,C35,108:108)+100</f>
        <v>100</v>
      </c>
      <c r="K35" s="425"/>
      <c r="L35" s="1142"/>
      <c r="M35" s="1133"/>
      <c r="N35" s="1133"/>
      <c r="O35" s="1133"/>
      <c r="P35" s="3236"/>
      <c r="Q35" s="1812" t="str">
        <f t="shared" si="11"/>
        <v>建筑品质</v>
      </c>
      <c r="R35" s="773" t="s">
        <v>21</v>
      </c>
      <c r="S35" s="774">
        <f t="shared" si="12"/>
        <v>100</v>
      </c>
      <c r="T35" s="773" t="s">
        <v>21</v>
      </c>
      <c r="U35" s="774">
        <f t="shared" si="13"/>
        <v>100</v>
      </c>
      <c r="V35" s="773" t="s">
        <v>21</v>
      </c>
      <c r="W35" s="774">
        <f t="shared" si="14"/>
        <v>100</v>
      </c>
      <c r="X35" s="1815"/>
      <c r="Y35" s="3194"/>
      <c r="Z35" s="1816" t="str">
        <f t="shared" si="18"/>
        <v>建筑品质</v>
      </c>
      <c r="AA35" s="1813">
        <f t="shared" si="15"/>
        <v>1</v>
      </c>
      <c r="AB35" s="1813">
        <f t="shared" si="16"/>
        <v>1</v>
      </c>
      <c r="AC35" s="1813">
        <f t="shared" si="17"/>
        <v>1</v>
      </c>
    </row>
    <row r="36" spans="1:29" ht="15">
      <c r="A36" s="471"/>
      <c r="B36" s="421" t="s">
        <v>2572</v>
      </c>
      <c r="C36" s="2614" t="s">
        <v>3074</v>
      </c>
      <c r="D36" s="434">
        <v>100</v>
      </c>
      <c r="E36" s="2615" t="s">
        <v>3074</v>
      </c>
      <c r="F36" s="460">
        <f>SUMIF(109:109,E36,110:110)-SUMIF(109:109,C36,110:110)+100</f>
        <v>100</v>
      </c>
      <c r="G36" s="2614" t="s">
        <v>3074</v>
      </c>
      <c r="H36" s="434">
        <f>SUMIF(109:109,G36,110:110)-SUMIF(109:109,C36,110:110)+100</f>
        <v>100</v>
      </c>
      <c r="I36" s="2615" t="s">
        <v>3074</v>
      </c>
      <c r="J36" s="434">
        <f>SUMIF(109:109,I36,110:110)-SUMIF(109:109,C36,110:110)+100</f>
        <v>100</v>
      </c>
      <c r="K36" s="425"/>
      <c r="L36" s="1142"/>
      <c r="M36" s="1133"/>
      <c r="N36" s="1133"/>
      <c r="O36" s="1133"/>
      <c r="P36" s="3236"/>
      <c r="Q36" s="1812" t="str">
        <f t="shared" si="11"/>
        <v>公共部分装修</v>
      </c>
      <c r="R36" s="773" t="s">
        <v>21</v>
      </c>
      <c r="S36" s="774">
        <f t="shared" si="12"/>
        <v>100</v>
      </c>
      <c r="T36" s="773" t="s">
        <v>21</v>
      </c>
      <c r="U36" s="774">
        <f t="shared" si="13"/>
        <v>100</v>
      </c>
      <c r="V36" s="773" t="s">
        <v>21</v>
      </c>
      <c r="W36" s="774">
        <f t="shared" si="14"/>
        <v>100</v>
      </c>
      <c r="X36" s="1815"/>
      <c r="Y36" s="3194"/>
      <c r="Z36" s="1816" t="str">
        <f t="shared" si="18"/>
        <v>公共部分装修</v>
      </c>
      <c r="AA36" s="1813">
        <f t="shared" si="15"/>
        <v>1</v>
      </c>
      <c r="AB36" s="1813">
        <f t="shared" si="16"/>
        <v>1</v>
      </c>
      <c r="AC36" s="1813">
        <f t="shared" si="17"/>
        <v>1</v>
      </c>
    </row>
    <row r="37" spans="1:29" s="116" customFormat="1" ht="15">
      <c r="A37" s="472"/>
      <c r="B37" s="421" t="s">
        <v>2573</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c r="L37" s="1134"/>
      <c r="M37" s="1135"/>
      <c r="N37" s="1135"/>
      <c r="O37" s="1135"/>
      <c r="P37" s="3236"/>
      <c r="Q37" s="1797" t="str">
        <f t="shared" si="11"/>
        <v>成新度</v>
      </c>
      <c r="R37" s="769" t="s">
        <v>21</v>
      </c>
      <c r="S37" s="770">
        <f t="shared" si="12"/>
        <v>100</v>
      </c>
      <c r="T37" s="769" t="s">
        <v>21</v>
      </c>
      <c r="U37" s="770">
        <f t="shared" si="13"/>
        <v>100</v>
      </c>
      <c r="V37" s="769" t="s">
        <v>21</v>
      </c>
      <c r="W37" s="770">
        <f t="shared" si="14"/>
        <v>100</v>
      </c>
      <c r="X37" s="771"/>
      <c r="Y37" s="3194"/>
      <c r="Z37" s="54" t="str">
        <f t="shared" si="18"/>
        <v>成新度</v>
      </c>
      <c r="AA37" s="772">
        <f t="shared" si="15"/>
        <v>1</v>
      </c>
      <c r="AB37" s="772">
        <f t="shared" si="16"/>
        <v>1</v>
      </c>
      <c r="AC37" s="772">
        <f t="shared" si="17"/>
        <v>1</v>
      </c>
    </row>
    <row r="38" spans="1:29" ht="15">
      <c r="A38" s="471"/>
      <c r="B38" s="421" t="s">
        <v>2574</v>
      </c>
      <c r="C38" s="2614" t="s">
        <v>3123</v>
      </c>
      <c r="D38" s="434">
        <v>100</v>
      </c>
      <c r="E38" s="2615" t="s">
        <v>3123</v>
      </c>
      <c r="F38" s="460">
        <f>SUMIF(114:114,E38,115:115)-SUMIF(114:114,C38,115:115)+100</f>
        <v>100</v>
      </c>
      <c r="G38" s="2614" t="s">
        <v>3123</v>
      </c>
      <c r="H38" s="434">
        <f>SUMIF(114:114,G38,115:115)-SUMIF(114:114,C38,115:115)+100</f>
        <v>100</v>
      </c>
      <c r="I38" s="2615" t="s">
        <v>3123</v>
      </c>
      <c r="J38" s="434">
        <f>SUMIF(114:114,I38,115:115)-SUMIF(114:114,C38,115:115)+100</f>
        <v>100</v>
      </c>
      <c r="K38" s="425"/>
      <c r="L38" s="1142"/>
      <c r="M38" s="1133"/>
      <c r="N38" s="1133"/>
      <c r="O38" s="1133"/>
      <c r="P38" s="3236" t="s">
        <v>2568</v>
      </c>
      <c r="Q38" s="1812" t="str">
        <f t="shared" si="11"/>
        <v>物业管理</v>
      </c>
      <c r="R38" s="773" t="s">
        <v>21</v>
      </c>
      <c r="S38" s="774">
        <f t="shared" si="12"/>
        <v>100</v>
      </c>
      <c r="T38" s="773" t="s">
        <v>21</v>
      </c>
      <c r="U38" s="774">
        <f t="shared" si="13"/>
        <v>100</v>
      </c>
      <c r="V38" s="773" t="s">
        <v>21</v>
      </c>
      <c r="W38" s="774">
        <f t="shared" si="14"/>
        <v>100</v>
      </c>
      <c r="X38" s="1815"/>
      <c r="Y38" s="3194" t="s">
        <v>2568</v>
      </c>
      <c r="Z38" s="1816" t="str">
        <f t="shared" si="18"/>
        <v>物业管理</v>
      </c>
      <c r="AA38" s="1813">
        <f t="shared" si="15"/>
        <v>1</v>
      </c>
      <c r="AB38" s="1813">
        <f t="shared" si="16"/>
        <v>1</v>
      </c>
      <c r="AC38" s="1813">
        <f t="shared" si="17"/>
        <v>1</v>
      </c>
    </row>
    <row r="39" spans="1:29" ht="15">
      <c r="A39" s="471"/>
      <c r="B39" s="421" t="s">
        <v>2575</v>
      </c>
      <c r="C39" s="2614" t="s">
        <v>3061</v>
      </c>
      <c r="D39" s="434">
        <v>100</v>
      </c>
      <c r="E39" s="2615" t="s">
        <v>3061</v>
      </c>
      <c r="F39" s="460">
        <f>SUMIF(116:116,E39,117:117)-SUMIF(116:116,C39,117:117)+100</f>
        <v>100</v>
      </c>
      <c r="G39" s="2614" t="s">
        <v>3061</v>
      </c>
      <c r="H39" s="434">
        <f>SUMIF(116:116,G39,117:117)-SUMIF(116:116,C39,117:117)+100</f>
        <v>100</v>
      </c>
      <c r="I39" s="2615" t="s">
        <v>3061</v>
      </c>
      <c r="J39" s="434">
        <f>SUMIF(116:116,I39,117:117)-SUMIF(116:116,C39,117:117)+100</f>
        <v>100</v>
      </c>
      <c r="K39" s="425"/>
      <c r="L39" s="1142"/>
      <c r="M39" s="1133"/>
      <c r="N39" s="1133"/>
      <c r="O39" s="1133"/>
      <c r="P39" s="3236"/>
      <c r="Q39" s="1812" t="str">
        <f t="shared" si="11"/>
        <v>市政基础设施</v>
      </c>
      <c r="R39" s="773" t="s">
        <v>21</v>
      </c>
      <c r="S39" s="774">
        <f t="shared" si="12"/>
        <v>100</v>
      </c>
      <c r="T39" s="773" t="s">
        <v>21</v>
      </c>
      <c r="U39" s="774">
        <f t="shared" si="13"/>
        <v>100</v>
      </c>
      <c r="V39" s="773" t="s">
        <v>21</v>
      </c>
      <c r="W39" s="774">
        <f t="shared" si="14"/>
        <v>100</v>
      </c>
      <c r="X39" s="1815"/>
      <c r="Y39" s="3194"/>
      <c r="Z39" s="1816" t="str">
        <f t="shared" si="18"/>
        <v>市政基础设施</v>
      </c>
      <c r="AA39" s="1813">
        <f t="shared" si="15"/>
        <v>1</v>
      </c>
      <c r="AB39" s="1813">
        <f t="shared" si="16"/>
        <v>1</v>
      </c>
      <c r="AC39" s="1813">
        <f t="shared" si="17"/>
        <v>1</v>
      </c>
    </row>
    <row r="40" spans="1:29" ht="15" hidden="1">
      <c r="A40" s="471"/>
      <c r="B40" s="421" t="s">
        <v>2576</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c r="L40" s="1142"/>
      <c r="M40" s="1133"/>
      <c r="N40" s="1133"/>
      <c r="O40" s="1133"/>
      <c r="P40" s="3236"/>
      <c r="Q40" s="1812" t="str">
        <f t="shared" si="11"/>
        <v>房型</v>
      </c>
      <c r="R40" s="773" t="s">
        <v>21</v>
      </c>
      <c r="S40" s="774">
        <f t="shared" si="12"/>
        <v>100</v>
      </c>
      <c r="T40" s="773" t="s">
        <v>21</v>
      </c>
      <c r="U40" s="774">
        <f t="shared" si="13"/>
        <v>100</v>
      </c>
      <c r="V40" s="773" t="s">
        <v>21</v>
      </c>
      <c r="W40" s="774">
        <f t="shared" si="14"/>
        <v>100</v>
      </c>
      <c r="X40" s="1815"/>
      <c r="Y40" s="3194"/>
      <c r="Z40" s="1816" t="str">
        <f t="shared" si="18"/>
        <v>房型</v>
      </c>
      <c r="AA40" s="1813">
        <f t="shared" si="15"/>
        <v>1</v>
      </c>
      <c r="AB40" s="1813">
        <f t="shared" si="16"/>
        <v>1</v>
      </c>
      <c r="AC40" s="1813">
        <f t="shared" si="17"/>
        <v>1</v>
      </c>
    </row>
    <row r="41" spans="1:29" s="470" customFormat="1" ht="28.5">
      <c r="A41" s="467"/>
      <c r="B41" s="421" t="s">
        <v>2577</v>
      </c>
      <c r="C41" s="468" t="s">
        <v>3119</v>
      </c>
      <c r="D41" s="135">
        <v>100</v>
      </c>
      <c r="E41" s="429" t="s">
        <v>3119</v>
      </c>
      <c r="F41" s="424">
        <f>SUMIF(120:120,E41,121:121)-SUMIF(120:120,C41,121:121)+100</f>
        <v>100</v>
      </c>
      <c r="G41" s="428" t="s">
        <v>3119</v>
      </c>
      <c r="H41" s="135">
        <f>SUMIF(120:120,G41,121:121)-SUMIF(120:120,C41,121:121)+100</f>
        <v>100</v>
      </c>
      <c r="I41" s="476" t="s">
        <v>3119</v>
      </c>
      <c r="J41" s="434">
        <f>SUMIF(120:120,I41,121:121)-SUMIF(120:120,C41,121:121)+100</f>
        <v>100</v>
      </c>
      <c r="K41" s="2602"/>
      <c r="L41" s="1140"/>
      <c r="M41" s="1143"/>
      <c r="N41" s="1143"/>
      <c r="O41" s="1143"/>
      <c r="P41" s="3236"/>
      <c r="Q41" s="775" t="str">
        <f t="shared" si="11"/>
        <v>单套/主力户型建筑面积</v>
      </c>
      <c r="R41" s="776" t="s">
        <v>21</v>
      </c>
      <c r="S41" s="777">
        <f t="shared" si="12"/>
        <v>100</v>
      </c>
      <c r="T41" s="776" t="s">
        <v>21</v>
      </c>
      <c r="U41" s="777">
        <f t="shared" si="13"/>
        <v>100</v>
      </c>
      <c r="V41" s="776" t="s">
        <v>21</v>
      </c>
      <c r="W41" s="777">
        <f t="shared" si="14"/>
        <v>100</v>
      </c>
      <c r="X41" s="778"/>
      <c r="Y41" s="3194"/>
      <c r="Z41" s="779" t="str">
        <f t="shared" si="18"/>
        <v>单套/主力户型建筑面积</v>
      </c>
      <c r="AA41" s="1813">
        <f t="shared" si="15"/>
        <v>1</v>
      </c>
      <c r="AB41" s="1813">
        <f t="shared" si="16"/>
        <v>1</v>
      </c>
      <c r="AC41" s="1813">
        <f t="shared" si="17"/>
        <v>1</v>
      </c>
    </row>
    <row r="42" spans="1:29" ht="15.75" thickBot="1">
      <c r="A42" s="471"/>
      <c r="B42" s="421" t="s">
        <v>2578</v>
      </c>
      <c r="C42" s="2614" t="s">
        <v>3074</v>
      </c>
      <c r="D42" s="434">
        <v>100</v>
      </c>
      <c r="E42" s="2615" t="s">
        <v>3074</v>
      </c>
      <c r="F42" s="460">
        <f>SUMIF(122:122,E42,123:123)-SUMIF(122:122,C42,123:123)+100</f>
        <v>100</v>
      </c>
      <c r="G42" s="2614" t="s">
        <v>3074</v>
      </c>
      <c r="H42" s="434">
        <f>SUMIF(122:122,G42,123:123)-SUMIF(122:122,C42,123:123)+100</f>
        <v>100</v>
      </c>
      <c r="I42" s="2615" t="s">
        <v>3075</v>
      </c>
      <c r="J42" s="434">
        <f>SUMIF(122:122,I42,123:123)-SUMIF(122:122,C42,123:123)+100</f>
        <v>94</v>
      </c>
      <c r="K42" s="425">
        <v>2</v>
      </c>
      <c r="L42" s="1142"/>
      <c r="M42" s="1133"/>
      <c r="N42" s="1133"/>
      <c r="O42" s="1133"/>
      <c r="P42" s="3236"/>
      <c r="Q42" s="1812" t="str">
        <f t="shared" si="11"/>
        <v>内部装修</v>
      </c>
      <c r="R42" s="773" t="s">
        <v>21</v>
      </c>
      <c r="S42" s="774">
        <f t="shared" si="12"/>
        <v>100</v>
      </c>
      <c r="T42" s="773" t="s">
        <v>21</v>
      </c>
      <c r="U42" s="774">
        <f t="shared" si="13"/>
        <v>100</v>
      </c>
      <c r="V42" s="773" t="s">
        <v>21</v>
      </c>
      <c r="W42" s="774">
        <f t="shared" si="14"/>
        <v>94</v>
      </c>
      <c r="X42" s="1815"/>
      <c r="Y42" s="3194"/>
      <c r="Z42" s="1816" t="str">
        <f t="shared" si="18"/>
        <v>内部装修</v>
      </c>
      <c r="AA42" s="1813">
        <f t="shared" si="15"/>
        <v>1</v>
      </c>
      <c r="AB42" s="1813">
        <f t="shared" si="16"/>
        <v>1</v>
      </c>
      <c r="AC42" s="1813">
        <f t="shared" si="17"/>
        <v>1.0638297872340425</v>
      </c>
    </row>
    <row r="43" spans="1:29" ht="15.75" hidden="1" thickBot="1">
      <c r="A43" s="471"/>
      <c r="B43" s="421" t="s">
        <v>2579</v>
      </c>
      <c r="C43" s="2614"/>
      <c r="D43" s="434">
        <v>100</v>
      </c>
      <c r="E43" s="2615"/>
      <c r="F43" s="460">
        <f>SUMIF(124:124,E43,125:125)-SUMIF(124:124,C43,125:125)+100</f>
        <v>100</v>
      </c>
      <c r="G43" s="2614"/>
      <c r="H43" s="434">
        <f>SUMIF(124:124,G43,125:125)-SUMIF(124:124,C43,125:125)+100</f>
        <v>100</v>
      </c>
      <c r="I43" s="2615"/>
      <c r="J43" s="434">
        <f>SUMIF(124:124,I43,125:125)-SUMIF(124:124,C43,125:125)+100</f>
        <v>100</v>
      </c>
      <c r="K43" s="425"/>
      <c r="L43" s="1142"/>
      <c r="M43" s="1133"/>
      <c r="N43" s="1133"/>
      <c r="O43" s="1133"/>
      <c r="P43" s="3236"/>
      <c r="Q43" s="1812" t="str">
        <f t="shared" si="11"/>
        <v>内部装修维护情况</v>
      </c>
      <c r="R43" s="773" t="s">
        <v>21</v>
      </c>
      <c r="S43" s="774">
        <f t="shared" si="12"/>
        <v>100</v>
      </c>
      <c r="T43" s="773" t="s">
        <v>21</v>
      </c>
      <c r="U43" s="774">
        <f t="shared" si="13"/>
        <v>100</v>
      </c>
      <c r="V43" s="773" t="s">
        <v>21</v>
      </c>
      <c r="W43" s="774">
        <f t="shared" si="14"/>
        <v>100</v>
      </c>
      <c r="X43" s="1815"/>
      <c r="Y43" s="3194"/>
      <c r="Z43" s="1816" t="str">
        <f t="shared" si="18"/>
        <v>内部装修维护情况</v>
      </c>
      <c r="AA43" s="1813">
        <f t="shared" si="15"/>
        <v>1</v>
      </c>
      <c r="AB43" s="1813">
        <f t="shared" si="16"/>
        <v>1</v>
      </c>
      <c r="AC43" s="1813">
        <f t="shared" si="17"/>
        <v>1</v>
      </c>
    </row>
    <row r="44" spans="1:29" s="116" customFormat="1" ht="15" hidden="1">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4"/>
      <c r="M44" s="1135"/>
      <c r="N44" s="1135"/>
      <c r="O44" s="1135"/>
      <c r="P44" s="3236"/>
      <c r="Q44" s="1797">
        <f t="shared" si="11"/>
        <v>111</v>
      </c>
      <c r="R44" s="769" t="s">
        <v>21</v>
      </c>
      <c r="S44" s="770">
        <f t="shared" si="12"/>
        <v>100</v>
      </c>
      <c r="T44" s="769" t="s">
        <v>21</v>
      </c>
      <c r="U44" s="770">
        <f t="shared" si="13"/>
        <v>100</v>
      </c>
      <c r="V44" s="769" t="s">
        <v>21</v>
      </c>
      <c r="W44" s="770">
        <f t="shared" si="14"/>
        <v>100</v>
      </c>
      <c r="X44" s="771"/>
      <c r="Y44" s="3194"/>
      <c r="Z44" s="54">
        <f t="shared" si="18"/>
        <v>111</v>
      </c>
      <c r="AA44" s="772">
        <f t="shared" si="15"/>
        <v>1</v>
      </c>
      <c r="AB44" s="772">
        <f t="shared" si="16"/>
        <v>1</v>
      </c>
      <c r="AC44" s="772">
        <f t="shared" si="17"/>
        <v>1</v>
      </c>
    </row>
    <row r="45" spans="1:29" ht="15" hidden="1">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42"/>
      <c r="M45" s="1133"/>
      <c r="N45" s="1133"/>
      <c r="O45" s="1133"/>
      <c r="P45" s="3236"/>
      <c r="Q45" s="1812">
        <f t="shared" si="11"/>
        <v>111</v>
      </c>
      <c r="R45" s="773" t="s">
        <v>21</v>
      </c>
      <c r="S45" s="774">
        <f t="shared" si="12"/>
        <v>100</v>
      </c>
      <c r="T45" s="773" t="s">
        <v>21</v>
      </c>
      <c r="U45" s="774">
        <f t="shared" si="13"/>
        <v>100</v>
      </c>
      <c r="V45" s="773" t="s">
        <v>21</v>
      </c>
      <c r="W45" s="774">
        <f t="shared" si="14"/>
        <v>100</v>
      </c>
      <c r="X45" s="1815"/>
      <c r="Y45" s="3194"/>
      <c r="Z45" s="1816">
        <f t="shared" si="18"/>
        <v>111</v>
      </c>
      <c r="AA45" s="1813">
        <f t="shared" si="15"/>
        <v>1</v>
      </c>
      <c r="AB45" s="1813">
        <f t="shared" si="16"/>
        <v>1</v>
      </c>
      <c r="AC45" s="1813">
        <f t="shared" si="17"/>
        <v>1</v>
      </c>
    </row>
    <row r="46" spans="1:29" ht="15.75" hidden="1"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42"/>
      <c r="M46" s="1133"/>
      <c r="N46" s="1133"/>
      <c r="O46" s="1133"/>
      <c r="P46" s="3237"/>
      <c r="Q46" s="1812">
        <f t="shared" si="11"/>
        <v>111</v>
      </c>
      <c r="R46" s="773" t="s">
        <v>20</v>
      </c>
      <c r="S46" s="774">
        <f t="shared" si="12"/>
        <v>100</v>
      </c>
      <c r="T46" s="773" t="s">
        <v>20</v>
      </c>
      <c r="U46" s="774">
        <f t="shared" si="13"/>
        <v>100</v>
      </c>
      <c r="V46" s="773" t="s">
        <v>20</v>
      </c>
      <c r="W46" s="774">
        <f t="shared" si="14"/>
        <v>100</v>
      </c>
      <c r="X46" s="1815"/>
      <c r="Y46" s="3238"/>
      <c r="Z46" s="1816">
        <f t="shared" si="18"/>
        <v>111</v>
      </c>
      <c r="AA46" s="1813">
        <f t="shared" si="15"/>
        <v>1</v>
      </c>
      <c r="AB46" s="1813">
        <f t="shared" si="16"/>
        <v>1</v>
      </c>
      <c r="AC46" s="1813">
        <f t="shared" si="17"/>
        <v>1</v>
      </c>
    </row>
    <row r="47" spans="1:29" ht="15">
      <c r="A47" s="478" t="s">
        <v>2580</v>
      </c>
      <c r="B47" s="479"/>
      <c r="C47" s="1409" t="s">
        <v>19</v>
      </c>
      <c r="D47" s="1410"/>
      <c r="E47" s="1411">
        <f>ROUND(24500*0.98,0)</f>
        <v>24010</v>
      </c>
      <c r="F47" s="1412"/>
      <c r="G47" s="1413">
        <f>ROUND(25000*0.98,0)</f>
        <v>24500</v>
      </c>
      <c r="H47" s="1414"/>
      <c r="I47" s="1411">
        <f>ROUND(22000*0.99,0)</f>
        <v>21780</v>
      </c>
      <c r="J47" s="1414"/>
      <c r="K47" s="2622"/>
      <c r="L47" s="1145"/>
      <c r="M47" s="1146"/>
      <c r="N47" s="1133"/>
      <c r="O47" s="1146"/>
      <c r="P47" s="3176" t="str">
        <f>A47</f>
        <v>成交单价（元/平方米）</v>
      </c>
      <c r="Q47" s="3176"/>
      <c r="R47" s="3234">
        <f>E47</f>
        <v>24010</v>
      </c>
      <c r="S47" s="3234"/>
      <c r="T47" s="3234">
        <f>G47</f>
        <v>24500</v>
      </c>
      <c r="U47" s="3234"/>
      <c r="V47" s="3234">
        <f>I47</f>
        <v>21780</v>
      </c>
      <c r="W47" s="3234"/>
      <c r="X47" s="758"/>
      <c r="Y47" s="780"/>
      <c r="Z47" s="758"/>
      <c r="AA47" s="758"/>
      <c r="AB47" s="758"/>
      <c r="AC47" s="758"/>
    </row>
    <row r="48" spans="1:29" ht="15.75" thickBot="1">
      <c r="A48" s="485" t="s">
        <v>2581</v>
      </c>
      <c r="B48" s="486"/>
      <c r="C48" s="1415">
        <f>R49</f>
        <v>22983</v>
      </c>
      <c r="D48" s="1416"/>
      <c r="E48" s="1417">
        <f>R48</f>
        <v>21981</v>
      </c>
      <c r="F48" s="1417"/>
      <c r="G48" s="1415">
        <f>T48</f>
        <v>23551</v>
      </c>
      <c r="H48" s="1416"/>
      <c r="I48" s="1417">
        <f>V48</f>
        <v>23416</v>
      </c>
      <c r="J48" s="1416"/>
      <c r="K48" s="2623"/>
      <c r="L48" s="1145"/>
      <c r="M48" s="1146"/>
      <c r="N48" s="1146"/>
      <c r="O48" s="1146"/>
      <c r="P48" s="3176" t="str">
        <f>A48</f>
        <v>比较价值（元/平方米）</v>
      </c>
      <c r="Q48" s="3176"/>
      <c r="R48" s="3234">
        <f>IF(F1="售价",ROUND(PRODUCT(R47,AA7:AA46),0),ROUND(PRODUCT(R47,AA7:AA46),1))</f>
        <v>21981</v>
      </c>
      <c r="S48" s="3234"/>
      <c r="T48" s="3234">
        <f>IF(F1="售价",ROUND(PRODUCT(T47,AB7:AB46),0),ROUND(PRODUCT(T47,AB7:AB46),1))</f>
        <v>23551</v>
      </c>
      <c r="U48" s="3234"/>
      <c r="V48" s="3234">
        <f>IF(F1="售价",ROUND(PRODUCT(V47,AC7:AC46),0),ROUND(PRODUCT(V47,AC7:AC46),1))</f>
        <v>23416</v>
      </c>
      <c r="W48" s="3234"/>
      <c r="X48" s="758"/>
      <c r="Y48" s="758"/>
      <c r="Z48" s="758"/>
      <c r="AA48" s="758"/>
      <c r="AB48" s="758"/>
      <c r="AC48" s="758"/>
    </row>
    <row r="49" spans="1:29" ht="15.75" thickBot="1">
      <c r="A49" s="491" t="s">
        <v>2582</v>
      </c>
      <c r="B49" s="492"/>
      <c r="C49" s="1418">
        <f>R49</f>
        <v>22983</v>
      </c>
      <c r="D49" s="1419"/>
      <c r="E49" s="1419"/>
      <c r="F49" s="1419"/>
      <c r="G49" s="1419"/>
      <c r="H49" s="1419"/>
      <c r="I49" s="1419"/>
      <c r="J49" s="1419"/>
      <c r="K49" s="2624"/>
      <c r="L49" s="1145"/>
      <c r="M49" s="1146"/>
      <c r="N49" s="1146"/>
      <c r="O49" s="1146"/>
      <c r="P49" s="3196" t="str">
        <f>A49</f>
        <v>估价对象XX用房的比较价值（楼面单价，元/平方米）</v>
      </c>
      <c r="Q49" s="3197"/>
      <c r="R49" s="3233">
        <f>IF(F1="售价",ROUND(AVERAGE(R48:V48),0),ROUND(AVERAGE(R48:V48),1))</f>
        <v>22983</v>
      </c>
      <c r="S49" s="3233"/>
      <c r="T49" s="3233"/>
      <c r="U49" s="3233"/>
      <c r="V49" s="3233"/>
      <c r="W49" s="323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2583</v>
      </c>
      <c r="D52" s="497"/>
      <c r="E52" s="498">
        <f>IF(E47&lt;E48,E48/E47-1,E47/E48-1)</f>
        <v>9.2306992402529486E-2</v>
      </c>
      <c r="F52" s="499" t="str">
        <f>IF(OR(E52&gt;=0.3,E52&lt;=-0.3),"超过30%","")</f>
        <v/>
      </c>
      <c r="G52" s="498">
        <f>IF(G47&lt;G48,G48/G47-1,G47/G48-1)</f>
        <v>4.029552885227794E-2</v>
      </c>
      <c r="H52" s="499" t="str">
        <f>IF(OR(G52&gt;=0.3,G52&lt;=-0.3),"超过30%","")</f>
        <v/>
      </c>
      <c r="I52" s="498">
        <f>IF(I47&lt;I48,I48/I47-1,I47/I48-1)</f>
        <v>7.5114784205693397E-2</v>
      </c>
      <c r="J52" s="499" t="str">
        <f>IF(OR(I52&gt;=0.3,I52&lt;=-0.3),"超过30%","")</f>
        <v/>
      </c>
      <c r="K52" s="1107"/>
      <c r="L52" s="1108"/>
      <c r="M52" s="1146"/>
      <c r="N52" s="1146"/>
      <c r="O52" s="1146"/>
    </row>
    <row r="53" spans="1:29" ht="13.5" customHeight="1">
      <c r="A53" s="1146"/>
      <c r="B53" s="1146"/>
      <c r="C53" s="496" t="s">
        <v>2584</v>
      </c>
      <c r="D53" s="500"/>
      <c r="E53" s="498">
        <f>IF(E48&lt;G48,G48/E48-1,E48/G48-1)</f>
        <v>7.1425321868886726E-2</v>
      </c>
      <c r="F53" s="499" t="str">
        <f>IF(OR(E53&gt;=0.2,E53&lt;=-0.2),"超过20%","")</f>
        <v/>
      </c>
      <c r="G53" s="498">
        <f>IF(G48&lt;I48,I48/G48-1,G48/I48-1)</f>
        <v>5.7652886914929535E-3</v>
      </c>
      <c r="H53" s="499" t="str">
        <f>IF(OR(G53&gt;=0.2,G53&lt;=-0.2),"超过20%","")</f>
        <v/>
      </c>
      <c r="I53" s="498">
        <f>IF(I48&lt;E48,E48/I48-1,I48/E48-1)</f>
        <v>6.5283654064874241E-2</v>
      </c>
      <c r="J53" s="499" t="str">
        <f>IF(OR(I53&gt;=0.2,I53&lt;=-0.2),"超过20%","")</f>
        <v/>
      </c>
      <c r="K53" s="1107"/>
      <c r="L53" s="1108"/>
      <c r="M53" s="1146"/>
      <c r="N53" s="1146"/>
      <c r="O53" s="1146"/>
    </row>
    <row r="54" spans="1:29" s="501" customFormat="1" ht="13.5" customHeight="1">
      <c r="A54" s="1147"/>
      <c r="B54" s="1147"/>
      <c r="C54" s="496" t="s">
        <v>2585</v>
      </c>
      <c r="D54" s="500"/>
      <c r="E54" s="498">
        <f>IF(E47&lt;G47,G47/E47-1,E47/G47-1)</f>
        <v>2.0408163265306145E-2</v>
      </c>
      <c r="F54" s="499" t="str">
        <f>IF(OR(E54&gt;=0.3,E54&lt;=-0.3),"超过30%","")</f>
        <v/>
      </c>
      <c r="G54" s="498">
        <f>IF(G47&lt;I47,I47/G47-1,G47/I47-1)</f>
        <v>0.12488521579430678</v>
      </c>
      <c r="H54" s="499" t="str">
        <f>IF(OR(G54&gt;=0.3,G54&lt;=-0.3),"超过30%","")</f>
        <v/>
      </c>
      <c r="I54" s="498">
        <f>IF(I47&lt;E47,E47/I47-1,I47/E47-1)</f>
        <v>0.10238751147842051</v>
      </c>
      <c r="J54" s="499" t="str">
        <f>IF(OR(I54&gt;=0.3,I54&lt;=-0.3),"超过30%","")</f>
        <v/>
      </c>
      <c r="K54" s="1150"/>
      <c r="L54" s="1151"/>
      <c r="M54" s="1147"/>
      <c r="N54" s="1147"/>
      <c r="O54" s="1147"/>
      <c r="P54" s="2626"/>
    </row>
    <row r="55" spans="1:29" s="501"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2" t="s">
        <v>2586</v>
      </c>
      <c r="B57" s="758"/>
      <c r="C57" s="763"/>
      <c r="D57" s="763"/>
      <c r="E57" s="763"/>
      <c r="F57" s="764"/>
      <c r="G57" s="764"/>
      <c r="H57" s="763"/>
      <c r="I57" s="763"/>
      <c r="J57" s="763"/>
      <c r="K57" s="1162"/>
      <c r="L57" s="1163"/>
      <c r="M57" s="1161"/>
      <c r="N57" s="1161"/>
      <c r="O57" s="1161"/>
      <c r="P57" s="2627"/>
      <c r="Q57" s="503"/>
    </row>
    <row r="58" spans="1:29" s="507" customFormat="1" ht="15">
      <c r="A58" s="504" t="s">
        <v>2587</v>
      </c>
      <c r="B58" s="505"/>
      <c r="C58" s="1578" t="str">
        <f>YEAR(C7)&amp;"-"&amp;MONTH(C7)</f>
        <v>2018-3</v>
      </c>
      <c r="D58" s="1577">
        <f>EDATE(C58,-1)</f>
        <v>43132</v>
      </c>
      <c r="E58" s="1577">
        <f>EDATE(D58,-1)</f>
        <v>43101</v>
      </c>
      <c r="F58" s="1577">
        <f t="shared" ref="F58:O58" si="19">EDATE(E58,-1)</f>
        <v>43070</v>
      </c>
      <c r="G58" s="1577">
        <f t="shared" si="19"/>
        <v>43040</v>
      </c>
      <c r="H58" s="1577">
        <f t="shared" si="19"/>
        <v>43009</v>
      </c>
      <c r="I58" s="1577">
        <f t="shared" si="19"/>
        <v>42979</v>
      </c>
      <c r="J58" s="1577">
        <f t="shared" si="19"/>
        <v>42948</v>
      </c>
      <c r="K58" s="1577">
        <f t="shared" si="19"/>
        <v>42917</v>
      </c>
      <c r="L58" s="1577">
        <f t="shared" si="19"/>
        <v>42887</v>
      </c>
      <c r="M58" s="1577">
        <f t="shared" si="19"/>
        <v>42856</v>
      </c>
      <c r="N58" s="1577">
        <f t="shared" si="19"/>
        <v>42826</v>
      </c>
      <c r="O58" s="1577">
        <f t="shared" si="19"/>
        <v>42795</v>
      </c>
      <c r="P58" s="1572"/>
    </row>
    <row r="59" spans="1:29" s="116" customFormat="1" ht="15">
      <c r="A59" s="508"/>
      <c r="B59" s="2628"/>
      <c r="C59" s="1575">
        <v>100</v>
      </c>
      <c r="D59" s="510"/>
      <c r="E59" s="511"/>
      <c r="F59" s="511"/>
      <c r="G59" s="511"/>
      <c r="H59" s="511"/>
      <c r="I59" s="511"/>
      <c r="J59" s="511"/>
      <c r="K59" s="511"/>
      <c r="L59" s="511"/>
      <c r="M59" s="512"/>
      <c r="N59" s="511"/>
      <c r="O59" s="512"/>
      <c r="P59" s="2629"/>
    </row>
    <row r="60" spans="1:29" s="116" customFormat="1" ht="15.75" thickBot="1">
      <c r="A60" s="514" t="s">
        <v>2588</v>
      </c>
      <c r="B60" s="515"/>
      <c r="C60" s="516"/>
      <c r="D60" s="517"/>
      <c r="E60" s="517"/>
      <c r="F60" s="517"/>
      <c r="G60" s="517"/>
      <c r="H60" s="517"/>
      <c r="I60" s="517"/>
      <c r="J60" s="517"/>
      <c r="K60" s="517"/>
      <c r="L60" s="517"/>
      <c r="M60" s="518"/>
      <c r="N60" s="517"/>
      <c r="O60" s="518"/>
      <c r="P60" s="2629"/>
      <c r="Q60" s="503"/>
    </row>
    <row r="61" spans="1:29" s="116" customFormat="1" ht="15">
      <c r="A61" s="520" t="s">
        <v>2589</v>
      </c>
      <c r="B61" s="509"/>
      <c r="C61" s="521" t="s">
        <v>2590</v>
      </c>
      <c r="D61" s="522"/>
      <c r="E61" s="522"/>
      <c r="F61" s="522"/>
      <c r="G61" s="522"/>
      <c r="H61" s="522"/>
      <c r="I61" s="522"/>
      <c r="J61" s="522"/>
      <c r="K61" s="522"/>
      <c r="L61" s="523"/>
      <c r="M61" s="524"/>
      <c r="N61" s="1153"/>
      <c r="O61" s="1153"/>
      <c r="P61" s="2630"/>
      <c r="Q61" s="503"/>
    </row>
    <row r="62" spans="1:29" s="116"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2591</v>
      </c>
      <c r="B63" s="527" t="s">
        <v>2557</v>
      </c>
      <c r="C63" s="528" t="str">
        <f>C9</f>
        <v>住宅</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54"/>
      <c r="O65" s="1154"/>
      <c r="P65" s="2631"/>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5"/>
      <c r="O66" s="1155"/>
      <c r="P66" s="2631"/>
      <c r="Q66" s="503"/>
    </row>
    <row r="67" spans="1:17" ht="15.75" thickTop="1">
      <c r="A67" s="533"/>
      <c r="B67" s="545" t="s">
        <v>2561</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1"/>
      <c r="Q67" s="503"/>
    </row>
    <row r="68" spans="1:17" ht="15">
      <c r="A68" s="533"/>
      <c r="B68" s="547"/>
      <c r="C68" s="548">
        <v>0</v>
      </c>
      <c r="D68" s="548">
        <v>1</v>
      </c>
      <c r="E68" s="548">
        <v>2</v>
      </c>
      <c r="F68" s="548">
        <v>3</v>
      </c>
      <c r="G68" s="548">
        <v>4</v>
      </c>
      <c r="H68" s="548"/>
      <c r="I68" s="548"/>
      <c r="J68" s="548"/>
      <c r="K68" s="549"/>
      <c r="L68" s="550"/>
      <c r="M68" s="551"/>
      <c r="N68" s="1154"/>
      <c r="O68" s="1154"/>
      <c r="P68" s="2631"/>
      <c r="Q68" s="503"/>
    </row>
    <row r="69" spans="1:17" ht="15.75" thickBot="1">
      <c r="A69" s="533"/>
      <c r="B69" s="534"/>
      <c r="C69" s="543">
        <v>100</v>
      </c>
      <c r="D69" s="543">
        <f t="shared" ref="D69:M69" si="22">C69-$K11</f>
        <v>95</v>
      </c>
      <c r="E69" s="543">
        <f t="shared" si="22"/>
        <v>90</v>
      </c>
      <c r="F69" s="543">
        <f t="shared" si="22"/>
        <v>85</v>
      </c>
      <c r="G69" s="543">
        <f t="shared" si="22"/>
        <v>80</v>
      </c>
      <c r="H69" s="543">
        <f t="shared" si="22"/>
        <v>75</v>
      </c>
      <c r="I69" s="543">
        <f t="shared" si="22"/>
        <v>70</v>
      </c>
      <c r="J69" s="543">
        <f t="shared" si="22"/>
        <v>65</v>
      </c>
      <c r="K69" s="543">
        <f t="shared" si="22"/>
        <v>60</v>
      </c>
      <c r="L69" s="543">
        <f t="shared" si="22"/>
        <v>55</v>
      </c>
      <c r="M69" s="544">
        <f t="shared" si="22"/>
        <v>50</v>
      </c>
      <c r="N69" s="1155"/>
      <c r="O69" s="1155"/>
      <c r="P69" s="2631"/>
      <c r="Q69" s="503"/>
    </row>
    <row r="70" spans="1:17" s="470" customFormat="1" ht="15.75" hidden="1" thickTop="1">
      <c r="A70" s="552"/>
      <c r="B70" s="537">
        <f>B12</f>
        <v>111</v>
      </c>
      <c r="C70" s="553"/>
      <c r="D70" s="553"/>
      <c r="E70" s="553"/>
      <c r="F70" s="553"/>
      <c r="G70" s="553"/>
      <c r="H70" s="554"/>
      <c r="I70" s="554"/>
      <c r="J70" s="554"/>
      <c r="K70" s="554"/>
      <c r="L70" s="555"/>
      <c r="M70" s="556"/>
      <c r="N70" s="1156"/>
      <c r="O70" s="1156"/>
      <c r="P70" s="2632"/>
      <c r="Q70" s="558"/>
    </row>
    <row r="71" spans="1:17" s="470" customFormat="1" ht="15.75" hidden="1" thickBot="1">
      <c r="A71" s="552"/>
      <c r="B71" s="542"/>
      <c r="C71" s="559"/>
      <c r="D71" s="535"/>
      <c r="E71" s="535"/>
      <c r="F71" s="535"/>
      <c r="G71" s="535"/>
      <c r="H71" s="535"/>
      <c r="I71" s="535"/>
      <c r="J71" s="535"/>
      <c r="K71" s="535"/>
      <c r="L71" s="535"/>
      <c r="M71" s="536"/>
      <c r="N71" s="1155"/>
      <c r="O71" s="1155"/>
      <c r="P71" s="2632"/>
      <c r="Q71" s="558"/>
    </row>
    <row r="72" spans="1:17" s="470" customFormat="1" ht="15.75" hidden="1" thickTop="1">
      <c r="A72" s="552"/>
      <c r="B72" s="537">
        <f>B13</f>
        <v>111</v>
      </c>
      <c r="C72" s="553"/>
      <c r="D72" s="553"/>
      <c r="E72" s="553"/>
      <c r="F72" s="553"/>
      <c r="G72" s="553"/>
      <c r="H72" s="554"/>
      <c r="I72" s="554"/>
      <c r="J72" s="554"/>
      <c r="K72" s="554"/>
      <c r="L72" s="555"/>
      <c r="M72" s="556"/>
      <c r="N72" s="1156"/>
      <c r="O72" s="1156"/>
      <c r="P72" s="2633"/>
      <c r="Q72" s="560"/>
    </row>
    <row r="73" spans="1:17" s="470" customFormat="1" ht="15.75" hidden="1" thickBot="1">
      <c r="A73" s="552"/>
      <c r="B73" s="542"/>
      <c r="C73" s="559"/>
      <c r="D73" s="559"/>
      <c r="E73" s="559"/>
      <c r="F73" s="559"/>
      <c r="G73" s="559"/>
      <c r="H73" s="561"/>
      <c r="I73" s="561"/>
      <c r="J73" s="561"/>
      <c r="K73" s="561"/>
      <c r="L73" s="561"/>
      <c r="M73" s="562"/>
      <c r="N73" s="1156"/>
      <c r="O73" s="1156"/>
      <c r="P73" s="2632"/>
      <c r="Q73" s="558"/>
    </row>
    <row r="74" spans="1:17" s="470" customFormat="1" ht="15.75" hidden="1" thickTop="1">
      <c r="A74" s="552"/>
      <c r="B74" s="545">
        <f>B14</f>
        <v>111</v>
      </c>
      <c r="C74" s="553"/>
      <c r="D74" s="553"/>
      <c r="E74" s="553"/>
      <c r="F74" s="553"/>
      <c r="G74" s="522"/>
      <c r="H74" s="563"/>
      <c r="I74" s="563"/>
      <c r="J74" s="563"/>
      <c r="K74" s="563"/>
      <c r="L74" s="564"/>
      <c r="M74" s="565"/>
      <c r="N74" s="1156"/>
      <c r="O74" s="1156"/>
      <c r="P74" s="2634"/>
      <c r="Q74" s="558"/>
    </row>
    <row r="75" spans="1:17" s="470" customFormat="1" ht="15.75" hidden="1" thickBot="1">
      <c r="A75" s="567"/>
      <c r="B75" s="568"/>
      <c r="C75" s="569"/>
      <c r="D75" s="569"/>
      <c r="E75" s="569"/>
      <c r="F75" s="569"/>
      <c r="G75" s="569"/>
      <c r="H75" s="570"/>
      <c r="I75" s="570"/>
      <c r="J75" s="570"/>
      <c r="K75" s="570"/>
      <c r="L75" s="570"/>
      <c r="M75" s="571"/>
      <c r="N75" s="1156"/>
      <c r="O75" s="1156"/>
      <c r="P75" s="2632"/>
      <c r="Q75" s="558"/>
    </row>
    <row r="76" spans="1:17" ht="15" thickTop="1">
      <c r="A76" s="526" t="s">
        <v>2562</v>
      </c>
      <c r="B76" s="527" t="s">
        <v>2599</v>
      </c>
      <c r="C76" s="572" t="s">
        <v>2600</v>
      </c>
      <c r="D76" s="572" t="s">
        <v>2601</v>
      </c>
      <c r="E76" s="572" t="s">
        <v>2602</v>
      </c>
      <c r="F76" s="572" t="s">
        <v>2603</v>
      </c>
      <c r="G76" s="572" t="s">
        <v>2604</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2102</v>
      </c>
      <c r="C82" s="538" t="s">
        <v>2607</v>
      </c>
      <c r="D82" s="538" t="s">
        <v>2608</v>
      </c>
      <c r="E82" s="538" t="s">
        <v>2609</v>
      </c>
      <c r="F82" s="538" t="s">
        <v>2610</v>
      </c>
      <c r="G82" s="538" t="s">
        <v>2611</v>
      </c>
      <c r="H82" s="538"/>
      <c r="I82" s="538"/>
      <c r="J82" s="538"/>
      <c r="K82" s="538"/>
      <c r="L82" s="538"/>
      <c r="M82" s="1384"/>
      <c r="N82" s="1155"/>
      <c r="O82" s="1155"/>
      <c r="P82" s="263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1"/>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54"/>
      <c r="O84" s="1154"/>
      <c r="P84" s="2631"/>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5"/>
      <c r="O85" s="1155"/>
      <c r="P85" s="2631"/>
      <c r="Q85" s="503"/>
    </row>
    <row r="86" spans="1:17" s="116" customFormat="1" ht="15.75" hidden="1" thickTop="1">
      <c r="A86" s="578"/>
      <c r="B86" s="537" t="s">
        <v>2613</v>
      </c>
      <c r="C86" s="553"/>
      <c r="D86" s="553"/>
      <c r="E86" s="553"/>
      <c r="F86" s="553"/>
      <c r="G86" s="553"/>
      <c r="H86" s="553"/>
      <c r="I86" s="553"/>
      <c r="J86" s="553"/>
      <c r="K86" s="553"/>
      <c r="L86" s="579"/>
      <c r="M86" s="580"/>
      <c r="N86" s="1153"/>
      <c r="O86" s="1153"/>
      <c r="P86" s="2631"/>
      <c r="Q86" s="503"/>
    </row>
    <row r="87" spans="1:17" s="116" customFormat="1" ht="15.75" hidden="1"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1"/>
      <c r="Q87" s="503"/>
    </row>
    <row r="88" spans="1:17" s="116" customFormat="1" ht="15.75" hidden="1" thickTop="1">
      <c r="A88" s="578"/>
      <c r="B88" s="537" t="s">
        <v>2614</v>
      </c>
      <c r="C88" s="553"/>
      <c r="D88" s="553"/>
      <c r="E88" s="553"/>
      <c r="F88" s="2636"/>
      <c r="G88" s="553"/>
      <c r="H88" s="553"/>
      <c r="I88" s="553"/>
      <c r="J88" s="553"/>
      <c r="K88" s="553"/>
      <c r="L88" s="553"/>
      <c r="M88" s="580"/>
      <c r="N88" s="1153"/>
      <c r="O88" s="1153"/>
      <c r="P88" s="2631"/>
      <c r="Q88" s="503"/>
    </row>
    <row r="89" spans="1:17" s="116" customFormat="1" ht="15.75" hidden="1"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1"/>
      <c r="Q89" s="503"/>
    </row>
    <row r="90" spans="1:17" s="470" customFormat="1" ht="15.75" hidden="1" thickTop="1">
      <c r="A90" s="552"/>
      <c r="B90" s="537">
        <f>B27</f>
        <v>111</v>
      </c>
      <c r="C90" s="553"/>
      <c r="D90" s="553"/>
      <c r="E90" s="553"/>
      <c r="F90" s="553"/>
      <c r="G90" s="553"/>
      <c r="H90" s="554"/>
      <c r="I90" s="554"/>
      <c r="J90" s="554"/>
      <c r="K90" s="554"/>
      <c r="L90" s="555"/>
      <c r="M90" s="556"/>
      <c r="N90" s="1156"/>
      <c r="O90" s="1156"/>
      <c r="P90" s="2632"/>
      <c r="Q90" s="558"/>
    </row>
    <row r="91" spans="1:17" s="470" customFormat="1" ht="15.75" hidden="1" thickBot="1">
      <c r="A91" s="552"/>
      <c r="B91" s="542"/>
      <c r="C91" s="559"/>
      <c r="D91" s="559"/>
      <c r="E91" s="559"/>
      <c r="F91" s="559"/>
      <c r="G91" s="559"/>
      <c r="H91" s="561"/>
      <c r="I91" s="561"/>
      <c r="J91" s="561"/>
      <c r="K91" s="561"/>
      <c r="L91" s="561"/>
      <c r="M91" s="562"/>
      <c r="N91" s="1156"/>
      <c r="O91" s="1156"/>
      <c r="P91" s="2632"/>
      <c r="Q91" s="558"/>
    </row>
    <row r="92" spans="1:17" ht="15.75" hidden="1" thickTop="1">
      <c r="A92" s="533"/>
      <c r="B92" s="537">
        <f>B28</f>
        <v>111</v>
      </c>
      <c r="C92" s="553"/>
      <c r="D92" s="553"/>
      <c r="E92" s="553"/>
      <c r="F92" s="553"/>
      <c r="G92" s="582"/>
      <c r="H92" s="582"/>
      <c r="I92" s="582"/>
      <c r="J92" s="582"/>
      <c r="K92" s="583"/>
      <c r="L92" s="584"/>
      <c r="M92" s="585"/>
      <c r="N92" s="1154"/>
      <c r="O92" s="1154"/>
      <c r="P92" s="2631"/>
      <c r="Q92" s="503"/>
    </row>
    <row r="93" spans="1:17" ht="15.75" hidden="1" thickBot="1">
      <c r="A93" s="533"/>
      <c r="B93" s="542"/>
      <c r="C93" s="559"/>
      <c r="D93" s="535"/>
      <c r="E93" s="535"/>
      <c r="F93" s="535"/>
      <c r="G93" s="535"/>
      <c r="H93" s="535"/>
      <c r="I93" s="535"/>
      <c r="J93" s="535"/>
      <c r="K93" s="535"/>
      <c r="L93" s="535"/>
      <c r="M93" s="536"/>
      <c r="N93" s="1155"/>
      <c r="O93" s="1155"/>
      <c r="P93" s="2631"/>
      <c r="Q93" s="503"/>
    </row>
    <row r="94" spans="1:17" ht="15.75" hidden="1" thickTop="1">
      <c r="A94" s="533"/>
      <c r="B94" s="537">
        <f>B29</f>
        <v>111</v>
      </c>
      <c r="C94" s="553"/>
      <c r="D94" s="553"/>
      <c r="E94" s="553"/>
      <c r="F94" s="553"/>
      <c r="G94" s="582"/>
      <c r="H94" s="582"/>
      <c r="I94" s="582"/>
      <c r="J94" s="582"/>
      <c r="K94" s="583"/>
      <c r="L94" s="584"/>
      <c r="M94" s="585"/>
      <c r="N94" s="1154"/>
      <c r="O94" s="1154"/>
      <c r="P94" s="2631"/>
      <c r="Q94" s="503"/>
    </row>
    <row r="95" spans="1:17" ht="15.75" hidden="1" thickBot="1">
      <c r="A95" s="533"/>
      <c r="B95" s="542"/>
      <c r="C95" s="559"/>
      <c r="D95" s="559"/>
      <c r="E95" s="559"/>
      <c r="F95" s="559"/>
      <c r="G95" s="535"/>
      <c r="H95" s="535"/>
      <c r="I95" s="535"/>
      <c r="J95" s="535"/>
      <c r="K95" s="535"/>
      <c r="L95" s="535"/>
      <c r="M95" s="536"/>
      <c r="N95" s="1155"/>
      <c r="O95" s="1155"/>
      <c r="P95" s="2631"/>
      <c r="Q95" s="503"/>
    </row>
    <row r="96" spans="1:17" ht="15.75" hidden="1" thickTop="1">
      <c r="A96" s="533"/>
      <c r="B96" s="537">
        <f>B30</f>
        <v>111</v>
      </c>
      <c r="C96" s="553"/>
      <c r="D96" s="553"/>
      <c r="E96" s="553"/>
      <c r="F96" s="553"/>
      <c r="G96" s="582"/>
      <c r="H96" s="582"/>
      <c r="I96" s="582"/>
      <c r="J96" s="582"/>
      <c r="K96" s="583"/>
      <c r="L96" s="584"/>
      <c r="M96" s="585"/>
      <c r="N96" s="1154"/>
      <c r="O96" s="1154"/>
      <c r="P96" s="2631"/>
      <c r="Q96" s="503"/>
    </row>
    <row r="97" spans="1:17" ht="15.75" hidden="1" thickBot="1">
      <c r="A97" s="533"/>
      <c r="B97" s="542"/>
      <c r="C97" s="569"/>
      <c r="D97" s="569"/>
      <c r="E97" s="569"/>
      <c r="F97" s="569"/>
      <c r="G97" s="535"/>
      <c r="H97" s="535"/>
      <c r="I97" s="535"/>
      <c r="J97" s="535"/>
      <c r="K97" s="535"/>
      <c r="L97" s="535"/>
      <c r="M97" s="536"/>
      <c r="N97" s="1155"/>
      <c r="O97" s="1155"/>
      <c r="P97" s="2631"/>
      <c r="Q97" s="503"/>
    </row>
    <row r="98" spans="1:17" ht="15.75" hidden="1" thickTop="1">
      <c r="A98" s="533"/>
      <c r="B98" s="545">
        <f>B31</f>
        <v>111</v>
      </c>
      <c r="C98" s="586"/>
      <c r="D98" s="586"/>
      <c r="E98" s="586"/>
      <c r="F98" s="586"/>
      <c r="G98" s="586"/>
      <c r="H98" s="586"/>
      <c r="I98" s="586"/>
      <c r="J98" s="586"/>
      <c r="K98" s="587"/>
      <c r="L98" s="588"/>
      <c r="M98" s="589"/>
      <c r="N98" s="1154"/>
      <c r="O98" s="1154"/>
      <c r="P98" s="2631"/>
      <c r="Q98" s="503"/>
    </row>
    <row r="99" spans="1:17" ht="15.75" hidden="1" thickBot="1">
      <c r="A99" s="2637"/>
      <c r="B99" s="568"/>
      <c r="C99" s="590"/>
      <c r="D99" s="590"/>
      <c r="E99" s="590"/>
      <c r="F99" s="590"/>
      <c r="G99" s="590"/>
      <c r="H99" s="590"/>
      <c r="I99" s="590"/>
      <c r="J99" s="590"/>
      <c r="K99" s="590"/>
      <c r="L99" s="590"/>
      <c r="M99" s="591"/>
      <c r="N99" s="1155"/>
      <c r="O99" s="1155"/>
      <c r="P99" s="2631"/>
      <c r="Q99" s="503"/>
    </row>
    <row r="100" spans="1:17" ht="15" thickTop="1">
      <c r="A100" s="526" t="s">
        <v>2566</v>
      </c>
      <c r="B100" s="527" t="s">
        <v>2615</v>
      </c>
      <c r="C100" s="2942" t="s">
        <v>3111</v>
      </c>
      <c r="D100" s="529" t="s">
        <v>3112</v>
      </c>
      <c r="E100" s="2942" t="s">
        <v>3113</v>
      </c>
      <c r="F100" s="2942" t="s">
        <v>3114</v>
      </c>
      <c r="G100" s="2942" t="s">
        <v>3115</v>
      </c>
      <c r="H100" s="2942" t="s">
        <v>3116</v>
      </c>
      <c r="I100" s="2942" t="s">
        <v>3117</v>
      </c>
      <c r="J100" s="529"/>
      <c r="K100" s="530"/>
      <c r="L100" s="531"/>
      <c r="M100" s="532"/>
      <c r="N100" s="1154"/>
      <c r="O100" s="1154"/>
      <c r="P100" s="263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1"/>
      <c r="Q101" s="503"/>
    </row>
    <row r="102" spans="1:17" ht="29.25" thickTop="1">
      <c r="A102" s="533"/>
      <c r="B102" s="537" t="s">
        <v>2616</v>
      </c>
      <c r="C102" s="577" t="str">
        <f>C103&amp;"(含)"&amp;"-"&amp;D103</f>
        <v>0(含)-10000</v>
      </c>
      <c r="D102" s="577" t="str">
        <f t="shared" ref="D102:L102" si="27">D103&amp;"(含)"&amp;"-"&amp;E103</f>
        <v>10000(含)-50000</v>
      </c>
      <c r="E102" s="577" t="str">
        <f t="shared" si="27"/>
        <v>50000(含)-100000</v>
      </c>
      <c r="F102" s="577" t="str">
        <f t="shared" si="27"/>
        <v>100000(含)-200000</v>
      </c>
      <c r="G102" s="577" t="str">
        <f t="shared" si="27"/>
        <v>200000(含)-500000</v>
      </c>
      <c r="H102" s="577" t="str">
        <f t="shared" si="27"/>
        <v>500000(含)-</v>
      </c>
      <c r="I102" s="577" t="str">
        <f t="shared" si="27"/>
        <v>(含)-</v>
      </c>
      <c r="J102" s="577" t="str">
        <f t="shared" si="27"/>
        <v>(含)-</v>
      </c>
      <c r="K102" s="577" t="str">
        <f>K103&amp;"(含)"&amp;"-"&amp;L103</f>
        <v>(含)-</v>
      </c>
      <c r="L102" s="577" t="str">
        <f t="shared" si="27"/>
        <v>(含)-</v>
      </c>
      <c r="M102" s="577" t="str">
        <f>M103&amp;"(含)"&amp;"-"&amp;P103</f>
        <v>(含)-</v>
      </c>
      <c r="N102" s="1153"/>
      <c r="O102" s="1153"/>
      <c r="P102" s="2631"/>
      <c r="Q102" s="503"/>
    </row>
    <row r="103" spans="1:17" s="470" customFormat="1">
      <c r="A103" s="592"/>
      <c r="B103" s="593"/>
      <c r="C103" s="594">
        <v>0</v>
      </c>
      <c r="D103" s="594">
        <v>10000</v>
      </c>
      <c r="E103" s="594">
        <v>50000</v>
      </c>
      <c r="F103" s="594">
        <v>100000</v>
      </c>
      <c r="G103" s="594">
        <v>200000</v>
      </c>
      <c r="H103" s="594">
        <v>500000</v>
      </c>
      <c r="I103" s="594"/>
      <c r="J103" s="595"/>
      <c r="K103" s="595"/>
      <c r="L103" s="596"/>
      <c r="M103" s="597"/>
      <c r="N103" s="1156"/>
      <c r="O103" s="1156"/>
      <c r="P103" s="2632"/>
      <c r="Q103" s="558"/>
    </row>
    <row r="104" spans="1:17" s="470" customFormat="1" ht="15.75" thickBot="1">
      <c r="A104" s="552"/>
      <c r="B104" s="542"/>
      <c r="C104" s="559">
        <v>100</v>
      </c>
      <c r="D104" s="535">
        <v>101</v>
      </c>
      <c r="E104" s="535">
        <v>102</v>
      </c>
      <c r="F104" s="535">
        <v>103</v>
      </c>
      <c r="G104" s="535">
        <v>104</v>
      </c>
      <c r="H104" s="535">
        <v>105</v>
      </c>
      <c r="I104" s="535"/>
      <c r="J104" s="535"/>
      <c r="K104" s="535"/>
      <c r="L104" s="535"/>
      <c r="M104" s="535"/>
      <c r="N104" s="1155"/>
      <c r="O104" s="1155"/>
      <c r="P104" s="2632"/>
      <c r="Q104" s="558"/>
    </row>
    <row r="105" spans="1:17" ht="15" thickTop="1">
      <c r="A105" s="598"/>
      <c r="B105" s="537" t="s">
        <v>2617</v>
      </c>
      <c r="C105" s="2951" t="s">
        <v>3121</v>
      </c>
      <c r="D105" s="2951" t="s">
        <v>3130</v>
      </c>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1"/>
      <c r="Q106" s="503"/>
    </row>
    <row r="107" spans="1:17" ht="15" thickTop="1">
      <c r="A107" s="598"/>
      <c r="B107" s="537" t="s">
        <v>2618</v>
      </c>
      <c r="C107" s="2953" t="s">
        <v>3126</v>
      </c>
      <c r="D107" s="2953" t="s">
        <v>3128</v>
      </c>
      <c r="E107" s="2953" t="s">
        <v>3129</v>
      </c>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1"/>
      <c r="Q108" s="503"/>
    </row>
    <row r="109" spans="1:17" ht="15" thickTop="1">
      <c r="A109" s="598"/>
      <c r="B109" s="537" t="s">
        <v>2619</v>
      </c>
      <c r="C109" s="2951" t="s">
        <v>3122</v>
      </c>
      <c r="D109" s="553"/>
      <c r="E109" s="553"/>
      <c r="F109" s="582"/>
      <c r="G109" s="582"/>
      <c r="H109" s="582"/>
      <c r="I109" s="582"/>
      <c r="J109" s="582"/>
      <c r="K109" s="583"/>
      <c r="L109" s="584"/>
      <c r="M109" s="585"/>
      <c r="N109" s="1154"/>
      <c r="O109" s="1154"/>
      <c r="P109" s="263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1"/>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2"/>
      <c r="Q113" s="558"/>
    </row>
    <row r="114" spans="1:17" ht="15" thickTop="1">
      <c r="A114" s="598"/>
      <c r="B114" s="537" t="s">
        <v>2620</v>
      </c>
      <c r="C114" s="2951" t="s">
        <v>3124</v>
      </c>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1"/>
      <c r="Q115" s="503"/>
    </row>
    <row r="116" spans="1:17" ht="15" thickTop="1">
      <c r="A116" s="598"/>
      <c r="B116" s="537" t="s">
        <v>2621</v>
      </c>
      <c r="C116" s="2951" t="s">
        <v>3125</v>
      </c>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hidden="1" thickTop="1">
      <c r="A118" s="598"/>
      <c r="B118" s="537" t="s">
        <v>2622</v>
      </c>
      <c r="C118" s="582"/>
      <c r="D118" s="582"/>
      <c r="E118" s="582"/>
      <c r="F118" s="582"/>
      <c r="G118" s="582"/>
      <c r="H118" s="582"/>
      <c r="I118" s="582"/>
      <c r="J118" s="582"/>
      <c r="K118" s="583"/>
      <c r="L118" s="584"/>
      <c r="M118" s="585"/>
      <c r="N118" s="1154"/>
      <c r="O118" s="1154"/>
      <c r="P118" s="2631"/>
      <c r="Q118" s="503"/>
    </row>
    <row r="119" spans="1:17" ht="15.75" hidden="1"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1"/>
      <c r="Q119" s="503"/>
    </row>
    <row r="120" spans="1:17" s="470" customFormat="1" ht="28.5" thickTop="1">
      <c r="A120" s="592"/>
      <c r="B120" s="537" t="s">
        <v>2577</v>
      </c>
      <c r="C120" s="553" t="s">
        <v>3118</v>
      </c>
      <c r="D120" s="553" t="s">
        <v>3119</v>
      </c>
      <c r="E120" s="553"/>
      <c r="F120" s="553"/>
      <c r="G120" s="553"/>
      <c r="H120" s="553"/>
      <c r="I120" s="553"/>
      <c r="J120" s="553"/>
      <c r="K120" s="553"/>
      <c r="L120" s="579"/>
      <c r="M120" s="580"/>
      <c r="N120" s="1156"/>
      <c r="O120" s="1156"/>
      <c r="P120" s="2632"/>
      <c r="Q120" s="558"/>
    </row>
    <row r="121" spans="1:17" s="470" customFormat="1" ht="15.75" thickBot="1">
      <c r="A121" s="552"/>
      <c r="B121" s="534"/>
      <c r="C121" s="559">
        <v>100</v>
      </c>
      <c r="D121" s="535">
        <v>98</v>
      </c>
      <c r="E121" s="535"/>
      <c r="F121" s="535"/>
      <c r="G121" s="535"/>
      <c r="H121" s="535"/>
      <c r="I121" s="535"/>
      <c r="J121" s="535"/>
      <c r="K121" s="535"/>
      <c r="L121" s="535"/>
      <c r="M121" s="535"/>
      <c r="N121" s="1156"/>
      <c r="O121" s="1156"/>
      <c r="P121" s="2632"/>
      <c r="Q121" s="558"/>
    </row>
    <row r="122" spans="1:17" ht="15" thickTop="1">
      <c r="A122" s="598"/>
      <c r="B122" s="537" t="s">
        <v>2623</v>
      </c>
      <c r="C122" s="553" t="s">
        <v>3070</v>
      </c>
      <c r="D122" s="553" t="s">
        <v>3071</v>
      </c>
      <c r="E122" s="553" t="s">
        <v>3072</v>
      </c>
      <c r="F122" s="582" t="s">
        <v>3073</v>
      </c>
      <c r="G122" s="582"/>
      <c r="H122" s="582"/>
      <c r="I122" s="582"/>
      <c r="J122" s="582"/>
      <c r="K122" s="583"/>
      <c r="L122" s="584"/>
      <c r="M122" s="585"/>
      <c r="N122" s="1154"/>
      <c r="O122" s="1154"/>
      <c r="P122" s="2631"/>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5"/>
      <c r="O123" s="1155"/>
      <c r="P123" s="2631"/>
      <c r="Q123" s="503"/>
    </row>
    <row r="124" spans="1:17" ht="15" hidden="1" thickTop="1">
      <c r="A124" s="598"/>
      <c r="B124" s="537" t="s">
        <v>2624</v>
      </c>
      <c r="C124" s="577" t="s">
        <v>2600</v>
      </c>
      <c r="D124" s="577" t="s">
        <v>2601</v>
      </c>
      <c r="E124" s="577" t="s">
        <v>2602</v>
      </c>
      <c r="F124" s="577" t="s">
        <v>2603</v>
      </c>
      <c r="G124" s="577" t="s">
        <v>2604</v>
      </c>
      <c r="H124" s="538"/>
      <c r="I124" s="538"/>
      <c r="J124" s="538"/>
      <c r="K124" s="539"/>
      <c r="L124" s="540"/>
      <c r="M124" s="541"/>
      <c r="N124" s="1154"/>
      <c r="O124" s="1154"/>
      <c r="P124" s="2632"/>
      <c r="Q124" s="503"/>
    </row>
    <row r="125" spans="1:17" ht="15.75" hidden="1"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hidden="1"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hidden="1" thickBot="1">
      <c r="A127" s="552"/>
      <c r="B127" s="542"/>
      <c r="C127" s="559"/>
      <c r="D127" s="535"/>
      <c r="E127" s="535"/>
      <c r="F127" s="535"/>
      <c r="G127" s="559"/>
      <c r="H127" s="561"/>
      <c r="I127" s="561"/>
      <c r="J127" s="561"/>
      <c r="K127" s="561"/>
      <c r="L127" s="561"/>
      <c r="M127" s="562"/>
      <c r="N127" s="1156"/>
      <c r="O127" s="1156"/>
      <c r="P127" s="2632"/>
      <c r="Q127" s="558"/>
    </row>
    <row r="128" spans="1:17" ht="15" hidden="1" thickTop="1">
      <c r="A128" s="598"/>
      <c r="B128" s="537">
        <f>B45</f>
        <v>111</v>
      </c>
      <c r="C128" s="553"/>
      <c r="D128" s="553"/>
      <c r="E128" s="553"/>
      <c r="F128" s="553"/>
      <c r="G128" s="582"/>
      <c r="H128" s="582"/>
      <c r="I128" s="582"/>
      <c r="J128" s="582"/>
      <c r="K128" s="583"/>
      <c r="L128" s="584"/>
      <c r="M128" s="585"/>
      <c r="N128" s="1154"/>
      <c r="O128" s="1154"/>
      <c r="P128" s="2631"/>
      <c r="Q128" s="503"/>
    </row>
    <row r="129" spans="1:17" ht="15.75" hidden="1" thickBot="1">
      <c r="A129" s="533"/>
      <c r="B129" s="542"/>
      <c r="C129" s="559"/>
      <c r="D129" s="559"/>
      <c r="E129" s="559"/>
      <c r="F129" s="559"/>
      <c r="G129" s="535"/>
      <c r="H129" s="535"/>
      <c r="I129" s="535"/>
      <c r="J129" s="535"/>
      <c r="K129" s="535"/>
      <c r="L129" s="535"/>
      <c r="M129" s="536"/>
      <c r="N129" s="1155"/>
      <c r="O129" s="1155"/>
      <c r="P129" s="2631"/>
      <c r="Q129" s="503"/>
    </row>
    <row r="130" spans="1:17" ht="15" hidden="1" thickTop="1">
      <c r="A130" s="598"/>
      <c r="B130" s="545">
        <f>B46</f>
        <v>111</v>
      </c>
      <c r="C130" s="553"/>
      <c r="D130" s="553"/>
      <c r="E130" s="553"/>
      <c r="F130" s="553"/>
      <c r="G130" s="586"/>
      <c r="H130" s="586"/>
      <c r="I130" s="586"/>
      <c r="J130" s="586"/>
      <c r="K130" s="522"/>
      <c r="L130" s="523"/>
      <c r="M130" s="589"/>
      <c r="N130" s="1154"/>
      <c r="O130" s="1154"/>
      <c r="P130" s="2631"/>
      <c r="Q130" s="503"/>
    </row>
    <row r="131" spans="1:17" ht="15.75" hidden="1" thickBot="1">
      <c r="A131" s="2637"/>
      <c r="B131" s="568"/>
      <c r="C131" s="569"/>
      <c r="D131" s="569"/>
      <c r="E131" s="569"/>
      <c r="F131" s="569"/>
      <c r="G131" s="590"/>
      <c r="H131" s="590"/>
      <c r="I131" s="590"/>
      <c r="J131" s="590"/>
      <c r="K131" s="590"/>
      <c r="L131" s="590"/>
      <c r="M131" s="591"/>
      <c r="N131" s="1155"/>
      <c r="O131" s="1155"/>
      <c r="P131" s="2631"/>
      <c r="Q131" s="503"/>
    </row>
    <row r="132" spans="1:17" ht="15" thickTop="1"/>
    <row r="136" spans="1:17" ht="15" thickBot="1">
      <c r="B136" s="2638" t="s">
        <v>2625</v>
      </c>
    </row>
    <row r="137" spans="1:17" ht="15">
      <c r="B137" s="2639" t="s">
        <v>2626</v>
      </c>
      <c r="C137" s="2640"/>
      <c r="D137" s="2640"/>
      <c r="E137" s="2640"/>
      <c r="F137" s="2640"/>
      <c r="G137" s="2641"/>
      <c r="H137" s="2642"/>
      <c r="I137" s="2643" t="s">
        <v>2627</v>
      </c>
      <c r="J137" s="2640"/>
      <c r="K137" s="2644"/>
    </row>
    <row r="138" spans="1:17" ht="15">
      <c r="B138" s="2645"/>
      <c r="C138" s="145" t="s">
        <v>2628</v>
      </c>
      <c r="D138" s="145" t="s">
        <v>2629</v>
      </c>
      <c r="E138" s="2646" t="s">
        <v>2630</v>
      </c>
      <c r="F138" s="2647" t="s">
        <v>2631</v>
      </c>
      <c r="G138" s="145" t="s">
        <v>2629</v>
      </c>
      <c r="H138" s="146" t="s">
        <v>2630</v>
      </c>
      <c r="I138" s="2648"/>
      <c r="J138" s="145" t="s">
        <v>2632</v>
      </c>
      <c r="K138" s="146" t="s">
        <v>2633</v>
      </c>
    </row>
    <row r="139" spans="1:17" ht="15">
      <c r="B139" s="1086">
        <v>6</v>
      </c>
      <c r="C139" s="1087">
        <v>96</v>
      </c>
      <c r="D139" s="2649" t="s">
        <v>2634</v>
      </c>
      <c r="E139" s="1088">
        <v>100</v>
      </c>
      <c r="F139" s="1089">
        <v>102.5</v>
      </c>
      <c r="G139" s="2649" t="s">
        <v>2634</v>
      </c>
      <c r="H139" s="1090">
        <v>105</v>
      </c>
      <c r="I139" s="2650" t="s">
        <v>2635</v>
      </c>
      <c r="J139" s="1087">
        <v>20</v>
      </c>
      <c r="K139" s="1091">
        <f>C145/(J139-2)</f>
        <v>4.0555555555555553E-3</v>
      </c>
    </row>
    <row r="140" spans="1:17" ht="15">
      <c r="B140" s="1092">
        <v>5</v>
      </c>
      <c r="C140" s="1093">
        <v>100</v>
      </c>
      <c r="D140" s="1093"/>
      <c r="E140" s="1094"/>
      <c r="F140" s="1095">
        <v>102</v>
      </c>
      <c r="G140" s="1093"/>
      <c r="H140" s="1096"/>
      <c r="I140" s="2651" t="s">
        <v>2636</v>
      </c>
      <c r="J140" s="314">
        <f>ROUNDUP((J139-1)/2,0)</f>
        <v>10</v>
      </c>
      <c r="K140" s="1097">
        <v>100</v>
      </c>
    </row>
    <row r="141" spans="1:17" ht="15">
      <c r="B141" s="1092">
        <v>4</v>
      </c>
      <c r="C141" s="1093">
        <v>102</v>
      </c>
      <c r="D141" s="1093"/>
      <c r="E141" s="1094"/>
      <c r="F141" s="1095">
        <v>101.5</v>
      </c>
      <c r="G141" s="1093"/>
      <c r="H141" s="1096"/>
      <c r="I141" s="2651" t="s">
        <v>2637</v>
      </c>
      <c r="J141" s="314">
        <v>1</v>
      </c>
      <c r="K141" s="1098">
        <f>ROUND(100+(J141-J140)*K139*100,1)</f>
        <v>96.4</v>
      </c>
    </row>
    <row r="142" spans="1:17" ht="15">
      <c r="B142" s="1092">
        <v>3</v>
      </c>
      <c r="C142" s="1093">
        <v>103</v>
      </c>
      <c r="D142" s="1093"/>
      <c r="E142" s="1094"/>
      <c r="F142" s="1095">
        <v>101</v>
      </c>
      <c r="G142" s="1093"/>
      <c r="H142" s="1096"/>
      <c r="I142" s="2651" t="s">
        <v>2638</v>
      </c>
      <c r="J142" s="314">
        <f>J139</f>
        <v>20</v>
      </c>
      <c r="K142" s="1099">
        <v>95</v>
      </c>
    </row>
    <row r="143" spans="1:17" ht="15">
      <c r="B143" s="1092">
        <v>2</v>
      </c>
      <c r="C143" s="1093">
        <v>100</v>
      </c>
      <c r="D143" s="1093"/>
      <c r="E143" s="1094"/>
      <c r="F143" s="1095">
        <v>100.5</v>
      </c>
      <c r="G143" s="1093"/>
      <c r="H143" s="1096"/>
      <c r="I143" s="2651" t="s">
        <v>2639</v>
      </c>
      <c r="J143" s="1093">
        <v>15</v>
      </c>
      <c r="K143" s="1098">
        <f>ROUND(100+(J143-J140)*K139*100,1)</f>
        <v>102</v>
      </c>
    </row>
    <row r="144" spans="1:17" ht="15">
      <c r="B144" s="1092">
        <v>1</v>
      </c>
      <c r="C144" s="1093">
        <v>98</v>
      </c>
      <c r="D144" s="2652" t="s">
        <v>2640</v>
      </c>
      <c r="E144" s="1094">
        <v>102</v>
      </c>
      <c r="F144" s="1100">
        <v>100</v>
      </c>
      <c r="G144" s="2652" t="s">
        <v>2640</v>
      </c>
      <c r="H144" s="1096">
        <v>105</v>
      </c>
      <c r="I144" s="2651" t="s">
        <v>2639</v>
      </c>
      <c r="J144" s="1093">
        <v>18</v>
      </c>
      <c r="K144" s="1098">
        <f>ROUND(100+(J144-J140)*K139*100,1)</f>
        <v>103.2</v>
      </c>
    </row>
    <row r="145" spans="2:11" ht="15.75" thickBot="1">
      <c r="B145" s="2653" t="s">
        <v>2641</v>
      </c>
      <c r="C145" s="1101">
        <f>ROUND(MAX(C139:C144)/MIN(C139:C144)-1,3)</f>
        <v>7.2999999999999995E-2</v>
      </c>
      <c r="D145" s="1102"/>
      <c r="E145" s="1102"/>
      <c r="F145" s="2654" t="s">
        <v>2642</v>
      </c>
      <c r="G145" s="2655"/>
      <c r="H145" s="2656"/>
      <c r="I145" s="2657" t="s">
        <v>2639</v>
      </c>
      <c r="J145" s="1103">
        <v>8</v>
      </c>
      <c r="K145" s="1104">
        <f>ROUND(100+(J145-J140)*K139*100,1)</f>
        <v>99.2</v>
      </c>
    </row>
    <row r="147" spans="2:11">
      <c r="B147" s="2638" t="s">
        <v>2643</v>
      </c>
    </row>
    <row r="148" spans="2:11">
      <c r="B148" s="2638"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2531</v>
      </c>
      <c r="B1" s="2583" t="s">
        <v>2645</v>
      </c>
      <c r="C1" s="1636" t="s">
        <v>2533</v>
      </c>
      <c r="D1" s="1623"/>
      <c r="E1" s="2658"/>
      <c r="F1" s="2585"/>
      <c r="G1" s="1633" t="s">
        <v>2646</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7" customFormat="1" ht="28.5" customHeight="1" thickTop="1">
      <c r="A2" s="1619" t="s">
        <v>2333</v>
      </c>
      <c r="B2" s="1420" t="e">
        <f ca="1">IF(C2="——",ROUND(C49*D3/10000,0),ROUND(C49*D3/10000,0)-D2)</f>
        <v>#DIV/0!</v>
      </c>
      <c r="C2" s="2587"/>
      <c r="D2" s="1367" t="e">
        <f ca="1">SUMIF(INDIRECT("'"&amp;F2&amp;"'"&amp;"!A:A"),"承租人权益价值",INDIRECT("'"&amp;F2&amp;"'"&amp;"!c:c"))</f>
        <v>#REF!</v>
      </c>
      <c r="E2" s="2588" t="s">
        <v>2334</v>
      </c>
      <c r="F2" s="2589"/>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7" customFormat="1" ht="28.5" customHeight="1" thickBot="1">
      <c r="A3" s="246" t="s">
        <v>2335</v>
      </c>
      <c r="B3" s="608" t="e">
        <f ca="1">IF(C2="——",C49,ROUND(B2*10000/D3,0))</f>
        <v>#DIV/0!</v>
      </c>
      <c r="C3" s="399" t="s">
        <v>2647</v>
      </c>
      <c r="D3" s="398">
        <f>IF(D1="",'数据-汇总表'!E3,SUMIF('数据-汇总表'!$C19:$C33,D1,'数据-汇总表'!$E19:$E33))</f>
        <v>36223.67</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0" t="s">
        <v>2648</v>
      </c>
      <c r="B4" s="401"/>
      <c r="C4" s="3177" t="s">
        <v>2649</v>
      </c>
      <c r="D4" s="3178"/>
      <c r="E4" s="3179" t="s">
        <v>2650</v>
      </c>
      <c r="F4" s="3180"/>
      <c r="G4" s="3177" t="s">
        <v>2651</v>
      </c>
      <c r="H4" s="3178"/>
      <c r="I4" s="3177" t="s">
        <v>2652</v>
      </c>
      <c r="J4" s="3178"/>
      <c r="K4" s="609" t="s">
        <v>2653</v>
      </c>
      <c r="L4" s="1132"/>
      <c r="M4" s="1133"/>
      <c r="N4" s="1133"/>
      <c r="O4" s="1133"/>
      <c r="P4" s="3181" t="s">
        <v>2654</v>
      </c>
      <c r="Q4" s="3182"/>
      <c r="R4" s="3162" t="s">
        <v>2650</v>
      </c>
      <c r="S4" s="3163"/>
      <c r="T4" s="3162" t="s">
        <v>2651</v>
      </c>
      <c r="U4" s="3163"/>
      <c r="V4" s="3189" t="s">
        <v>2652</v>
      </c>
      <c r="W4" s="3189"/>
      <c r="X4" s="1815"/>
      <c r="Y4" s="3162" t="s">
        <v>2654</v>
      </c>
      <c r="Z4" s="3163"/>
      <c r="AA4" s="3157" t="s">
        <v>2650</v>
      </c>
      <c r="AB4" s="3189" t="s">
        <v>2651</v>
      </c>
      <c r="AC4" s="3157" t="s">
        <v>2652</v>
      </c>
    </row>
    <row r="5" spans="1:29" ht="15">
      <c r="A5" s="403"/>
      <c r="B5" s="404"/>
      <c r="C5" s="3168" t="s">
        <v>2545</v>
      </c>
      <c r="D5" s="3169"/>
      <c r="E5" s="3241" t="s">
        <v>2546</v>
      </c>
      <c r="F5" s="3242"/>
      <c r="G5" s="3168" t="s">
        <v>2547</v>
      </c>
      <c r="H5" s="3169"/>
      <c r="I5" s="3168" t="s">
        <v>2548</v>
      </c>
      <c r="J5" s="3169"/>
      <c r="K5" s="609"/>
      <c r="L5" s="1132"/>
      <c r="M5" s="1133"/>
      <c r="N5" s="1133"/>
      <c r="O5" s="1133"/>
      <c r="P5" s="3183"/>
      <c r="Q5" s="3184"/>
      <c r="R5" s="3164"/>
      <c r="S5" s="3165"/>
      <c r="T5" s="3164"/>
      <c r="U5" s="3165"/>
      <c r="V5" s="3189"/>
      <c r="W5" s="3189"/>
      <c r="X5" s="1815"/>
      <c r="Y5" s="3164"/>
      <c r="Z5" s="3165"/>
      <c r="AA5" s="3158"/>
      <c r="AB5" s="3189"/>
      <c r="AC5" s="3158"/>
    </row>
    <row r="6" spans="1:29" ht="15.75" thickBot="1">
      <c r="A6" s="405"/>
      <c r="B6" s="406"/>
      <c r="C6" s="3170" t="s">
        <v>2549</v>
      </c>
      <c r="D6" s="3171"/>
      <c r="E6" s="3243" t="s">
        <v>2549</v>
      </c>
      <c r="F6" s="3244"/>
      <c r="G6" s="3170" t="s">
        <v>2549</v>
      </c>
      <c r="H6" s="3171"/>
      <c r="I6" s="3170" t="s">
        <v>2549</v>
      </c>
      <c r="J6" s="3171"/>
      <c r="K6" s="609" t="s">
        <v>2550</v>
      </c>
      <c r="L6" s="1132"/>
      <c r="M6" s="1133"/>
      <c r="N6" s="1133"/>
      <c r="O6" s="1133"/>
      <c r="P6" s="3185"/>
      <c r="Q6" s="3186"/>
      <c r="R6" s="3164"/>
      <c r="S6" s="3165"/>
      <c r="T6" s="3187"/>
      <c r="U6" s="3188"/>
      <c r="V6" s="3189"/>
      <c r="W6" s="3189"/>
      <c r="X6" s="1815"/>
      <c r="Y6" s="3187"/>
      <c r="Z6" s="3188"/>
      <c r="AA6" s="3159"/>
      <c r="AB6" s="3189"/>
      <c r="AC6" s="3159"/>
    </row>
    <row r="7" spans="1:29" s="116" customFormat="1" ht="15.75" thickBot="1">
      <c r="A7" s="407" t="s">
        <v>2551</v>
      </c>
      <c r="B7" s="408"/>
      <c r="C7" s="409">
        <f>'数据-取费表'!B2</f>
        <v>43160</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60" t="s">
        <v>2552</v>
      </c>
      <c r="Q7" s="3190"/>
      <c r="R7" s="769" t="s">
        <v>17</v>
      </c>
      <c r="S7" s="770">
        <f t="shared" ref="S7:S15" si="0">F7</f>
        <v>0</v>
      </c>
      <c r="T7" s="769" t="s">
        <v>17</v>
      </c>
      <c r="U7" s="770">
        <f t="shared" ref="U7:U15" si="1">H7</f>
        <v>0</v>
      </c>
      <c r="V7" s="769" t="s">
        <v>17</v>
      </c>
      <c r="W7" s="770">
        <f t="shared" ref="W7:W15" si="2">J7</f>
        <v>0</v>
      </c>
      <c r="X7" s="771"/>
      <c r="Y7" s="3160" t="s">
        <v>2552</v>
      </c>
      <c r="Z7" s="3161"/>
      <c r="AA7" s="772" t="e">
        <f>D7/F7</f>
        <v>#DIV/0!</v>
      </c>
      <c r="AB7" s="772" t="e">
        <f>D7/H7</f>
        <v>#DIV/0!</v>
      </c>
      <c r="AC7" s="772" t="e">
        <f>D7/J7</f>
        <v>#DIV/0!</v>
      </c>
    </row>
    <row r="8" spans="1:29" s="116" customFormat="1" ht="15.75" thickBot="1">
      <c r="A8" s="407" t="s">
        <v>2553</v>
      </c>
      <c r="B8" s="408"/>
      <c r="C8" s="413" t="s">
        <v>2655</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60" t="s">
        <v>2555</v>
      </c>
      <c r="Q8" s="3161"/>
      <c r="R8" s="769" t="s">
        <v>17</v>
      </c>
      <c r="S8" s="770">
        <f t="shared" si="0"/>
        <v>0</v>
      </c>
      <c r="T8" s="769" t="s">
        <v>17</v>
      </c>
      <c r="U8" s="770">
        <f t="shared" si="1"/>
        <v>0</v>
      </c>
      <c r="V8" s="769" t="s">
        <v>17</v>
      </c>
      <c r="W8" s="770">
        <f t="shared" si="2"/>
        <v>0</v>
      </c>
      <c r="X8" s="771"/>
      <c r="Y8" s="3160" t="s">
        <v>2555</v>
      </c>
      <c r="Z8" s="3161"/>
      <c r="AA8" s="772" t="e">
        <f t="shared" ref="AA8:AA46" si="3">D8/F8</f>
        <v>#DIV/0!</v>
      </c>
      <c r="AB8" s="772" t="e">
        <f t="shared" ref="AB8:AB46" si="4">D8/H8</f>
        <v>#DIV/0!</v>
      </c>
      <c r="AC8" s="772" t="e">
        <f t="shared" ref="AC8:AC46" si="5">D8/J8</f>
        <v>#DIV/0!</v>
      </c>
    </row>
    <row r="9" spans="1:29" s="116" customFormat="1">
      <c r="A9" s="414" t="s">
        <v>2556</v>
      </c>
      <c r="B9" s="70" t="s">
        <v>2557</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00" t="s">
        <v>2558</v>
      </c>
      <c r="Q9" s="1797" t="str">
        <f t="shared" ref="Q9:Q15" si="6">B9</f>
        <v>用途</v>
      </c>
      <c r="R9" s="769" t="s">
        <v>17</v>
      </c>
      <c r="S9" s="770">
        <f t="shared" si="0"/>
        <v>100</v>
      </c>
      <c r="T9" s="769" t="s">
        <v>17</v>
      </c>
      <c r="U9" s="770">
        <f t="shared" si="1"/>
        <v>100</v>
      </c>
      <c r="V9" s="769" t="s">
        <v>17</v>
      </c>
      <c r="W9" s="770">
        <f t="shared" si="2"/>
        <v>100</v>
      </c>
      <c r="X9" s="771"/>
      <c r="Y9" s="3034" t="s">
        <v>2559</v>
      </c>
      <c r="Z9" s="54" t="str">
        <f t="shared" ref="Z9:Z15" si="7">Q9</f>
        <v>用途</v>
      </c>
      <c r="AA9" s="772">
        <f t="shared" si="3"/>
        <v>1</v>
      </c>
      <c r="AB9" s="772">
        <f t="shared" si="4"/>
        <v>1</v>
      </c>
      <c r="AC9" s="772">
        <f t="shared" si="5"/>
        <v>1</v>
      </c>
    </row>
    <row r="10" spans="1:29" s="426" customFormat="1" ht="27">
      <c r="A10" s="420"/>
      <c r="B10" s="421" t="s">
        <v>2560</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00"/>
      <c r="Q10" s="1797" t="str">
        <f t="shared" si="6"/>
        <v>土地使用年限（年）</v>
      </c>
      <c r="R10" s="769" t="s">
        <v>17</v>
      </c>
      <c r="S10" s="770">
        <f t="shared" si="0"/>
        <v>100</v>
      </c>
      <c r="T10" s="769" t="s">
        <v>17</v>
      </c>
      <c r="U10" s="770">
        <f t="shared" si="1"/>
        <v>100</v>
      </c>
      <c r="V10" s="769" t="s">
        <v>17</v>
      </c>
      <c r="W10" s="770">
        <f t="shared" si="2"/>
        <v>100</v>
      </c>
      <c r="X10" s="771"/>
      <c r="Y10" s="3034"/>
      <c r="Z10" s="54" t="str">
        <f t="shared" si="7"/>
        <v>土地使用年限（年）</v>
      </c>
      <c r="AA10" s="772">
        <f t="shared" si="3"/>
        <v>1</v>
      </c>
      <c r="AB10" s="772">
        <f t="shared" si="4"/>
        <v>1</v>
      </c>
      <c r="AC10" s="772">
        <f t="shared" si="5"/>
        <v>1</v>
      </c>
    </row>
    <row r="11" spans="1:29" ht="15">
      <c r="A11" s="427"/>
      <c r="B11" s="421" t="s">
        <v>2561</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00"/>
      <c r="Q11" s="1797" t="str">
        <f t="shared" si="6"/>
        <v>容积率</v>
      </c>
      <c r="R11" s="769" t="s">
        <v>17</v>
      </c>
      <c r="S11" s="770" t="e">
        <f t="shared" si="0"/>
        <v>#N/A</v>
      </c>
      <c r="T11" s="769" t="s">
        <v>17</v>
      </c>
      <c r="U11" s="770" t="e">
        <f t="shared" si="1"/>
        <v>#N/A</v>
      </c>
      <c r="V11" s="769" t="s">
        <v>17</v>
      </c>
      <c r="W11" s="770" t="e">
        <f t="shared" si="2"/>
        <v>#N/A</v>
      </c>
      <c r="X11" s="771"/>
      <c r="Y11" s="3034"/>
      <c r="Z11" s="54" t="str">
        <f t="shared" si="7"/>
        <v>容积率</v>
      </c>
      <c r="AA11" s="772" t="e">
        <f t="shared" si="3"/>
        <v>#N/A</v>
      </c>
      <c r="AB11" s="772" t="e">
        <f t="shared" si="4"/>
        <v>#N/A</v>
      </c>
      <c r="AC11" s="772" t="e">
        <f t="shared" si="5"/>
        <v>#N/A</v>
      </c>
    </row>
    <row r="12" spans="1:29" s="116" customFormat="1" ht="15">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00"/>
      <c r="Q12" s="1797">
        <f t="shared" si="6"/>
        <v>111</v>
      </c>
      <c r="R12" s="769" t="s">
        <v>17</v>
      </c>
      <c r="S12" s="770">
        <f t="shared" si="0"/>
        <v>100</v>
      </c>
      <c r="T12" s="769" t="s">
        <v>17</v>
      </c>
      <c r="U12" s="770">
        <f t="shared" si="1"/>
        <v>100</v>
      </c>
      <c r="V12" s="769" t="s">
        <v>17</v>
      </c>
      <c r="W12" s="770">
        <f t="shared" si="2"/>
        <v>100</v>
      </c>
      <c r="X12" s="771"/>
      <c r="Y12" s="3034"/>
      <c r="Z12" s="54">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00"/>
      <c r="Q13" s="1797">
        <f t="shared" si="6"/>
        <v>111</v>
      </c>
      <c r="R13" s="769" t="s">
        <v>17</v>
      </c>
      <c r="S13" s="770">
        <f t="shared" si="0"/>
        <v>100</v>
      </c>
      <c r="T13" s="769" t="s">
        <v>17</v>
      </c>
      <c r="U13" s="770">
        <f t="shared" si="1"/>
        <v>100</v>
      </c>
      <c r="V13" s="769" t="s">
        <v>17</v>
      </c>
      <c r="W13" s="770">
        <f t="shared" si="2"/>
        <v>100</v>
      </c>
      <c r="X13" s="771"/>
      <c r="Y13" s="3034"/>
      <c r="Z13" s="54">
        <f t="shared" si="7"/>
        <v>111</v>
      </c>
      <c r="AA13" s="772">
        <f t="shared" si="3"/>
        <v>1</v>
      </c>
      <c r="AB13" s="772">
        <f t="shared" si="4"/>
        <v>1</v>
      </c>
      <c r="AC13" s="772">
        <f t="shared" si="5"/>
        <v>1</v>
      </c>
    </row>
    <row r="14" spans="1:29" ht="15.75"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00"/>
      <c r="Q14" s="1797">
        <f t="shared" si="6"/>
        <v>111</v>
      </c>
      <c r="R14" s="769" t="s">
        <v>17</v>
      </c>
      <c r="S14" s="770">
        <f t="shared" si="0"/>
        <v>100</v>
      </c>
      <c r="T14" s="769" t="s">
        <v>17</v>
      </c>
      <c r="U14" s="770">
        <f t="shared" si="1"/>
        <v>100</v>
      </c>
      <c r="V14" s="769" t="s">
        <v>17</v>
      </c>
      <c r="W14" s="770">
        <f t="shared" si="2"/>
        <v>100</v>
      </c>
      <c r="X14" s="771"/>
      <c r="Y14" s="3034"/>
      <c r="Z14" s="54">
        <f t="shared" si="7"/>
        <v>111</v>
      </c>
      <c r="AA14" s="772">
        <f t="shared" si="3"/>
        <v>1</v>
      </c>
      <c r="AB14" s="772">
        <f t="shared" si="4"/>
        <v>1</v>
      </c>
      <c r="AC14" s="772">
        <f t="shared" si="5"/>
        <v>1</v>
      </c>
    </row>
    <row r="15" spans="1:29" ht="71.25">
      <c r="A15" s="439" t="s">
        <v>2562</v>
      </c>
      <c r="B15" s="68" t="s">
        <v>2656</v>
      </c>
      <c r="C15" s="2604"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39" t="s">
        <v>2563</v>
      </c>
      <c r="Q15" s="1812" t="str">
        <f t="shared" si="6"/>
        <v>商业繁华度</v>
      </c>
      <c r="R15" s="773" t="s">
        <v>17</v>
      </c>
      <c r="S15" s="774">
        <f t="shared" si="0"/>
        <v>100</v>
      </c>
      <c r="T15" s="773" t="s">
        <v>17</v>
      </c>
      <c r="U15" s="774">
        <f t="shared" si="1"/>
        <v>100</v>
      </c>
      <c r="V15" s="773" t="s">
        <v>17</v>
      </c>
      <c r="W15" s="774">
        <f t="shared" si="2"/>
        <v>100</v>
      </c>
      <c r="X15" s="1815"/>
      <c r="Y15" s="3191" t="s">
        <v>2563</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40"/>
      <c r="Q16" s="1812"/>
      <c r="R16" s="773"/>
      <c r="S16" s="774"/>
      <c r="T16" s="773"/>
      <c r="U16" s="774"/>
      <c r="V16" s="773"/>
      <c r="W16" s="774"/>
      <c r="X16" s="1815"/>
      <c r="Y16" s="3192"/>
      <c r="Z16" s="1816"/>
      <c r="AA16" s="1813">
        <v>1</v>
      </c>
      <c r="AB16" s="1813">
        <v>1</v>
      </c>
      <c r="AC16" s="1813">
        <v>1</v>
      </c>
    </row>
    <row r="17" spans="1:29" ht="85.5">
      <c r="A17" s="427"/>
      <c r="B17" s="450" t="s">
        <v>2101</v>
      </c>
      <c r="C17" s="2608"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40"/>
      <c r="Q17" s="1812" t="str">
        <f>B17</f>
        <v>交通便捷度</v>
      </c>
      <c r="R17" s="773" t="s">
        <v>17</v>
      </c>
      <c r="S17" s="774">
        <f>F17</f>
        <v>100</v>
      </c>
      <c r="T17" s="773" t="s">
        <v>17</v>
      </c>
      <c r="U17" s="774">
        <f>H17</f>
        <v>100</v>
      </c>
      <c r="V17" s="773" t="s">
        <v>17</v>
      </c>
      <c r="W17" s="774">
        <f>J17</f>
        <v>100</v>
      </c>
      <c r="X17" s="1815"/>
      <c r="Y17" s="3192"/>
      <c r="Z17" s="1816" t="str">
        <f>Q17</f>
        <v>交通便捷度</v>
      </c>
      <c r="AA17" s="1813">
        <f t="shared" si="3"/>
        <v>1</v>
      </c>
      <c r="AB17" s="1813">
        <f t="shared" si="4"/>
        <v>1</v>
      </c>
      <c r="AC17" s="1813">
        <f t="shared" si="5"/>
        <v>1</v>
      </c>
    </row>
    <row r="18" spans="1:29" ht="15">
      <c r="A18" s="427"/>
      <c r="B18" s="455"/>
      <c r="C18" s="2609"/>
      <c r="D18" s="449"/>
      <c r="E18" s="2611"/>
      <c r="F18" s="452"/>
      <c r="G18" s="2610"/>
      <c r="H18" s="447"/>
      <c r="I18" s="2611"/>
      <c r="J18" s="447"/>
      <c r="K18" s="614"/>
      <c r="L18" s="1142"/>
      <c r="M18" s="1133"/>
      <c r="N18" s="1133"/>
      <c r="O18" s="1133"/>
      <c r="P18" s="3240"/>
      <c r="Q18" s="1812"/>
      <c r="R18" s="773"/>
      <c r="S18" s="774"/>
      <c r="T18" s="773"/>
      <c r="U18" s="774"/>
      <c r="V18" s="773"/>
      <c r="W18" s="774"/>
      <c r="X18" s="1815"/>
      <c r="Y18" s="3192"/>
      <c r="Z18" s="1816"/>
      <c r="AA18" s="1813">
        <v>1</v>
      </c>
      <c r="AB18" s="1813">
        <v>1</v>
      </c>
      <c r="AC18" s="1813">
        <v>1</v>
      </c>
    </row>
    <row r="19" spans="1:29" ht="42.75">
      <c r="A19" s="427"/>
      <c r="B19" s="450" t="s">
        <v>2657</v>
      </c>
      <c r="C19" s="2608"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40"/>
      <c r="Q19" s="1812" t="str">
        <f>B19</f>
        <v>公共配套设施</v>
      </c>
      <c r="R19" s="773" t="s">
        <v>17</v>
      </c>
      <c r="S19" s="774">
        <f>F19</f>
        <v>100</v>
      </c>
      <c r="T19" s="773" t="s">
        <v>17</v>
      </c>
      <c r="U19" s="774">
        <f>H19</f>
        <v>100</v>
      </c>
      <c r="V19" s="773" t="s">
        <v>17</v>
      </c>
      <c r="W19" s="774">
        <f>J19</f>
        <v>100</v>
      </c>
      <c r="X19" s="1815"/>
      <c r="Y19" s="3192"/>
      <c r="Z19" s="1816" t="str">
        <f>Q19</f>
        <v>公共配套设施</v>
      </c>
      <c r="AA19" s="1813">
        <f t="shared" si="3"/>
        <v>1</v>
      </c>
      <c r="AB19" s="1813">
        <f t="shared" si="4"/>
        <v>1</v>
      </c>
      <c r="AC19" s="1813">
        <f t="shared" si="5"/>
        <v>1</v>
      </c>
    </row>
    <row r="20" spans="1:29" ht="15">
      <c r="A20" s="427"/>
      <c r="B20" s="455"/>
      <c r="C20" s="446"/>
      <c r="D20" s="447"/>
      <c r="E20" s="2606"/>
      <c r="F20" s="448"/>
      <c r="G20" s="2605"/>
      <c r="H20" s="447"/>
      <c r="I20" s="2606"/>
      <c r="J20" s="447"/>
      <c r="K20" s="614"/>
      <c r="L20" s="1142"/>
      <c r="M20" s="1133"/>
      <c r="N20" s="1133"/>
      <c r="O20" s="1133"/>
      <c r="P20" s="3240"/>
      <c r="Q20" s="1812"/>
      <c r="R20" s="773"/>
      <c r="S20" s="774"/>
      <c r="T20" s="773"/>
      <c r="U20" s="774"/>
      <c r="V20" s="773"/>
      <c r="W20" s="774"/>
      <c r="X20" s="1815"/>
      <c r="Y20" s="3192"/>
      <c r="Z20" s="1816"/>
      <c r="AA20" s="1813">
        <v>1</v>
      </c>
      <c r="AB20" s="1813">
        <v>1</v>
      </c>
      <c r="AC20" s="1813">
        <v>1</v>
      </c>
    </row>
    <row r="21" spans="1:29" ht="28.5">
      <c r="A21" s="427"/>
      <c r="B21" s="1386" t="s">
        <v>2658</v>
      </c>
      <c r="C21" s="2608"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40"/>
      <c r="Q21" s="1812" t="str">
        <f>B21</f>
        <v>基础设施水平</v>
      </c>
      <c r="R21" s="773" t="s">
        <v>17</v>
      </c>
      <c r="S21" s="774">
        <f>F21</f>
        <v>100</v>
      </c>
      <c r="T21" s="773" t="s">
        <v>17</v>
      </c>
      <c r="U21" s="774">
        <f>H21</f>
        <v>100</v>
      </c>
      <c r="V21" s="773" t="s">
        <v>17</v>
      </c>
      <c r="W21" s="774">
        <f>J21</f>
        <v>100</v>
      </c>
      <c r="X21" s="1815"/>
      <c r="Y21" s="3192"/>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8"/>
      <c r="G22" s="446"/>
      <c r="H22" s="447"/>
      <c r="I22" s="446"/>
      <c r="J22" s="447"/>
      <c r="K22" s="1385"/>
      <c r="L22" s="1142"/>
      <c r="M22" s="1133"/>
      <c r="N22" s="1133"/>
      <c r="O22" s="1133"/>
      <c r="P22" s="3240"/>
      <c r="Q22" s="1812"/>
      <c r="R22" s="773"/>
      <c r="S22" s="774"/>
      <c r="T22" s="773"/>
      <c r="U22" s="774"/>
      <c r="V22" s="773"/>
      <c r="W22" s="774"/>
      <c r="X22" s="1815"/>
      <c r="Y22" s="3192"/>
      <c r="Z22" s="1816"/>
      <c r="AA22" s="1813">
        <v>1</v>
      </c>
      <c r="AB22" s="1813">
        <v>1</v>
      </c>
      <c r="AC22" s="1813">
        <v>1</v>
      </c>
    </row>
    <row r="23" spans="1:29" ht="57">
      <c r="A23" s="427"/>
      <c r="B23" s="450" t="s">
        <v>2106</v>
      </c>
      <c r="C23" s="2665"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40"/>
      <c r="Q23" s="1812" t="str">
        <f>B23</f>
        <v>自然及人文环境</v>
      </c>
      <c r="R23" s="773" t="s">
        <v>17</v>
      </c>
      <c r="S23" s="774">
        <f>F23</f>
        <v>100</v>
      </c>
      <c r="T23" s="773" t="s">
        <v>17</v>
      </c>
      <c r="U23" s="774">
        <f>H23</f>
        <v>100</v>
      </c>
      <c r="V23" s="773" t="s">
        <v>17</v>
      </c>
      <c r="W23" s="774">
        <f>J23</f>
        <v>100</v>
      </c>
      <c r="X23" s="1815"/>
      <c r="Y23" s="3192"/>
      <c r="Z23" s="1816" t="str">
        <f>Q23</f>
        <v>自然及人文环境</v>
      </c>
      <c r="AA23" s="1813">
        <f t="shared" si="3"/>
        <v>1</v>
      </c>
      <c r="AB23" s="1813">
        <f t="shared" si="4"/>
        <v>1</v>
      </c>
      <c r="AC23" s="1813">
        <f t="shared" si="5"/>
        <v>1</v>
      </c>
    </row>
    <row r="24" spans="1:29" ht="15">
      <c r="A24" s="427"/>
      <c r="B24" s="455"/>
      <c r="C24" s="446"/>
      <c r="D24" s="447"/>
      <c r="E24" s="2606"/>
      <c r="F24" s="448"/>
      <c r="G24" s="2605"/>
      <c r="H24" s="447"/>
      <c r="I24" s="2606"/>
      <c r="J24" s="447"/>
      <c r="K24" s="614"/>
      <c r="L24" s="1142"/>
      <c r="M24" s="1133"/>
      <c r="N24" s="1133"/>
      <c r="O24" s="1133"/>
      <c r="P24" s="3240"/>
      <c r="Q24" s="1812"/>
      <c r="R24" s="773"/>
      <c r="S24" s="774"/>
      <c r="T24" s="773"/>
      <c r="U24" s="774"/>
      <c r="V24" s="773"/>
      <c r="W24" s="774"/>
      <c r="X24" s="1815"/>
      <c r="Y24" s="3192"/>
      <c r="Z24" s="1816"/>
      <c r="AA24" s="1813">
        <v>1</v>
      </c>
      <c r="AB24" s="1813">
        <v>1</v>
      </c>
      <c r="AC24" s="1813">
        <v>1</v>
      </c>
    </row>
    <row r="25" spans="1:29" ht="15">
      <c r="A25" s="427"/>
      <c r="B25" s="421" t="s">
        <v>2659</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40"/>
      <c r="Q25" s="1812" t="str">
        <f t="shared" ref="Q25:Q46" si="11">B25</f>
        <v>临街状况</v>
      </c>
      <c r="R25" s="773" t="s">
        <v>17</v>
      </c>
      <c r="S25" s="774">
        <f>F25</f>
        <v>100</v>
      </c>
      <c r="T25" s="773" t="s">
        <v>17</v>
      </c>
      <c r="U25" s="774">
        <f>H25</f>
        <v>100</v>
      </c>
      <c r="V25" s="773" t="s">
        <v>17</v>
      </c>
      <c r="W25" s="774">
        <f>J25</f>
        <v>100</v>
      </c>
      <c r="X25" s="1815"/>
      <c r="Y25" s="3192"/>
      <c r="Z25" s="1816" t="str">
        <f>Q25</f>
        <v>临街状况</v>
      </c>
      <c r="AA25" s="1813">
        <f t="shared" si="3"/>
        <v>1</v>
      </c>
      <c r="AB25" s="1813">
        <f t="shared" si="4"/>
        <v>1</v>
      </c>
      <c r="AC25" s="1813">
        <f t="shared" si="5"/>
        <v>1</v>
      </c>
    </row>
    <row r="26" spans="1:29" ht="15">
      <c r="A26" s="427"/>
      <c r="B26" s="1388" t="s">
        <v>2660</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40"/>
      <c r="Q26" s="1812" t="str">
        <f t="shared" si="11"/>
        <v>平面位置/可视性</v>
      </c>
      <c r="R26" s="773" t="s">
        <v>17</v>
      </c>
      <c r="S26" s="774">
        <f>F26</f>
        <v>100</v>
      </c>
      <c r="T26" s="773" t="s">
        <v>17</v>
      </c>
      <c r="U26" s="774">
        <f>H26</f>
        <v>100</v>
      </c>
      <c r="V26" s="773" t="s">
        <v>17</v>
      </c>
      <c r="W26" s="774">
        <f>J26</f>
        <v>100</v>
      </c>
      <c r="X26" s="1815"/>
      <c r="Y26" s="3192"/>
      <c r="Z26" s="1816" t="str">
        <f>Q26</f>
        <v>平面位置/可视性</v>
      </c>
      <c r="AA26" s="1813">
        <f t="shared" si="3"/>
        <v>1</v>
      </c>
      <c r="AB26" s="1813">
        <f t="shared" si="4"/>
        <v>1</v>
      </c>
      <c r="AC26" s="1813">
        <f t="shared" si="5"/>
        <v>1</v>
      </c>
    </row>
    <row r="27" spans="1:29" s="116" customFormat="1" ht="15">
      <c r="A27" s="430"/>
      <c r="B27" s="450" t="s">
        <v>2661</v>
      </c>
      <c r="C27" s="2666"/>
      <c r="D27" s="461">
        <v>100</v>
      </c>
      <c r="E27" s="2666"/>
      <c r="F27" s="463">
        <f>SUMIF(90:90,E27,91:91)-SUMIF(90:90,C27,91:91)+100</f>
        <v>100</v>
      </c>
      <c r="G27" s="2666"/>
      <c r="H27" s="461">
        <f>SUMIF(90:90,G27,91:91)-SUMIF(90:90,C27,91:91)+100</f>
        <v>100</v>
      </c>
      <c r="I27" s="2666"/>
      <c r="J27" s="461">
        <f>SUMIF(90:90,I27,91:91)-SUMIF(90:90,C27,91:91)+100</f>
        <v>100</v>
      </c>
      <c r="K27" s="611"/>
      <c r="L27" s="1134"/>
      <c r="M27" s="1135"/>
      <c r="N27" s="1135"/>
      <c r="O27" s="1135"/>
      <c r="P27" s="3240"/>
      <c r="Q27" s="1797" t="str">
        <f t="shared" si="11"/>
        <v>人流量</v>
      </c>
      <c r="R27" s="769" t="s">
        <v>17</v>
      </c>
      <c r="S27" s="770">
        <f>F27</f>
        <v>100</v>
      </c>
      <c r="T27" s="769" t="s">
        <v>17</v>
      </c>
      <c r="U27" s="770">
        <f>H27</f>
        <v>100</v>
      </c>
      <c r="V27" s="769" t="s">
        <v>17</v>
      </c>
      <c r="W27" s="770">
        <f>J27</f>
        <v>100</v>
      </c>
      <c r="X27" s="771"/>
      <c r="Y27" s="3192"/>
      <c r="Z27" s="54" t="str">
        <f>Q27</f>
        <v>人流量</v>
      </c>
      <c r="AA27" s="1813">
        <f>D27/F27</f>
        <v>1</v>
      </c>
      <c r="AB27" s="1813">
        <f>D27/H27</f>
        <v>1</v>
      </c>
      <c r="AC27" s="1813">
        <f>D27/J27</f>
        <v>1</v>
      </c>
    </row>
    <row r="28" spans="1:29" ht="15">
      <c r="A28" s="427"/>
      <c r="B28" s="421" t="s">
        <v>2662</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40"/>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92"/>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40"/>
      <c r="Q29" s="1812">
        <f t="shared" si="11"/>
        <v>111</v>
      </c>
      <c r="R29" s="773" t="s">
        <v>17</v>
      </c>
      <c r="S29" s="774">
        <f t="shared" si="12"/>
        <v>100</v>
      </c>
      <c r="T29" s="773" t="s">
        <v>17</v>
      </c>
      <c r="U29" s="774">
        <f t="shared" si="13"/>
        <v>100</v>
      </c>
      <c r="V29" s="773" t="s">
        <v>17</v>
      </c>
      <c r="W29" s="774">
        <f t="shared" si="14"/>
        <v>100</v>
      </c>
      <c r="X29" s="1815"/>
      <c r="Y29" s="3192"/>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40"/>
      <c r="Q30" s="1812">
        <f t="shared" si="11"/>
        <v>111</v>
      </c>
      <c r="R30" s="773" t="s">
        <v>17</v>
      </c>
      <c r="S30" s="774">
        <f t="shared" si="12"/>
        <v>100</v>
      </c>
      <c r="T30" s="773" t="s">
        <v>17</v>
      </c>
      <c r="U30" s="774">
        <f t="shared" si="13"/>
        <v>100</v>
      </c>
      <c r="V30" s="773" t="s">
        <v>17</v>
      </c>
      <c r="W30" s="774">
        <f t="shared" si="14"/>
        <v>100</v>
      </c>
      <c r="X30" s="1815"/>
      <c r="Y30" s="3192"/>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40"/>
      <c r="Q31" s="1812">
        <f t="shared" si="11"/>
        <v>111</v>
      </c>
      <c r="R31" s="773" t="s">
        <v>17</v>
      </c>
      <c r="S31" s="774">
        <f t="shared" si="12"/>
        <v>100</v>
      </c>
      <c r="T31" s="773" t="s">
        <v>17</v>
      </c>
      <c r="U31" s="774">
        <f t="shared" si="13"/>
        <v>100</v>
      </c>
      <c r="V31" s="773" t="s">
        <v>17</v>
      </c>
      <c r="W31" s="774">
        <f t="shared" si="14"/>
        <v>100</v>
      </c>
      <c r="X31" s="1815"/>
      <c r="Y31" s="3192"/>
      <c r="Z31" s="1816">
        <f t="shared" si="15"/>
        <v>111</v>
      </c>
      <c r="AA31" s="1813">
        <f t="shared" si="3"/>
        <v>1</v>
      </c>
      <c r="AB31" s="1813">
        <f t="shared" si="4"/>
        <v>1</v>
      </c>
      <c r="AC31" s="1813">
        <f t="shared" si="5"/>
        <v>1</v>
      </c>
    </row>
    <row r="32" spans="1:29" ht="15">
      <c r="A32" s="439" t="s">
        <v>2566</v>
      </c>
      <c r="B32" s="70" t="s">
        <v>2663</v>
      </c>
      <c r="C32" s="2618"/>
      <c r="D32" s="466">
        <v>100</v>
      </c>
      <c r="E32" s="2618"/>
      <c r="F32" s="460">
        <f>SUMIF(100:100,E32,101:101)-SUMIF(100:100,C32,101:101)+100</f>
        <v>100</v>
      </c>
      <c r="G32" s="2618"/>
      <c r="H32" s="434">
        <f>SUMIF(100:100,G32,101:101)-SUMIF(100:100,C32,101:101)+100</f>
        <v>100</v>
      </c>
      <c r="I32" s="2618"/>
      <c r="J32" s="466">
        <f>SUMIF(100:100,I32,101:101)-SUMIF(100:100,C32,101:101)+100</f>
        <v>100</v>
      </c>
      <c r="K32" s="611"/>
      <c r="L32" s="1142"/>
      <c r="M32" s="1133"/>
      <c r="N32" s="1133"/>
      <c r="O32" s="1133"/>
      <c r="P32" s="3235" t="s">
        <v>2568</v>
      </c>
      <c r="Q32" s="1812" t="str">
        <f t="shared" si="11"/>
        <v>商业类型</v>
      </c>
      <c r="R32" s="773" t="s">
        <v>17</v>
      </c>
      <c r="S32" s="774">
        <f t="shared" si="12"/>
        <v>100</v>
      </c>
      <c r="T32" s="773" t="s">
        <v>17</v>
      </c>
      <c r="U32" s="774">
        <f t="shared" si="13"/>
        <v>100</v>
      </c>
      <c r="V32" s="773" t="s">
        <v>17</v>
      </c>
      <c r="W32" s="774">
        <f t="shared" si="14"/>
        <v>100</v>
      </c>
      <c r="X32" s="1815"/>
      <c r="Y32" s="3194" t="s">
        <v>2568</v>
      </c>
      <c r="Z32" s="1816" t="str">
        <f t="shared" si="15"/>
        <v>商业类型</v>
      </c>
      <c r="AA32" s="1813">
        <f t="shared" si="3"/>
        <v>1</v>
      </c>
      <c r="AB32" s="1813">
        <f t="shared" si="4"/>
        <v>1</v>
      </c>
      <c r="AC32" s="1813">
        <f t="shared" si="5"/>
        <v>1</v>
      </c>
    </row>
    <row r="33" spans="1:29" s="470" customFormat="1" ht="15">
      <c r="A33" s="467"/>
      <c r="B33" s="421" t="s">
        <v>2569</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36"/>
      <c r="Q33" s="775" t="str">
        <f t="shared" si="11"/>
        <v>项目建筑规模</v>
      </c>
      <c r="R33" s="776" t="s">
        <v>17</v>
      </c>
      <c r="S33" s="777" t="e">
        <f t="shared" si="12"/>
        <v>#N/A</v>
      </c>
      <c r="T33" s="776" t="s">
        <v>17</v>
      </c>
      <c r="U33" s="777" t="e">
        <f t="shared" si="13"/>
        <v>#N/A</v>
      </c>
      <c r="V33" s="776" t="s">
        <v>17</v>
      </c>
      <c r="W33" s="777" t="e">
        <f t="shared" si="14"/>
        <v>#N/A</v>
      </c>
      <c r="X33" s="778"/>
      <c r="Y33" s="3194"/>
      <c r="Z33" s="779" t="str">
        <f t="shared" si="15"/>
        <v>项目建筑规模</v>
      </c>
      <c r="AA33" s="1813" t="e">
        <f t="shared" si="3"/>
        <v>#N/A</v>
      </c>
      <c r="AB33" s="1813" t="e">
        <f t="shared" si="4"/>
        <v>#N/A</v>
      </c>
      <c r="AC33" s="1813" t="e">
        <f t="shared" si="5"/>
        <v>#N/A</v>
      </c>
    </row>
    <row r="34" spans="1:29" ht="15">
      <c r="A34" s="471"/>
      <c r="B34" s="421" t="s">
        <v>2570</v>
      </c>
      <c r="C34" s="2620"/>
      <c r="D34" s="434">
        <v>100</v>
      </c>
      <c r="E34" s="2620"/>
      <c r="F34" s="460">
        <f>SUMIF(105:105,E34,106:106)-SUMIF(105:105,C34,106:106)+100</f>
        <v>100</v>
      </c>
      <c r="G34" s="2620"/>
      <c r="H34" s="434">
        <f>SUMIF(105:105,G34,106:106)-SUMIF(105:105,C34,106:106)+100</f>
        <v>100</v>
      </c>
      <c r="I34" s="2620"/>
      <c r="J34" s="434">
        <f>SUMIF(105:105,I34,106:106)-SUMIF(105:105,C34,106:106)+100</f>
        <v>100</v>
      </c>
      <c r="K34" s="611"/>
      <c r="L34" s="1142"/>
      <c r="M34" s="1133"/>
      <c r="N34" s="1133"/>
      <c r="O34" s="1133"/>
      <c r="P34" s="3236"/>
      <c r="Q34" s="1812" t="str">
        <f t="shared" si="11"/>
        <v>建筑结构</v>
      </c>
      <c r="R34" s="773" t="s">
        <v>17</v>
      </c>
      <c r="S34" s="774">
        <f t="shared" si="12"/>
        <v>100</v>
      </c>
      <c r="T34" s="773" t="s">
        <v>17</v>
      </c>
      <c r="U34" s="774">
        <f t="shared" si="13"/>
        <v>100</v>
      </c>
      <c r="V34" s="773" t="s">
        <v>17</v>
      </c>
      <c r="W34" s="774">
        <f t="shared" si="14"/>
        <v>100</v>
      </c>
      <c r="X34" s="1815"/>
      <c r="Y34" s="3194"/>
      <c r="Z34" s="1816" t="str">
        <f t="shared" si="15"/>
        <v>建筑结构</v>
      </c>
      <c r="AA34" s="1813">
        <f t="shared" si="3"/>
        <v>1</v>
      </c>
      <c r="AB34" s="1813">
        <f t="shared" si="4"/>
        <v>1</v>
      </c>
      <c r="AC34" s="1813">
        <f t="shared" si="5"/>
        <v>1</v>
      </c>
    </row>
    <row r="35" spans="1:29" ht="15">
      <c r="A35" s="471"/>
      <c r="B35" s="421" t="s">
        <v>2664</v>
      </c>
      <c r="C35" s="2614"/>
      <c r="D35" s="434">
        <v>100</v>
      </c>
      <c r="E35" s="2614"/>
      <c r="F35" s="460">
        <f>SUMIF(107:107,E35,108:108)-SUMIF(107:107,C35,108:108)+100</f>
        <v>100</v>
      </c>
      <c r="G35" s="2614"/>
      <c r="H35" s="434">
        <f>SUMIF(107:107,G35,108:108)-SUMIF(107:107,C35,108:108)+100</f>
        <v>100</v>
      </c>
      <c r="I35" s="2614"/>
      <c r="J35" s="434">
        <f>SUMIF(107:107,I35,108:108)-SUMIF(107:107,C35,108:108)+100</f>
        <v>100</v>
      </c>
      <c r="K35" s="611"/>
      <c r="L35" s="1142"/>
      <c r="M35" s="1133"/>
      <c r="N35" s="1133"/>
      <c r="O35" s="1133"/>
      <c r="P35" s="3236"/>
      <c r="Q35" s="1812" t="str">
        <f t="shared" si="11"/>
        <v>公共部分装修</v>
      </c>
      <c r="R35" s="773" t="s">
        <v>17</v>
      </c>
      <c r="S35" s="774">
        <f t="shared" si="12"/>
        <v>100</v>
      </c>
      <c r="T35" s="773" t="s">
        <v>17</v>
      </c>
      <c r="U35" s="774">
        <f t="shared" si="13"/>
        <v>100</v>
      </c>
      <c r="V35" s="773" t="s">
        <v>17</v>
      </c>
      <c r="W35" s="774">
        <f t="shared" si="14"/>
        <v>100</v>
      </c>
      <c r="X35" s="1815"/>
      <c r="Y35" s="3194"/>
      <c r="Z35" s="1816" t="str">
        <f t="shared" si="15"/>
        <v>公共部分装修</v>
      </c>
      <c r="AA35" s="1813">
        <f t="shared" si="3"/>
        <v>1</v>
      </c>
      <c r="AB35" s="1813">
        <f t="shared" si="4"/>
        <v>1</v>
      </c>
      <c r="AC35" s="1813">
        <f t="shared" si="5"/>
        <v>1</v>
      </c>
    </row>
    <row r="36" spans="1:29" ht="15">
      <c r="A36" s="471"/>
      <c r="B36" s="421" t="s">
        <v>2665</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36"/>
      <c r="Q36" s="1812" t="str">
        <f t="shared" si="11"/>
        <v>成新度</v>
      </c>
      <c r="R36" s="773" t="s">
        <v>17</v>
      </c>
      <c r="S36" s="774" t="e">
        <f t="shared" si="12"/>
        <v>#N/A</v>
      </c>
      <c r="T36" s="773" t="s">
        <v>17</v>
      </c>
      <c r="U36" s="774" t="e">
        <f t="shared" si="13"/>
        <v>#N/A</v>
      </c>
      <c r="V36" s="773" t="s">
        <v>17</v>
      </c>
      <c r="W36" s="774" t="e">
        <f t="shared" si="14"/>
        <v>#N/A</v>
      </c>
      <c r="X36" s="1815"/>
      <c r="Y36" s="3194"/>
      <c r="Z36" s="1816" t="str">
        <f t="shared" si="15"/>
        <v>成新度</v>
      </c>
      <c r="AA36" s="1813" t="e">
        <f t="shared" si="3"/>
        <v>#N/A</v>
      </c>
      <c r="AB36" s="1813" t="e">
        <f t="shared" si="4"/>
        <v>#N/A</v>
      </c>
      <c r="AC36" s="1813" t="e">
        <f t="shared" si="5"/>
        <v>#N/A</v>
      </c>
    </row>
    <row r="37" spans="1:29" s="116" customFormat="1" ht="15">
      <c r="A37" s="472"/>
      <c r="B37" s="421" t="s">
        <v>2666</v>
      </c>
      <c r="C37" s="2614"/>
      <c r="D37" s="135">
        <v>100</v>
      </c>
      <c r="E37" s="2614"/>
      <c r="F37" s="460">
        <f>SUMIF(112:112,E37,113:113)-SUMIF(112:112,C37,113:113)+100</f>
        <v>100</v>
      </c>
      <c r="G37" s="2614"/>
      <c r="H37" s="434">
        <f>SUMIF(112:112,G37,113:113)-SUMIF(112:112,C37,113:113)+100</f>
        <v>100</v>
      </c>
      <c r="I37" s="2614"/>
      <c r="J37" s="434">
        <f>SUMIF(112:112,I37,113:113)-SUMIF(112:112,C37,113:113)+100</f>
        <v>100</v>
      </c>
      <c r="K37" s="611"/>
      <c r="L37" s="1134"/>
      <c r="M37" s="1135"/>
      <c r="N37" s="1135"/>
      <c r="O37" s="1135"/>
      <c r="P37" s="3236"/>
      <c r="Q37" s="1797" t="str">
        <f t="shared" si="11"/>
        <v>市政基础设施</v>
      </c>
      <c r="R37" s="769" t="s">
        <v>17</v>
      </c>
      <c r="S37" s="770">
        <f t="shared" si="12"/>
        <v>100</v>
      </c>
      <c r="T37" s="769" t="s">
        <v>17</v>
      </c>
      <c r="U37" s="770">
        <f t="shared" si="13"/>
        <v>100</v>
      </c>
      <c r="V37" s="769" t="s">
        <v>17</v>
      </c>
      <c r="W37" s="770">
        <f t="shared" si="14"/>
        <v>100</v>
      </c>
      <c r="X37" s="771"/>
      <c r="Y37" s="3194"/>
      <c r="Z37" s="54" t="str">
        <f t="shared" si="15"/>
        <v>市政基础设施</v>
      </c>
      <c r="AA37" s="772">
        <f t="shared" si="3"/>
        <v>1</v>
      </c>
      <c r="AB37" s="772">
        <f t="shared" si="4"/>
        <v>1</v>
      </c>
      <c r="AC37" s="772">
        <f t="shared" si="5"/>
        <v>1</v>
      </c>
    </row>
    <row r="38" spans="1:29" ht="15">
      <c r="A38" s="471"/>
      <c r="B38" s="421" t="s">
        <v>2667</v>
      </c>
      <c r="C38" s="2614"/>
      <c r="D38" s="434">
        <v>100</v>
      </c>
      <c r="E38" s="2614"/>
      <c r="F38" s="460">
        <f>SUMIF(114:114,E38,115:115)-SUMIF(114:114,C38,115:115)+100</f>
        <v>100</v>
      </c>
      <c r="G38" s="2614"/>
      <c r="H38" s="434">
        <f>SUMIF(114:114,G38,115:115)-SUMIF(114:114,C38,115:115)+100</f>
        <v>100</v>
      </c>
      <c r="I38" s="2614"/>
      <c r="J38" s="434">
        <f>SUMIF(114:114,I38,115:115)-SUMIF(114:114,C38,115:115)+100</f>
        <v>100</v>
      </c>
      <c r="K38" s="611"/>
      <c r="L38" s="1142"/>
      <c r="M38" s="1133"/>
      <c r="N38" s="1133"/>
      <c r="O38" s="1133"/>
      <c r="P38" s="3236" t="s">
        <v>2568</v>
      </c>
      <c r="Q38" s="1812" t="str">
        <f t="shared" si="11"/>
        <v>业态</v>
      </c>
      <c r="R38" s="773" t="s">
        <v>17</v>
      </c>
      <c r="S38" s="774">
        <f t="shared" si="12"/>
        <v>100</v>
      </c>
      <c r="T38" s="773" t="s">
        <v>17</v>
      </c>
      <c r="U38" s="774">
        <f t="shared" si="13"/>
        <v>100</v>
      </c>
      <c r="V38" s="773" t="s">
        <v>17</v>
      </c>
      <c r="W38" s="774">
        <f t="shared" si="14"/>
        <v>100</v>
      </c>
      <c r="X38" s="1815"/>
      <c r="Y38" s="3194" t="s">
        <v>2568</v>
      </c>
      <c r="Z38" s="1816" t="str">
        <f t="shared" si="15"/>
        <v>业态</v>
      </c>
      <c r="AA38" s="1813">
        <f t="shared" si="3"/>
        <v>1</v>
      </c>
      <c r="AB38" s="1813">
        <f t="shared" si="4"/>
        <v>1</v>
      </c>
      <c r="AC38" s="1813">
        <f t="shared" si="5"/>
        <v>1</v>
      </c>
    </row>
    <row r="39" spans="1:29" ht="15">
      <c r="A39" s="471"/>
      <c r="B39" s="421" t="s">
        <v>2668</v>
      </c>
      <c r="C39" s="2614"/>
      <c r="D39" s="434">
        <v>100</v>
      </c>
      <c r="E39" s="2614"/>
      <c r="F39" s="460">
        <f>SUMIF(116:116,E39,117:117)-SUMIF(116:116,C39,117:117)+100</f>
        <v>100</v>
      </c>
      <c r="G39" s="2614"/>
      <c r="H39" s="434">
        <f>SUMIF(116:116,G39,117:117)-SUMIF(116:116,C39,117:117)+100</f>
        <v>100</v>
      </c>
      <c r="I39" s="2614"/>
      <c r="J39" s="434">
        <f>SUMIF(116:116,I39,117:117)-SUMIF(116:116,C39,117:117)+100</f>
        <v>100</v>
      </c>
      <c r="K39" s="611"/>
      <c r="L39" s="1142"/>
      <c r="M39" s="1133"/>
      <c r="N39" s="1133"/>
      <c r="O39" s="1133"/>
      <c r="P39" s="3236"/>
      <c r="Q39" s="1812" t="str">
        <f t="shared" si="11"/>
        <v>层高</v>
      </c>
      <c r="R39" s="773" t="s">
        <v>17</v>
      </c>
      <c r="S39" s="774">
        <f t="shared" si="12"/>
        <v>100</v>
      </c>
      <c r="T39" s="773" t="s">
        <v>17</v>
      </c>
      <c r="U39" s="774">
        <f t="shared" si="13"/>
        <v>100</v>
      </c>
      <c r="V39" s="773" t="s">
        <v>17</v>
      </c>
      <c r="W39" s="774">
        <f t="shared" si="14"/>
        <v>100</v>
      </c>
      <c r="X39" s="1815"/>
      <c r="Y39" s="3194"/>
      <c r="Z39" s="1816" t="str">
        <f t="shared" si="15"/>
        <v>层高</v>
      </c>
      <c r="AA39" s="1813">
        <f t="shared" si="3"/>
        <v>1</v>
      </c>
      <c r="AB39" s="1813">
        <f t="shared" si="4"/>
        <v>1</v>
      </c>
      <c r="AC39" s="1813">
        <f t="shared" si="5"/>
        <v>1</v>
      </c>
    </row>
    <row r="40" spans="1:29" ht="15">
      <c r="A40" s="471"/>
      <c r="B40" s="421"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36"/>
      <c r="Q40" s="1812" t="str">
        <f t="shared" si="11"/>
        <v>单套建筑面积</v>
      </c>
      <c r="R40" s="773" t="s">
        <v>17</v>
      </c>
      <c r="S40" s="774">
        <f t="shared" si="12"/>
        <v>100</v>
      </c>
      <c r="T40" s="773" t="s">
        <v>17</v>
      </c>
      <c r="U40" s="774">
        <f t="shared" si="13"/>
        <v>100</v>
      </c>
      <c r="V40" s="773" t="s">
        <v>17</v>
      </c>
      <c r="W40" s="774">
        <f t="shared" si="14"/>
        <v>100</v>
      </c>
      <c r="X40" s="1815"/>
      <c r="Y40" s="3194"/>
      <c r="Z40" s="1816" t="str">
        <f t="shared" si="15"/>
        <v>单套建筑面积</v>
      </c>
      <c r="AA40" s="1813">
        <f t="shared" si="3"/>
        <v>1</v>
      </c>
      <c r="AB40" s="1813">
        <f t="shared" si="4"/>
        <v>1</v>
      </c>
      <c r="AC40" s="1813">
        <f t="shared" si="5"/>
        <v>1</v>
      </c>
    </row>
    <row r="41" spans="1:29" s="470" customFormat="1" ht="15">
      <c r="A41" s="467"/>
      <c r="B41" s="1814" t="s">
        <v>2670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36"/>
      <c r="Q41" s="775" t="str">
        <f t="shared" si="11"/>
        <v>进深比</v>
      </c>
      <c r="R41" s="776" t="s">
        <v>17</v>
      </c>
      <c r="S41" s="777">
        <f t="shared" si="12"/>
        <v>100</v>
      </c>
      <c r="T41" s="776" t="s">
        <v>17</v>
      </c>
      <c r="U41" s="777">
        <f t="shared" si="13"/>
        <v>100</v>
      </c>
      <c r="V41" s="776" t="s">
        <v>17</v>
      </c>
      <c r="W41" s="777">
        <f t="shared" si="14"/>
        <v>100</v>
      </c>
      <c r="X41" s="778"/>
      <c r="Y41" s="3194"/>
      <c r="Z41" s="779" t="str">
        <f t="shared" si="15"/>
        <v>进深比</v>
      </c>
      <c r="AA41" s="1813">
        <f t="shared" si="3"/>
        <v>1</v>
      </c>
      <c r="AB41" s="1813">
        <f t="shared" si="4"/>
        <v>1</v>
      </c>
      <c r="AC41" s="1813">
        <f t="shared" si="5"/>
        <v>1</v>
      </c>
    </row>
    <row r="42" spans="1:29" ht="15">
      <c r="A42" s="471"/>
      <c r="B42" s="421" t="s">
        <v>2671</v>
      </c>
      <c r="C42" s="2614"/>
      <c r="D42" s="434">
        <v>100</v>
      </c>
      <c r="E42" s="2614"/>
      <c r="F42" s="460">
        <f>SUMIF(122:122,E42,123:123)-SUMIF(122:122,C42,123:123)+100</f>
        <v>100</v>
      </c>
      <c r="G42" s="2614"/>
      <c r="H42" s="434">
        <f>SUMIF(122:122,G42,123:123)-SUMIF(122:122,C42,123:123)+100</f>
        <v>100</v>
      </c>
      <c r="I42" s="2614"/>
      <c r="J42" s="434">
        <f>SUMIF(122:122,I42,123:123)-SUMIF(122:122,C42,123:123)+100</f>
        <v>100</v>
      </c>
      <c r="K42" s="611"/>
      <c r="L42" s="1142"/>
      <c r="M42" s="1133"/>
      <c r="N42" s="1133"/>
      <c r="O42" s="1133"/>
      <c r="P42" s="3236"/>
      <c r="Q42" s="1812" t="str">
        <f t="shared" si="11"/>
        <v>内部装修</v>
      </c>
      <c r="R42" s="773" t="s">
        <v>17</v>
      </c>
      <c r="S42" s="774">
        <f t="shared" si="12"/>
        <v>100</v>
      </c>
      <c r="T42" s="773" t="s">
        <v>17</v>
      </c>
      <c r="U42" s="774">
        <f t="shared" si="13"/>
        <v>100</v>
      </c>
      <c r="V42" s="773" t="s">
        <v>17</v>
      </c>
      <c r="W42" s="774">
        <f t="shared" si="14"/>
        <v>100</v>
      </c>
      <c r="X42" s="1815"/>
      <c r="Y42" s="3194"/>
      <c r="Z42" s="1816" t="str">
        <f t="shared" si="15"/>
        <v>内部装修</v>
      </c>
      <c r="AA42" s="1813">
        <f t="shared" si="3"/>
        <v>1</v>
      </c>
      <c r="AB42" s="1813">
        <f t="shared" si="4"/>
        <v>1</v>
      </c>
      <c r="AC42" s="1813">
        <f t="shared" si="5"/>
        <v>1</v>
      </c>
    </row>
    <row r="43" spans="1:29" ht="15">
      <c r="A43" s="471"/>
      <c r="B43" s="421" t="s">
        <v>2579</v>
      </c>
      <c r="C43" s="2614"/>
      <c r="D43" s="434">
        <v>100</v>
      </c>
      <c r="E43" s="2614"/>
      <c r="F43" s="460">
        <f>SUMIF(124:124,E43,125:125)-SUMIF(124:124,C43,125:125)+100</f>
        <v>100</v>
      </c>
      <c r="G43" s="2614"/>
      <c r="H43" s="434">
        <f>SUMIF(124:124,G43,125:125)-SUMIF(124:124,C43,125:125)+100</f>
        <v>100</v>
      </c>
      <c r="I43" s="2614"/>
      <c r="J43" s="434">
        <f>SUMIF(124:124,I43,125:125)-SUMIF(124:124,C43,125:125)+100</f>
        <v>100</v>
      </c>
      <c r="K43" s="611"/>
      <c r="L43" s="1142"/>
      <c r="M43" s="1133"/>
      <c r="N43" s="1133"/>
      <c r="O43" s="1133"/>
      <c r="P43" s="3236"/>
      <c r="Q43" s="1812" t="str">
        <f t="shared" si="11"/>
        <v>内部装修维护情况</v>
      </c>
      <c r="R43" s="773" t="s">
        <v>17</v>
      </c>
      <c r="S43" s="774">
        <f t="shared" si="12"/>
        <v>100</v>
      </c>
      <c r="T43" s="773" t="s">
        <v>17</v>
      </c>
      <c r="U43" s="774">
        <f t="shared" si="13"/>
        <v>100</v>
      </c>
      <c r="V43" s="773" t="s">
        <v>17</v>
      </c>
      <c r="W43" s="774">
        <f t="shared" si="14"/>
        <v>100</v>
      </c>
      <c r="X43" s="1815"/>
      <c r="Y43" s="3194"/>
      <c r="Z43" s="1816" t="str">
        <f t="shared" si="15"/>
        <v>内部装修维护情况</v>
      </c>
      <c r="AA43" s="1813">
        <f t="shared" si="3"/>
        <v>1</v>
      </c>
      <c r="AB43" s="1813">
        <f t="shared" si="4"/>
        <v>1</v>
      </c>
      <c r="AC43" s="1813">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36"/>
      <c r="Q44" s="1797">
        <f t="shared" si="11"/>
        <v>111</v>
      </c>
      <c r="R44" s="769" t="s">
        <v>17</v>
      </c>
      <c r="S44" s="770">
        <f t="shared" si="12"/>
        <v>100</v>
      </c>
      <c r="T44" s="769" t="s">
        <v>17</v>
      </c>
      <c r="U44" s="770">
        <f t="shared" si="13"/>
        <v>100</v>
      </c>
      <c r="V44" s="769" t="s">
        <v>17</v>
      </c>
      <c r="W44" s="770">
        <f t="shared" si="14"/>
        <v>100</v>
      </c>
      <c r="X44" s="771"/>
      <c r="Y44" s="3194"/>
      <c r="Z44" s="54">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36"/>
      <c r="Q45" s="1812">
        <f t="shared" si="11"/>
        <v>111</v>
      </c>
      <c r="R45" s="773" t="s">
        <v>17</v>
      </c>
      <c r="S45" s="774">
        <f t="shared" si="12"/>
        <v>100</v>
      </c>
      <c r="T45" s="773" t="s">
        <v>17</v>
      </c>
      <c r="U45" s="774">
        <f t="shared" si="13"/>
        <v>100</v>
      </c>
      <c r="V45" s="773" t="s">
        <v>17</v>
      </c>
      <c r="W45" s="774">
        <f t="shared" si="14"/>
        <v>100</v>
      </c>
      <c r="X45" s="1815"/>
      <c r="Y45" s="3194"/>
      <c r="Z45" s="1816">
        <f t="shared" si="15"/>
        <v>111</v>
      </c>
      <c r="AA45" s="1813">
        <f t="shared" si="3"/>
        <v>1</v>
      </c>
      <c r="AB45" s="1813">
        <f t="shared" si="4"/>
        <v>1</v>
      </c>
      <c r="AC45" s="1813">
        <f t="shared" si="5"/>
        <v>1</v>
      </c>
    </row>
    <row r="46" spans="1:29" ht="15.75"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37"/>
      <c r="Q46" s="1812">
        <f t="shared" si="11"/>
        <v>111</v>
      </c>
      <c r="R46" s="773" t="s">
        <v>17</v>
      </c>
      <c r="S46" s="774">
        <f t="shared" si="12"/>
        <v>100</v>
      </c>
      <c r="T46" s="773" t="s">
        <v>17</v>
      </c>
      <c r="U46" s="774">
        <f t="shared" si="13"/>
        <v>100</v>
      </c>
      <c r="V46" s="773" t="s">
        <v>17</v>
      </c>
      <c r="W46" s="774">
        <f t="shared" si="14"/>
        <v>100</v>
      </c>
      <c r="X46" s="1815"/>
      <c r="Y46" s="3238"/>
      <c r="Z46" s="1816">
        <f t="shared" si="15"/>
        <v>111</v>
      </c>
      <c r="AA46" s="1813">
        <f t="shared" si="3"/>
        <v>1</v>
      </c>
      <c r="AB46" s="1813">
        <f t="shared" si="4"/>
        <v>1</v>
      </c>
      <c r="AC46" s="1813">
        <f t="shared" si="5"/>
        <v>1</v>
      </c>
    </row>
    <row r="47" spans="1:29" ht="15">
      <c r="A47" s="478" t="s">
        <v>2580</v>
      </c>
      <c r="B47" s="479"/>
      <c r="C47" s="1409" t="s">
        <v>1</v>
      </c>
      <c r="D47" s="1410"/>
      <c r="E47" s="1411"/>
      <c r="F47" s="1412"/>
      <c r="G47" s="1413"/>
      <c r="H47" s="1414"/>
      <c r="I47" s="1411"/>
      <c r="J47" s="1414"/>
      <c r="K47" s="782"/>
      <c r="L47" s="1145"/>
      <c r="M47" s="1146"/>
      <c r="N47" s="1133"/>
      <c r="O47" s="1146"/>
      <c r="P47" s="3176" t="str">
        <f>A47</f>
        <v>成交单价（元/平方米）</v>
      </c>
      <c r="Q47" s="3176"/>
      <c r="R47" s="3189">
        <f>E47</f>
        <v>0</v>
      </c>
      <c r="S47" s="3189"/>
      <c r="T47" s="3189">
        <f>G47</f>
        <v>0</v>
      </c>
      <c r="U47" s="3189"/>
      <c r="V47" s="3189">
        <f>I47</f>
        <v>0</v>
      </c>
      <c r="W47" s="3189"/>
      <c r="X47" s="758"/>
      <c r="Y47" s="780"/>
      <c r="Z47" s="758"/>
      <c r="AA47" s="758"/>
      <c r="AB47" s="758"/>
      <c r="AC47" s="758"/>
    </row>
    <row r="48" spans="1:29" ht="15.75" thickBot="1">
      <c r="A48" s="485" t="s">
        <v>2672</v>
      </c>
      <c r="B48" s="486"/>
      <c r="C48" s="1415" t="e">
        <f>R49</f>
        <v>#DIV/0!</v>
      </c>
      <c r="D48" s="1416"/>
      <c r="E48" s="1417" t="e">
        <f>R48</f>
        <v>#DIV/0!</v>
      </c>
      <c r="F48" s="1417"/>
      <c r="G48" s="1415" t="e">
        <f>T48</f>
        <v>#DIV/0!</v>
      </c>
      <c r="H48" s="1416"/>
      <c r="I48" s="1417" t="e">
        <f>V48</f>
        <v>#DIV/0!</v>
      </c>
      <c r="J48" s="1416"/>
      <c r="K48" s="783"/>
      <c r="L48" s="1145"/>
      <c r="M48" s="1146"/>
      <c r="N48" s="1133"/>
      <c r="O48" s="1146"/>
      <c r="P48" s="3176" t="str">
        <f>A48</f>
        <v>比较价值（元/平方米）</v>
      </c>
      <c r="Q48" s="3176"/>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758"/>
      <c r="Y48" s="758"/>
      <c r="Z48" s="758"/>
      <c r="AA48" s="758"/>
      <c r="AB48" s="758"/>
      <c r="AC48" s="758"/>
    </row>
    <row r="49" spans="1:29" ht="15.75" thickBot="1">
      <c r="A49" s="491" t="s">
        <v>2673</v>
      </c>
      <c r="B49" s="492"/>
      <c r="C49" s="1419" t="e">
        <f>R49</f>
        <v>#DIV/0!</v>
      </c>
      <c r="D49" s="1419"/>
      <c r="E49" s="1419"/>
      <c r="F49" s="1419"/>
      <c r="G49" s="1419"/>
      <c r="H49" s="1419"/>
      <c r="I49" s="1419"/>
      <c r="J49" s="1419"/>
      <c r="K49" s="784"/>
      <c r="L49" s="1145"/>
      <c r="M49" s="1146"/>
      <c r="N49" s="1133"/>
      <c r="O49" s="1146"/>
      <c r="P49" s="3196" t="str">
        <f>A49</f>
        <v>估价对象XX用房的比较价值（楼面单价，元/平方米）</v>
      </c>
      <c r="Q49" s="3197"/>
      <c r="R49" s="3233" t="e">
        <f>IF(F1="售价",ROUND(AVERAGE(R48:V48),0),ROUND(AVERAGE(R48:V48),1))</f>
        <v>#DIV/0!</v>
      </c>
      <c r="S49" s="3233"/>
      <c r="T49" s="3233"/>
      <c r="U49" s="3233"/>
      <c r="V49" s="3233"/>
      <c r="W49" s="323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7"/>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7"/>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2677</v>
      </c>
      <c r="B57" s="758"/>
      <c r="C57" s="763"/>
      <c r="D57" s="763"/>
      <c r="E57" s="763"/>
      <c r="F57" s="764"/>
      <c r="G57" s="764"/>
      <c r="H57" s="763"/>
      <c r="I57" s="763"/>
      <c r="J57" s="763"/>
      <c r="K57" s="765"/>
      <c r="L57" s="1163"/>
      <c r="M57" s="1161"/>
      <c r="N57" s="1161"/>
      <c r="O57" s="1161"/>
      <c r="P57" s="2668"/>
      <c r="Q57" s="2669"/>
      <c r="R57" s="758"/>
      <c r="S57" s="758"/>
      <c r="T57" s="758"/>
      <c r="U57" s="758"/>
      <c r="V57" s="758"/>
      <c r="W57" s="758"/>
      <c r="X57" s="758"/>
      <c r="Y57" s="758"/>
      <c r="Z57" s="758"/>
      <c r="AA57" s="758"/>
      <c r="AB57" s="758"/>
      <c r="AC57" s="758"/>
    </row>
    <row r="58" spans="1:29" s="507" customFormat="1" ht="15">
      <c r="A58" s="504" t="s">
        <v>2551</v>
      </c>
      <c r="B58" s="505"/>
      <c r="C58" s="1576" t="str">
        <f>YEAR(C7)&amp;"-"&amp;MONTH(C7)</f>
        <v>2018-3</v>
      </c>
      <c r="D58" s="1577">
        <f>EDATE(C58,-1)</f>
        <v>43132</v>
      </c>
      <c r="E58" s="1577">
        <f t="shared" ref="E58:N58" si="16">EDATE(D58,-1)</f>
        <v>43101</v>
      </c>
      <c r="F58" s="1577">
        <f t="shared" si="16"/>
        <v>43070</v>
      </c>
      <c r="G58" s="1577">
        <f t="shared" si="16"/>
        <v>43040</v>
      </c>
      <c r="H58" s="1577">
        <f t="shared" si="16"/>
        <v>43009</v>
      </c>
      <c r="I58" s="1577">
        <f t="shared" si="16"/>
        <v>42979</v>
      </c>
      <c r="J58" s="1577">
        <f t="shared" si="16"/>
        <v>42948</v>
      </c>
      <c r="K58" s="1577">
        <f t="shared" si="16"/>
        <v>42917</v>
      </c>
      <c r="L58" s="1577">
        <f t="shared" si="16"/>
        <v>42887</v>
      </c>
      <c r="M58" s="1577">
        <f t="shared" si="16"/>
        <v>42856</v>
      </c>
      <c r="N58" s="1577">
        <f t="shared" si="16"/>
        <v>42826</v>
      </c>
      <c r="O58" s="1577">
        <f>EDATE(N58,-1)</f>
        <v>42795</v>
      </c>
      <c r="P58" s="1572"/>
    </row>
    <row r="59" spans="1:29" s="116" customFormat="1" ht="15">
      <c r="A59" s="508"/>
      <c r="B59" s="509"/>
      <c r="C59" s="1575">
        <v>100</v>
      </c>
      <c r="D59" s="511"/>
      <c r="E59" s="511"/>
      <c r="F59" s="511"/>
      <c r="G59" s="511"/>
      <c r="H59" s="511"/>
      <c r="I59" s="511"/>
      <c r="J59" s="511"/>
      <c r="K59" s="511"/>
      <c r="L59" s="511"/>
      <c r="M59" s="512"/>
      <c r="N59" s="511"/>
      <c r="O59" s="512"/>
      <c r="P59" s="2629"/>
    </row>
    <row r="60" spans="1:29" s="116" customFormat="1" ht="15.75" thickBot="1">
      <c r="A60" s="514" t="s">
        <v>2588</v>
      </c>
      <c r="B60" s="515"/>
      <c r="C60" s="516"/>
      <c r="D60" s="517"/>
      <c r="E60" s="517"/>
      <c r="F60" s="517"/>
      <c r="G60" s="517"/>
      <c r="H60" s="517"/>
      <c r="I60" s="517"/>
      <c r="J60" s="517"/>
      <c r="K60" s="517"/>
      <c r="L60" s="517"/>
      <c r="M60" s="518"/>
      <c r="N60" s="517"/>
      <c r="O60" s="518"/>
      <c r="P60" s="2629"/>
      <c r="Q60" s="503"/>
    </row>
    <row r="61" spans="1:29" s="116" customFormat="1" ht="15">
      <c r="A61" s="520" t="s">
        <v>2553</v>
      </c>
      <c r="B61" s="509"/>
      <c r="C61" s="521" t="s">
        <v>2655</v>
      </c>
      <c r="D61" s="522"/>
      <c r="E61" s="522"/>
      <c r="F61" s="522"/>
      <c r="G61" s="522"/>
      <c r="H61" s="522"/>
      <c r="I61" s="522"/>
      <c r="J61" s="522"/>
      <c r="K61" s="522"/>
      <c r="L61" s="523"/>
      <c r="M61" s="524"/>
      <c r="N61" s="1153"/>
      <c r="O61" s="1153"/>
      <c r="P61" s="2630"/>
      <c r="Q61" s="503"/>
    </row>
    <row r="62" spans="1:29" s="116"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2591</v>
      </c>
      <c r="B63" s="527" t="s">
        <v>2557</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54"/>
      <c r="O65" s="1154"/>
      <c r="P65" s="263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1"/>
      <c r="Q66" s="503"/>
    </row>
    <row r="67" spans="1:17" ht="15.75" thickTop="1">
      <c r="A67" s="533"/>
      <c r="B67" s="545" t="s">
        <v>2561</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1"/>
      <c r="Q67" s="503"/>
    </row>
    <row r="68" spans="1:17" ht="15">
      <c r="A68" s="533"/>
      <c r="B68" s="547"/>
      <c r="C68" s="548"/>
      <c r="D68" s="548"/>
      <c r="E68" s="548"/>
      <c r="F68" s="548"/>
      <c r="G68" s="548"/>
      <c r="H68" s="548"/>
      <c r="I68" s="548"/>
      <c r="J68" s="548"/>
      <c r="K68" s="549"/>
      <c r="L68" s="550"/>
      <c r="M68" s="551"/>
      <c r="N68" s="1154"/>
      <c r="O68" s="1154"/>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35"/>
      <c r="E73" s="535"/>
      <c r="F73" s="535"/>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2658</v>
      </c>
      <c r="C82" s="659" t="s">
        <v>2678</v>
      </c>
      <c r="D82" s="659" t="s">
        <v>2679</v>
      </c>
      <c r="E82" s="659" t="s">
        <v>2680</v>
      </c>
      <c r="F82" s="659" t="s">
        <v>2681</v>
      </c>
      <c r="G82" s="659" t="s">
        <v>2682</v>
      </c>
      <c r="H82" s="538"/>
      <c r="I82" s="538"/>
      <c r="J82" s="538"/>
      <c r="K82" s="538"/>
      <c r="L82" s="538"/>
      <c r="M82" s="1384"/>
      <c r="N82" s="1155"/>
      <c r="O82" s="1155"/>
      <c r="P82" s="263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1"/>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6" customFormat="1" ht="15.75" thickTop="1">
      <c r="A86" s="578"/>
      <c r="B86" s="537" t="s">
        <v>2683</v>
      </c>
      <c r="C86" s="553"/>
      <c r="D86" s="553"/>
      <c r="E86" s="553"/>
      <c r="F86" s="553"/>
      <c r="G86" s="553"/>
      <c r="H86" s="553"/>
      <c r="I86" s="553"/>
      <c r="J86" s="553"/>
      <c r="K86" s="553"/>
      <c r="L86" s="579"/>
      <c r="M86" s="580"/>
      <c r="N86" s="1153"/>
      <c r="O86" s="1153"/>
      <c r="P86" s="263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1"/>
      <c r="Q87" s="503"/>
    </row>
    <row r="88" spans="1:17" s="116" customFormat="1" ht="15.75" thickTop="1">
      <c r="A88" s="578"/>
      <c r="B88" s="537" t="str">
        <f>B26</f>
        <v>平面位置/可视性</v>
      </c>
      <c r="C88" s="553"/>
      <c r="D88" s="553"/>
      <c r="E88" s="553"/>
      <c r="F88" s="2636"/>
      <c r="G88" s="553"/>
      <c r="H88" s="553"/>
      <c r="I88" s="553"/>
      <c r="J88" s="553"/>
      <c r="K88" s="553"/>
      <c r="L88" s="553"/>
      <c r="M88" s="580"/>
      <c r="N88" s="1153"/>
      <c r="O88" s="1153"/>
      <c r="P88" s="2631"/>
      <c r="Q88" s="503"/>
    </row>
    <row r="89" spans="1:17" s="116" customFormat="1" ht="15.75" thickBot="1">
      <c r="A89" s="578"/>
      <c r="B89" s="542"/>
      <c r="C89" s="559"/>
      <c r="D89" s="535"/>
      <c r="E89" s="535"/>
      <c r="F89" s="535"/>
      <c r="G89" s="535"/>
      <c r="H89" s="535"/>
      <c r="I89" s="535"/>
      <c r="J89" s="535"/>
      <c r="K89" s="535"/>
      <c r="L89" s="535"/>
      <c r="M89" s="535"/>
      <c r="N89" s="1155"/>
      <c r="O89" s="1155"/>
      <c r="P89" s="2631"/>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2"/>
      <c r="Q91" s="558"/>
    </row>
    <row r="92" spans="1:17" ht="15.75" thickTop="1">
      <c r="A92" s="533"/>
      <c r="B92" s="537" t="str">
        <f>B28</f>
        <v>楼层</v>
      </c>
      <c r="C92" s="553"/>
      <c r="D92" s="553"/>
      <c r="E92" s="553"/>
      <c r="F92" s="553"/>
      <c r="G92" s="553"/>
      <c r="H92" s="553"/>
      <c r="I92" s="553"/>
      <c r="J92" s="553"/>
      <c r="K92" s="553"/>
      <c r="L92" s="579"/>
      <c r="M92" s="580"/>
      <c r="N92" s="1154"/>
      <c r="O92" s="1154"/>
      <c r="P92" s="2631"/>
      <c r="Q92" s="503"/>
    </row>
    <row r="93" spans="1:17" ht="15.75" thickBot="1">
      <c r="A93" s="533"/>
      <c r="B93" s="542"/>
      <c r="C93" s="535"/>
      <c r="D93" s="535"/>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35"/>
      <c r="E95" s="535"/>
      <c r="F95" s="535"/>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59"/>
      <c r="D97" s="535"/>
      <c r="E97" s="535"/>
      <c r="F97" s="535"/>
      <c r="G97" s="535"/>
      <c r="H97" s="535"/>
      <c r="I97" s="535"/>
      <c r="J97" s="535"/>
      <c r="K97" s="535"/>
      <c r="L97" s="535"/>
      <c r="M97" s="536"/>
      <c r="N97" s="1155"/>
      <c r="O97" s="1155"/>
      <c r="P97" s="2631"/>
      <c r="Q97" s="503"/>
    </row>
    <row r="98" spans="1:17" ht="15.75" thickTop="1">
      <c r="A98" s="533"/>
      <c r="B98" s="545">
        <f>B31</f>
        <v>111</v>
      </c>
      <c r="C98" s="553"/>
      <c r="D98" s="553"/>
      <c r="E98" s="553"/>
      <c r="F98" s="553"/>
      <c r="G98" s="586"/>
      <c r="H98" s="586"/>
      <c r="I98" s="586"/>
      <c r="J98" s="586"/>
      <c r="K98" s="587"/>
      <c r="L98" s="588"/>
      <c r="M98" s="589"/>
      <c r="N98" s="1154"/>
      <c r="O98" s="1154"/>
      <c r="P98" s="2631"/>
      <c r="Q98" s="503"/>
    </row>
    <row r="99" spans="1:17" ht="15.75" thickBot="1">
      <c r="A99" s="2637"/>
      <c r="B99" s="568"/>
      <c r="C99" s="569"/>
      <c r="D99" s="569"/>
      <c r="E99" s="569"/>
      <c r="F99" s="569"/>
      <c r="G99" s="590"/>
      <c r="H99" s="590"/>
      <c r="I99" s="590"/>
      <c r="J99" s="590"/>
      <c r="K99" s="590"/>
      <c r="L99" s="590"/>
      <c r="M99" s="591"/>
      <c r="N99" s="1155"/>
      <c r="O99" s="1155"/>
      <c r="P99" s="2631"/>
      <c r="Q99" s="503"/>
    </row>
    <row r="100" spans="1:17">
      <c r="A100" s="526" t="s">
        <v>2566</v>
      </c>
      <c r="B100" s="527" t="s">
        <v>2684</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1"/>
      <c r="Q101" s="503"/>
    </row>
    <row r="102" spans="1:17" ht="15.75" thickTop="1">
      <c r="A102" s="533"/>
      <c r="B102" s="537" t="s">
        <v>2616</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1"/>
      <c r="Q102" s="503"/>
    </row>
    <row r="103" spans="1:17" s="470" customFormat="1">
      <c r="A103" s="592"/>
      <c r="B103" s="593"/>
      <c r="C103" s="594"/>
      <c r="D103" s="594"/>
      <c r="E103" s="594"/>
      <c r="F103" s="594"/>
      <c r="G103" s="594"/>
      <c r="H103" s="594"/>
      <c r="I103" s="594"/>
      <c r="J103" s="595"/>
      <c r="K103" s="595"/>
      <c r="L103" s="596"/>
      <c r="M103" s="597"/>
      <c r="N103" s="1156"/>
      <c r="O103" s="1156"/>
      <c r="P103" s="2632"/>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2"/>
      <c r="Q104" s="558"/>
    </row>
    <row r="105" spans="1:17" ht="15" thickTop="1">
      <c r="A105" s="598"/>
      <c r="B105" s="537" t="s">
        <v>2617</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1"/>
      <c r="Q106" s="503"/>
    </row>
    <row r="107" spans="1:17" ht="15" thickTop="1">
      <c r="A107" s="598"/>
      <c r="B107" s="537" t="s">
        <v>2619</v>
      </c>
      <c r="C107" s="553"/>
      <c r="D107" s="553"/>
      <c r="E107" s="553"/>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1"/>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1"/>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1"/>
      <c r="Q111" s="503"/>
    </row>
    <row r="112" spans="1:17" s="470" customFormat="1" ht="15" thickTop="1">
      <c r="A112" s="592"/>
      <c r="B112" s="537" t="s">
        <v>2621</v>
      </c>
      <c r="C112" s="553"/>
      <c r="D112" s="553"/>
      <c r="E112" s="553"/>
      <c r="F112" s="553"/>
      <c r="G112" s="553"/>
      <c r="H112" s="582"/>
      <c r="I112" s="582"/>
      <c r="J112" s="582"/>
      <c r="K112" s="583"/>
      <c r="L112" s="584"/>
      <c r="M112" s="585"/>
      <c r="N112" s="1156"/>
      <c r="O112" s="1156"/>
      <c r="P112" s="263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2"/>
      <c r="Q113" s="558"/>
    </row>
    <row r="114" spans="1:17" ht="15" thickTop="1">
      <c r="A114" s="598"/>
      <c r="B114" s="537" t="s">
        <v>2685</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1"/>
      <c r="Q115" s="503"/>
    </row>
    <row r="116" spans="1:17" ht="15" thickTop="1">
      <c r="A116" s="598"/>
      <c r="B116" s="537" t="s">
        <v>2686</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2687</v>
      </c>
      <c r="C118" s="626"/>
      <c r="D118" s="626"/>
      <c r="E118" s="626"/>
      <c r="F118" s="626"/>
      <c r="G118" s="626"/>
      <c r="H118" s="554"/>
      <c r="I118" s="554"/>
      <c r="J118" s="554"/>
      <c r="K118" s="554"/>
      <c r="L118" s="555"/>
      <c r="M118" s="556"/>
      <c r="N118" s="1154"/>
      <c r="O118" s="1154"/>
      <c r="P118" s="2631"/>
      <c r="Q118" s="503"/>
    </row>
    <row r="119" spans="1:17" ht="15.75" thickBot="1">
      <c r="A119" s="533"/>
      <c r="B119" s="542"/>
      <c r="C119" s="559"/>
      <c r="D119" s="535"/>
      <c r="E119" s="535"/>
      <c r="F119" s="535"/>
      <c r="G119" s="535"/>
      <c r="H119" s="535"/>
      <c r="I119" s="535"/>
      <c r="J119" s="535"/>
      <c r="K119" s="535"/>
      <c r="L119" s="535"/>
      <c r="M119" s="536"/>
      <c r="N119" s="1155"/>
      <c r="O119" s="1155"/>
      <c r="P119" s="2631"/>
      <c r="Q119" s="503"/>
    </row>
    <row r="120" spans="1:17" s="470" customFormat="1" ht="15" thickTop="1">
      <c r="A120" s="592"/>
      <c r="B120" s="537" t="s">
        <v>2688</v>
      </c>
      <c r="C120" s="582"/>
      <c r="D120" s="582"/>
      <c r="E120" s="582"/>
      <c r="F120" s="582"/>
      <c r="G120" s="554"/>
      <c r="H120" s="554"/>
      <c r="I120" s="554"/>
      <c r="J120" s="554"/>
      <c r="K120" s="554"/>
      <c r="L120" s="555"/>
      <c r="M120" s="556"/>
      <c r="N120" s="1156"/>
      <c r="O120" s="1156"/>
      <c r="P120" s="263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2"/>
      <c r="Q121" s="558"/>
    </row>
    <row r="122" spans="1:17" ht="15" thickTop="1">
      <c r="A122" s="598"/>
      <c r="B122" s="537" t="s">
        <v>2623</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1"/>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35"/>
      <c r="E129" s="535"/>
      <c r="F129" s="535"/>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2531</v>
      </c>
      <c r="B1" s="2670" t="s">
        <v>2689</v>
      </c>
      <c r="C1" s="1622" t="s">
        <v>2533</v>
      </c>
      <c r="D1" s="1623"/>
      <c r="E1" s="1632"/>
      <c r="F1" s="2585"/>
      <c r="G1" s="1633" t="s">
        <v>2646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2333</v>
      </c>
      <c r="B2" s="1420" t="e">
        <f ca="1">IF(C2="——",ROUND(C50*D3/10000,0),ROUND(C50*D3/10000,0)-D2)</f>
        <v>#DIV/0!</v>
      </c>
      <c r="C2" s="2587"/>
      <c r="D2" s="1367" t="e">
        <f ca="1">SUMIF(INDIRECT("'"&amp;F2&amp;"'"&amp;"!A:A"),"承租人权益价值",INDIRECT("'"&amp;F2&amp;"'"&amp;"!c:c"))</f>
        <v>#REF!</v>
      </c>
      <c r="E2" s="2588" t="s">
        <v>2334</v>
      </c>
      <c r="F2" s="2589"/>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2335</v>
      </c>
      <c r="B3" s="608" t="e">
        <f ca="1">IF(C2="——",C50,ROUND(B2*10000/D3,0))</f>
        <v>#DIV/0!</v>
      </c>
      <c r="C3" s="399" t="s">
        <v>2647</v>
      </c>
      <c r="D3" s="398">
        <f>IF(D1="",'数据-汇总表'!E3,SUMIF('数据-汇总表'!$C19:$C33,D1,'数据-汇总表'!$E19:$E33))</f>
        <v>36223.67</v>
      </c>
      <c r="E3" s="2664"/>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2648</v>
      </c>
      <c r="B4" s="401"/>
      <c r="C4" s="3177" t="s">
        <v>2649</v>
      </c>
      <c r="D4" s="3178"/>
      <c r="E4" s="3179" t="s">
        <v>2650</v>
      </c>
      <c r="F4" s="3180"/>
      <c r="G4" s="3177" t="s">
        <v>2651</v>
      </c>
      <c r="H4" s="3178"/>
      <c r="I4" s="3177" t="s">
        <v>2652</v>
      </c>
      <c r="J4" s="3178"/>
      <c r="K4" s="609" t="s">
        <v>2653</v>
      </c>
      <c r="L4" s="1132"/>
      <c r="M4" s="1133"/>
      <c r="N4" s="1133"/>
      <c r="O4" s="1133"/>
      <c r="P4" s="3251" t="s">
        <v>2654</v>
      </c>
      <c r="Q4" s="3252"/>
      <c r="R4" s="3246" t="s">
        <v>2650</v>
      </c>
      <c r="S4" s="3247"/>
      <c r="T4" s="3246" t="s">
        <v>2651</v>
      </c>
      <c r="U4" s="3247"/>
      <c r="V4" s="3255" t="s">
        <v>2652</v>
      </c>
      <c r="W4" s="3255"/>
      <c r="X4" s="2671"/>
      <c r="Y4" s="3246" t="s">
        <v>2654</v>
      </c>
      <c r="Z4" s="3247"/>
      <c r="AA4" s="3245" t="s">
        <v>2650</v>
      </c>
      <c r="AB4" s="3245" t="s">
        <v>2651</v>
      </c>
      <c r="AC4" s="3248" t="s">
        <v>2652</v>
      </c>
    </row>
    <row r="5" spans="1:29" ht="15">
      <c r="A5" s="403"/>
      <c r="B5" s="404"/>
      <c r="C5" s="3168" t="s">
        <v>2545</v>
      </c>
      <c r="D5" s="3169"/>
      <c r="E5" s="3241" t="s">
        <v>2546</v>
      </c>
      <c r="F5" s="3242"/>
      <c r="G5" s="3168" t="s">
        <v>2547</v>
      </c>
      <c r="H5" s="3169"/>
      <c r="I5" s="3168" t="s">
        <v>2548</v>
      </c>
      <c r="J5" s="3169"/>
      <c r="K5" s="609"/>
      <c r="L5" s="1132"/>
      <c r="M5" s="1133"/>
      <c r="N5" s="1133"/>
      <c r="O5" s="1133"/>
      <c r="P5" s="3253"/>
      <c r="Q5" s="3184"/>
      <c r="R5" s="3164"/>
      <c r="S5" s="3165"/>
      <c r="T5" s="3164"/>
      <c r="U5" s="3165"/>
      <c r="V5" s="3189"/>
      <c r="W5" s="3189"/>
      <c r="X5" s="1815"/>
      <c r="Y5" s="3164"/>
      <c r="Z5" s="3165"/>
      <c r="AA5" s="3158"/>
      <c r="AB5" s="3158"/>
      <c r="AC5" s="3249"/>
    </row>
    <row r="6" spans="1:29" ht="15.75" thickBot="1">
      <c r="A6" s="405"/>
      <c r="B6" s="406"/>
      <c r="C6" s="3170" t="s">
        <v>2549</v>
      </c>
      <c r="D6" s="3171"/>
      <c r="E6" s="3243" t="s">
        <v>2549</v>
      </c>
      <c r="F6" s="3244"/>
      <c r="G6" s="3170" t="s">
        <v>2549</v>
      </c>
      <c r="H6" s="3171"/>
      <c r="I6" s="3170" t="s">
        <v>2549</v>
      </c>
      <c r="J6" s="3171"/>
      <c r="K6" s="609" t="s">
        <v>2550</v>
      </c>
      <c r="L6" s="1132"/>
      <c r="M6" s="1133"/>
      <c r="N6" s="1133"/>
      <c r="O6" s="1133"/>
      <c r="P6" s="3254"/>
      <c r="Q6" s="3186"/>
      <c r="R6" s="3164"/>
      <c r="S6" s="3165"/>
      <c r="T6" s="3187"/>
      <c r="U6" s="3188"/>
      <c r="V6" s="3189"/>
      <c r="W6" s="3189"/>
      <c r="X6" s="1815"/>
      <c r="Y6" s="3187"/>
      <c r="Z6" s="3188"/>
      <c r="AA6" s="3159"/>
      <c r="AB6" s="3159"/>
      <c r="AC6" s="3250"/>
    </row>
    <row r="7" spans="1:29" s="116" customFormat="1" ht="15.75" thickBot="1">
      <c r="A7" s="407" t="s">
        <v>2551</v>
      </c>
      <c r="B7" s="408"/>
      <c r="C7" s="409">
        <f>'数据-取费表'!B2</f>
        <v>43160</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56" t="s">
        <v>2552</v>
      </c>
      <c r="Q7" s="3190"/>
      <c r="R7" s="769" t="s">
        <v>17</v>
      </c>
      <c r="S7" s="770">
        <f t="shared" ref="S7:S15" si="0">F7</f>
        <v>0</v>
      </c>
      <c r="T7" s="769" t="s">
        <v>17</v>
      </c>
      <c r="U7" s="770">
        <f t="shared" ref="U7:U15" si="1">H7</f>
        <v>0</v>
      </c>
      <c r="V7" s="769" t="s">
        <v>17</v>
      </c>
      <c r="W7" s="770">
        <f t="shared" ref="W7:W15" si="2">J7</f>
        <v>0</v>
      </c>
      <c r="X7" s="771"/>
      <c r="Y7" s="3160" t="s">
        <v>2552</v>
      </c>
      <c r="Z7" s="3161"/>
      <c r="AA7" s="772" t="e">
        <f>D7/F7</f>
        <v>#DIV/0!</v>
      </c>
      <c r="AB7" s="772" t="e">
        <f>D7/H7</f>
        <v>#DIV/0!</v>
      </c>
      <c r="AC7" s="2672" t="e">
        <f>D7/J7</f>
        <v>#DIV/0!</v>
      </c>
    </row>
    <row r="8" spans="1:29" s="116" customFormat="1" ht="15.75" thickBot="1">
      <c r="A8" s="407" t="s">
        <v>2553</v>
      </c>
      <c r="B8" s="408"/>
      <c r="C8" s="413" t="s">
        <v>2655</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56" t="s">
        <v>2555</v>
      </c>
      <c r="Q8" s="3161"/>
      <c r="R8" s="769" t="s">
        <v>17</v>
      </c>
      <c r="S8" s="770">
        <f t="shared" si="0"/>
        <v>0</v>
      </c>
      <c r="T8" s="769" t="s">
        <v>17</v>
      </c>
      <c r="U8" s="770">
        <f t="shared" si="1"/>
        <v>0</v>
      </c>
      <c r="V8" s="769" t="s">
        <v>17</v>
      </c>
      <c r="W8" s="770">
        <f t="shared" si="2"/>
        <v>0</v>
      </c>
      <c r="X8" s="771"/>
      <c r="Y8" s="3160" t="s">
        <v>2555</v>
      </c>
      <c r="Z8" s="3161"/>
      <c r="AA8" s="772" t="e">
        <f t="shared" ref="AA8:AA47" si="3">D8/F8</f>
        <v>#DIV/0!</v>
      </c>
      <c r="AB8" s="772" t="e">
        <f t="shared" ref="AB8:AB47" si="4">D8/H8</f>
        <v>#DIV/0!</v>
      </c>
      <c r="AC8" s="2672" t="e">
        <f t="shared" ref="AC8:AC47" si="5">D8/J8</f>
        <v>#DIV/0!</v>
      </c>
    </row>
    <row r="9" spans="1:29" s="116" customFormat="1">
      <c r="A9" s="414" t="s">
        <v>2556</v>
      </c>
      <c r="B9" s="70" t="s">
        <v>2557</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00" t="s">
        <v>2558</v>
      </c>
      <c r="Q9" s="1797" t="str">
        <f t="shared" ref="Q9:Q15" si="6">B9</f>
        <v>用途</v>
      </c>
      <c r="R9" s="769" t="s">
        <v>17</v>
      </c>
      <c r="S9" s="770">
        <f t="shared" si="0"/>
        <v>100</v>
      </c>
      <c r="T9" s="769" t="s">
        <v>17</v>
      </c>
      <c r="U9" s="770">
        <f t="shared" si="1"/>
        <v>100</v>
      </c>
      <c r="V9" s="769" t="s">
        <v>17</v>
      </c>
      <c r="W9" s="770">
        <f t="shared" si="2"/>
        <v>100</v>
      </c>
      <c r="X9" s="771"/>
      <c r="Y9" s="3034" t="s">
        <v>2559</v>
      </c>
      <c r="Z9" s="54" t="str">
        <f t="shared" ref="Z9:Z15" si="7">Q9</f>
        <v>用途</v>
      </c>
      <c r="AA9" s="772">
        <f t="shared" si="3"/>
        <v>1</v>
      </c>
      <c r="AB9" s="772">
        <f t="shared" si="4"/>
        <v>1</v>
      </c>
      <c r="AC9" s="2672">
        <f t="shared" si="5"/>
        <v>1</v>
      </c>
    </row>
    <row r="10" spans="1:29" s="426" customFormat="1" ht="27">
      <c r="A10" s="420"/>
      <c r="B10" s="421" t="s">
        <v>2560</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00"/>
      <c r="Q10" s="1797" t="str">
        <f t="shared" si="6"/>
        <v>土地使用年限（年）</v>
      </c>
      <c r="R10" s="769" t="s">
        <v>17</v>
      </c>
      <c r="S10" s="770">
        <f t="shared" si="0"/>
        <v>100</v>
      </c>
      <c r="T10" s="769" t="s">
        <v>17</v>
      </c>
      <c r="U10" s="770">
        <f t="shared" si="1"/>
        <v>100</v>
      </c>
      <c r="V10" s="769" t="s">
        <v>17</v>
      </c>
      <c r="W10" s="770">
        <f t="shared" si="2"/>
        <v>100</v>
      </c>
      <c r="X10" s="771"/>
      <c r="Y10" s="3034"/>
      <c r="Z10" s="54" t="str">
        <f t="shared" si="7"/>
        <v>土地使用年限（年）</v>
      </c>
      <c r="AA10" s="772">
        <f t="shared" si="3"/>
        <v>1</v>
      </c>
      <c r="AB10" s="772">
        <f t="shared" si="4"/>
        <v>1</v>
      </c>
      <c r="AC10" s="2672">
        <f t="shared" si="5"/>
        <v>1</v>
      </c>
    </row>
    <row r="11" spans="1:29" ht="15">
      <c r="A11" s="427"/>
      <c r="B11" s="421" t="s">
        <v>2561</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00"/>
      <c r="Q11" s="1797" t="str">
        <f t="shared" si="6"/>
        <v>容积率</v>
      </c>
      <c r="R11" s="769" t="s">
        <v>17</v>
      </c>
      <c r="S11" s="770" t="e">
        <f t="shared" si="0"/>
        <v>#N/A</v>
      </c>
      <c r="T11" s="769" t="s">
        <v>17</v>
      </c>
      <c r="U11" s="770" t="e">
        <f t="shared" si="1"/>
        <v>#N/A</v>
      </c>
      <c r="V11" s="769" t="s">
        <v>17</v>
      </c>
      <c r="W11" s="770" t="e">
        <f t="shared" si="2"/>
        <v>#N/A</v>
      </c>
      <c r="X11" s="771"/>
      <c r="Y11" s="3034"/>
      <c r="Z11" s="54" t="str">
        <f t="shared" si="7"/>
        <v>容积率</v>
      </c>
      <c r="AA11" s="772" t="e">
        <f t="shared" si="3"/>
        <v>#N/A</v>
      </c>
      <c r="AB11" s="772" t="e">
        <f t="shared" si="4"/>
        <v>#N/A</v>
      </c>
      <c r="AC11" s="2672" t="e">
        <f t="shared" si="5"/>
        <v>#N/A</v>
      </c>
    </row>
    <row r="12" spans="1:29" s="116" customFormat="1" ht="15">
      <c r="A12" s="430"/>
      <c r="B12" s="2601">
        <v>111</v>
      </c>
      <c r="C12" s="431"/>
      <c r="D12" s="432">
        <v>100</v>
      </c>
      <c r="E12" s="431"/>
      <c r="F12" s="135">
        <f>SUMIF(71:71,E12,72:72)-SUMIF(71:71,C12,72:72)+100</f>
        <v>100</v>
      </c>
      <c r="G12" s="2673"/>
      <c r="H12" s="135">
        <f>SUMIF(71:71,G12,72:72)-SUMIF(71:71,C12,72:72)+100</f>
        <v>100</v>
      </c>
      <c r="I12" s="431"/>
      <c r="J12" s="135">
        <f>SUMIF(71:71,I12,72:72)-SUMIF(71:71,C12,72:72)+100</f>
        <v>100</v>
      </c>
      <c r="K12" s="612"/>
      <c r="L12" s="1134"/>
      <c r="M12" s="1135"/>
      <c r="N12" s="1135"/>
      <c r="O12" s="1135"/>
      <c r="P12" s="3200"/>
      <c r="Q12" s="1797">
        <f t="shared" si="6"/>
        <v>111</v>
      </c>
      <c r="R12" s="769" t="s">
        <v>17</v>
      </c>
      <c r="S12" s="770">
        <f t="shared" si="0"/>
        <v>100</v>
      </c>
      <c r="T12" s="769" t="s">
        <v>17</v>
      </c>
      <c r="U12" s="770">
        <f t="shared" si="1"/>
        <v>100</v>
      </c>
      <c r="V12" s="769" t="s">
        <v>17</v>
      </c>
      <c r="W12" s="770">
        <f t="shared" si="2"/>
        <v>100</v>
      </c>
      <c r="X12" s="771"/>
      <c r="Y12" s="3034"/>
      <c r="Z12" s="54">
        <f t="shared" si="7"/>
        <v>111</v>
      </c>
      <c r="AA12" s="772">
        <f>D12/F12</f>
        <v>1</v>
      </c>
      <c r="AB12" s="772">
        <f>D12/H12</f>
        <v>1</v>
      </c>
      <c r="AC12" s="2672">
        <f>D12/J12</f>
        <v>1</v>
      </c>
    </row>
    <row r="13" spans="1:29" ht="15">
      <c r="A13" s="427"/>
      <c r="B13" s="2601">
        <v>111</v>
      </c>
      <c r="C13" s="433"/>
      <c r="D13" s="434">
        <v>100</v>
      </c>
      <c r="E13" s="431"/>
      <c r="F13" s="135">
        <f>SUMIF(73:73,E13,74:74)-SUMIF(73:73,C13,74:74)+100</f>
        <v>100</v>
      </c>
      <c r="G13" s="2673"/>
      <c r="H13" s="434">
        <f>SUMIF(73:73,G13,74:74)-SUMIF(73:73,C13,74:74)+100</f>
        <v>100</v>
      </c>
      <c r="I13" s="431"/>
      <c r="J13" s="434">
        <f>SUMIF(73:73,I13,74:74)-SUMIF(73:73,C13,74:74)+100</f>
        <v>100</v>
      </c>
      <c r="K13" s="612"/>
      <c r="L13" s="1142"/>
      <c r="M13" s="1133"/>
      <c r="N13" s="1133"/>
      <c r="O13" s="1133"/>
      <c r="P13" s="3200"/>
      <c r="Q13" s="1797">
        <f t="shared" si="6"/>
        <v>111</v>
      </c>
      <c r="R13" s="769" t="s">
        <v>17</v>
      </c>
      <c r="S13" s="770">
        <f t="shared" si="0"/>
        <v>100</v>
      </c>
      <c r="T13" s="769" t="s">
        <v>17</v>
      </c>
      <c r="U13" s="770">
        <f t="shared" si="1"/>
        <v>100</v>
      </c>
      <c r="V13" s="769" t="s">
        <v>17</v>
      </c>
      <c r="W13" s="770">
        <f t="shared" si="2"/>
        <v>100</v>
      </c>
      <c r="X13" s="771"/>
      <c r="Y13" s="3034"/>
      <c r="Z13" s="54">
        <f t="shared" si="7"/>
        <v>111</v>
      </c>
      <c r="AA13" s="772">
        <f t="shared" si="3"/>
        <v>1</v>
      </c>
      <c r="AB13" s="772">
        <f t="shared" si="4"/>
        <v>1</v>
      </c>
      <c r="AC13" s="2672">
        <f t="shared" si="5"/>
        <v>1</v>
      </c>
    </row>
    <row r="14" spans="1:29" ht="15.75" thickBot="1">
      <c r="A14" s="435"/>
      <c r="B14" s="2603">
        <v>111</v>
      </c>
      <c r="C14" s="436"/>
      <c r="D14" s="437">
        <v>100</v>
      </c>
      <c r="E14" s="627"/>
      <c r="F14" s="437">
        <f>SUMIF(75:75,E14,76:76)-SUMIF(75:75,C14,76:76)+100</f>
        <v>100</v>
      </c>
      <c r="G14" s="2673"/>
      <c r="H14" s="437">
        <f>SUMIF(75:75,G14,76:76)-SUMIF(75:75,C14,76:76)+100</f>
        <v>100</v>
      </c>
      <c r="I14" s="431"/>
      <c r="J14" s="437">
        <f>SUMIF(75:75,I14,76:76)-SUMIF(75:75,C14,76:76)+100</f>
        <v>100</v>
      </c>
      <c r="K14" s="612"/>
      <c r="L14" s="1142"/>
      <c r="M14" s="1133"/>
      <c r="N14" s="1133"/>
      <c r="O14" s="1133"/>
      <c r="P14" s="3200"/>
      <c r="Q14" s="1797">
        <f t="shared" si="6"/>
        <v>111</v>
      </c>
      <c r="R14" s="769" t="s">
        <v>17</v>
      </c>
      <c r="S14" s="770">
        <f t="shared" si="0"/>
        <v>100</v>
      </c>
      <c r="T14" s="769" t="s">
        <v>17</v>
      </c>
      <c r="U14" s="770">
        <f t="shared" si="1"/>
        <v>100</v>
      </c>
      <c r="V14" s="769" t="s">
        <v>17</v>
      </c>
      <c r="W14" s="770">
        <f t="shared" si="2"/>
        <v>100</v>
      </c>
      <c r="X14" s="771"/>
      <c r="Y14" s="3034"/>
      <c r="Z14" s="54">
        <f t="shared" si="7"/>
        <v>111</v>
      </c>
      <c r="AA14" s="772">
        <f t="shared" si="3"/>
        <v>1</v>
      </c>
      <c r="AB14" s="772">
        <f t="shared" si="4"/>
        <v>1</v>
      </c>
      <c r="AC14" s="2672">
        <f t="shared" si="5"/>
        <v>1</v>
      </c>
    </row>
    <row r="15" spans="1:29" ht="71.25">
      <c r="A15" s="439" t="s">
        <v>2562</v>
      </c>
      <c r="B15" s="628" t="s">
        <v>2690</v>
      </c>
      <c r="C15" s="2674"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39" t="s">
        <v>2563</v>
      </c>
      <c r="Q15" s="1812" t="str">
        <f t="shared" si="6"/>
        <v>办公集聚程度</v>
      </c>
      <c r="R15" s="773" t="s">
        <v>17</v>
      </c>
      <c r="S15" s="774">
        <f t="shared" si="0"/>
        <v>100</v>
      </c>
      <c r="T15" s="773" t="s">
        <v>17</v>
      </c>
      <c r="U15" s="774">
        <f t="shared" si="1"/>
        <v>100</v>
      </c>
      <c r="V15" s="773" t="s">
        <v>17</v>
      </c>
      <c r="W15" s="774">
        <f t="shared" si="2"/>
        <v>100</v>
      </c>
      <c r="X15" s="1815"/>
      <c r="Y15" s="3191" t="s">
        <v>2563</v>
      </c>
      <c r="Z15" s="1816" t="str">
        <f t="shared" si="7"/>
        <v>办公集聚程度</v>
      </c>
      <c r="AA15" s="1813">
        <f t="shared" si="3"/>
        <v>1</v>
      </c>
      <c r="AB15" s="1813">
        <f t="shared" si="4"/>
        <v>1</v>
      </c>
      <c r="AC15" s="2675">
        <f t="shared" si="5"/>
        <v>1</v>
      </c>
    </row>
    <row r="16" spans="1:29" ht="15">
      <c r="A16" s="427"/>
      <c r="B16" s="629"/>
      <c r="C16" s="2612"/>
      <c r="D16" s="447"/>
      <c r="E16" s="446"/>
      <c r="F16" s="447"/>
      <c r="G16" s="2612"/>
      <c r="H16" s="449"/>
      <c r="I16" s="446"/>
      <c r="J16" s="447"/>
      <c r="K16" s="614"/>
      <c r="L16" s="1142"/>
      <c r="M16" s="1133"/>
      <c r="N16" s="1133"/>
      <c r="O16" s="1133"/>
      <c r="P16" s="3240"/>
      <c r="Q16" s="1812"/>
      <c r="R16" s="773"/>
      <c r="S16" s="774"/>
      <c r="T16" s="773"/>
      <c r="U16" s="774"/>
      <c r="V16" s="773"/>
      <c r="W16" s="774"/>
      <c r="X16" s="1815"/>
      <c r="Y16" s="3192"/>
      <c r="Z16" s="1816"/>
      <c r="AA16" s="1813">
        <v>1</v>
      </c>
      <c r="AB16" s="1813">
        <v>1</v>
      </c>
      <c r="AC16" s="2675">
        <v>1</v>
      </c>
    </row>
    <row r="17" spans="1:29" ht="71.25">
      <c r="A17" s="427"/>
      <c r="B17" s="630" t="s">
        <v>2101</v>
      </c>
      <c r="C17" s="2676"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40"/>
      <c r="Q17" s="1812" t="str">
        <f>B17</f>
        <v>交通便捷度</v>
      </c>
      <c r="R17" s="773" t="s">
        <v>17</v>
      </c>
      <c r="S17" s="774">
        <f>F17</f>
        <v>100</v>
      </c>
      <c r="T17" s="773" t="s">
        <v>17</v>
      </c>
      <c r="U17" s="774">
        <f>H17</f>
        <v>100</v>
      </c>
      <c r="V17" s="773" t="s">
        <v>17</v>
      </c>
      <c r="W17" s="774">
        <f>J17</f>
        <v>100</v>
      </c>
      <c r="X17" s="1815"/>
      <c r="Y17" s="3192"/>
      <c r="Z17" s="1816" t="str">
        <f>Q17</f>
        <v>交通便捷度</v>
      </c>
      <c r="AA17" s="1813">
        <f t="shared" si="3"/>
        <v>1</v>
      </c>
      <c r="AB17" s="1813">
        <f t="shared" si="4"/>
        <v>1</v>
      </c>
      <c r="AC17" s="2675">
        <f t="shared" si="5"/>
        <v>1</v>
      </c>
    </row>
    <row r="18" spans="1:29" ht="15">
      <c r="A18" s="427"/>
      <c r="B18" s="631"/>
      <c r="C18" s="2677"/>
      <c r="D18" s="449"/>
      <c r="E18" s="2610"/>
      <c r="F18" s="449"/>
      <c r="G18" s="2611"/>
      <c r="H18" s="447"/>
      <c r="I18" s="2611"/>
      <c r="J18" s="447"/>
      <c r="K18" s="614"/>
      <c r="L18" s="1142"/>
      <c r="M18" s="1133"/>
      <c r="N18" s="1133"/>
      <c r="O18" s="1133"/>
      <c r="P18" s="3240"/>
      <c r="Q18" s="1812"/>
      <c r="R18" s="773"/>
      <c r="S18" s="774"/>
      <c r="T18" s="773"/>
      <c r="U18" s="774"/>
      <c r="V18" s="773"/>
      <c r="W18" s="774"/>
      <c r="X18" s="1815"/>
      <c r="Y18" s="3192"/>
      <c r="Z18" s="1816"/>
      <c r="AA18" s="1813">
        <v>1</v>
      </c>
      <c r="AB18" s="1813">
        <v>1</v>
      </c>
      <c r="AC18" s="2675">
        <v>1</v>
      </c>
    </row>
    <row r="19" spans="1:29" ht="42.75">
      <c r="A19" s="427"/>
      <c r="B19" s="630" t="s">
        <v>2691</v>
      </c>
      <c r="C19" s="2676"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40"/>
      <c r="Q19" s="1812" t="str">
        <f>B19</f>
        <v>公共配套设施</v>
      </c>
      <c r="R19" s="773" t="s">
        <v>17</v>
      </c>
      <c r="S19" s="774">
        <f>F19</f>
        <v>100</v>
      </c>
      <c r="T19" s="773" t="s">
        <v>17</v>
      </c>
      <c r="U19" s="774">
        <f>H19</f>
        <v>100</v>
      </c>
      <c r="V19" s="773" t="s">
        <v>17</v>
      </c>
      <c r="W19" s="774">
        <f>J19</f>
        <v>100</v>
      </c>
      <c r="X19" s="1815"/>
      <c r="Y19" s="3192"/>
      <c r="Z19" s="1816" t="str">
        <f>Q19</f>
        <v>公共配套设施</v>
      </c>
      <c r="AA19" s="1813">
        <f t="shared" si="3"/>
        <v>1</v>
      </c>
      <c r="AB19" s="1813">
        <f t="shared" si="4"/>
        <v>1</v>
      </c>
      <c r="AC19" s="2675">
        <f t="shared" si="5"/>
        <v>1</v>
      </c>
    </row>
    <row r="20" spans="1:29" ht="15">
      <c r="A20" s="427"/>
      <c r="B20" s="631"/>
      <c r="C20" s="2612"/>
      <c r="D20" s="447"/>
      <c r="E20" s="2605"/>
      <c r="F20" s="447"/>
      <c r="G20" s="2606"/>
      <c r="H20" s="447"/>
      <c r="I20" s="2606"/>
      <c r="J20" s="447"/>
      <c r="K20" s="614"/>
      <c r="L20" s="1142"/>
      <c r="M20" s="1133"/>
      <c r="N20" s="1133"/>
      <c r="O20" s="1133"/>
      <c r="P20" s="3240"/>
      <c r="Q20" s="1812"/>
      <c r="R20" s="773"/>
      <c r="S20" s="774"/>
      <c r="T20" s="773"/>
      <c r="U20" s="774"/>
      <c r="V20" s="773"/>
      <c r="W20" s="774"/>
      <c r="X20" s="1815"/>
      <c r="Y20" s="3192"/>
      <c r="Z20" s="1816"/>
      <c r="AA20" s="1813">
        <v>1</v>
      </c>
      <c r="AB20" s="1813">
        <v>1</v>
      </c>
      <c r="AC20" s="2675">
        <v>1</v>
      </c>
    </row>
    <row r="21" spans="1:29" ht="28.5">
      <c r="A21" s="427"/>
      <c r="B21" s="632" t="s">
        <v>2692</v>
      </c>
      <c r="C21" s="2676"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40"/>
      <c r="Q21" s="1812" t="str">
        <f>B21</f>
        <v>基础设施水平</v>
      </c>
      <c r="R21" s="773" t="s">
        <v>17</v>
      </c>
      <c r="S21" s="774">
        <f>F21</f>
        <v>100</v>
      </c>
      <c r="T21" s="773" t="s">
        <v>17</v>
      </c>
      <c r="U21" s="774">
        <f>H21</f>
        <v>100</v>
      </c>
      <c r="V21" s="773" t="s">
        <v>17</v>
      </c>
      <c r="W21" s="774">
        <f>J21</f>
        <v>100</v>
      </c>
      <c r="X21" s="1815"/>
      <c r="Y21" s="3192"/>
      <c r="Z21" s="1816" t="str">
        <f>Q21</f>
        <v>基础设施水平</v>
      </c>
      <c r="AA21" s="1813">
        <f t="shared" ref="AA21" si="8">D21/F21</f>
        <v>1</v>
      </c>
      <c r="AB21" s="1813">
        <f t="shared" ref="AB21" si="9">D21/H21</f>
        <v>1</v>
      </c>
      <c r="AC21" s="2675">
        <f t="shared" ref="AC21" si="10">D21/J21</f>
        <v>1</v>
      </c>
    </row>
    <row r="22" spans="1:29" ht="15">
      <c r="A22" s="427"/>
      <c r="B22" s="632"/>
      <c r="C22" s="2677"/>
      <c r="D22" s="447"/>
      <c r="E22" s="446"/>
      <c r="F22" s="447"/>
      <c r="G22" s="2612"/>
      <c r="H22" s="447"/>
      <c r="I22" s="2612"/>
      <c r="J22" s="447"/>
      <c r="K22" s="1385"/>
      <c r="L22" s="1142"/>
      <c r="M22" s="1133"/>
      <c r="N22" s="1133"/>
      <c r="O22" s="1133"/>
      <c r="P22" s="3240"/>
      <c r="Q22" s="1812"/>
      <c r="R22" s="773"/>
      <c r="S22" s="774"/>
      <c r="T22" s="773"/>
      <c r="U22" s="774"/>
      <c r="V22" s="773"/>
      <c r="W22" s="774"/>
      <c r="X22" s="1815"/>
      <c r="Y22" s="3192"/>
      <c r="Z22" s="1816"/>
      <c r="AA22" s="1813">
        <v>1</v>
      </c>
      <c r="AB22" s="1813">
        <v>1</v>
      </c>
      <c r="AC22" s="2675">
        <v>1</v>
      </c>
    </row>
    <row r="23" spans="1:29" ht="42.75">
      <c r="A23" s="427"/>
      <c r="B23" s="630" t="s">
        <v>2693</v>
      </c>
      <c r="C23" s="2676"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40"/>
      <c r="Q23" s="1812" t="str">
        <f>B23</f>
        <v>环境质量</v>
      </c>
      <c r="R23" s="773" t="s">
        <v>17</v>
      </c>
      <c r="S23" s="774">
        <f>F23</f>
        <v>100</v>
      </c>
      <c r="T23" s="773" t="s">
        <v>17</v>
      </c>
      <c r="U23" s="774">
        <f>H23</f>
        <v>100</v>
      </c>
      <c r="V23" s="773" t="s">
        <v>17</v>
      </c>
      <c r="W23" s="774">
        <f>J23</f>
        <v>100</v>
      </c>
      <c r="X23" s="1815"/>
      <c r="Y23" s="3192"/>
      <c r="Z23" s="1816" t="str">
        <f>Q23</f>
        <v>环境质量</v>
      </c>
      <c r="AA23" s="1813">
        <f t="shared" si="3"/>
        <v>1</v>
      </c>
      <c r="AB23" s="1813">
        <f t="shared" si="4"/>
        <v>1</v>
      </c>
      <c r="AC23" s="2675">
        <f t="shared" si="5"/>
        <v>1</v>
      </c>
    </row>
    <row r="24" spans="1:29" ht="15">
      <c r="A24" s="427"/>
      <c r="B24" s="632"/>
      <c r="C24" s="2612"/>
      <c r="D24" s="447"/>
      <c r="E24" s="2605"/>
      <c r="F24" s="447"/>
      <c r="G24" s="2606"/>
      <c r="H24" s="447"/>
      <c r="I24" s="2606"/>
      <c r="J24" s="447"/>
      <c r="K24" s="614"/>
      <c r="L24" s="1142"/>
      <c r="M24" s="1133"/>
      <c r="N24" s="1133"/>
      <c r="O24" s="1133"/>
      <c r="P24" s="3240"/>
      <c r="Q24" s="1812"/>
      <c r="R24" s="773"/>
      <c r="S24" s="774"/>
      <c r="T24" s="773"/>
      <c r="U24" s="774"/>
      <c r="V24" s="773"/>
      <c r="W24" s="774"/>
      <c r="X24" s="1815"/>
      <c r="Y24" s="3192"/>
      <c r="Z24" s="1816"/>
      <c r="AA24" s="1813">
        <v>1</v>
      </c>
      <c r="AB24" s="1813">
        <v>1</v>
      </c>
      <c r="AC24" s="2675">
        <v>1</v>
      </c>
    </row>
    <row r="25" spans="1:29" ht="27">
      <c r="A25" s="403"/>
      <c r="B25" s="630" t="s">
        <v>2694</v>
      </c>
      <c r="C25" s="2616"/>
      <c r="D25" s="434">
        <v>100</v>
      </c>
      <c r="E25" s="433"/>
      <c r="F25" s="434">
        <f>SUMIF(87:87,E26,88:88)-SUMIF(87:87,C26,88:88)+100</f>
        <v>100</v>
      </c>
      <c r="G25" s="2616"/>
      <c r="H25" s="434">
        <f>SUMIF(87:87,G26,88:88)-SUMIF(87:87,C26,88:88)+100</f>
        <v>100</v>
      </c>
      <c r="I25" s="433"/>
      <c r="J25" s="434">
        <f>SUMIF(87:87,I26,88:88)-SUMIF(87:87,C26,88:88)+100</f>
        <v>100</v>
      </c>
      <c r="K25" s="613"/>
      <c r="L25" s="1142"/>
      <c r="M25" s="1133"/>
      <c r="N25" s="1133"/>
      <c r="O25" s="1133"/>
      <c r="P25" s="3240"/>
      <c r="Q25" s="1812" t="str">
        <f>B25</f>
        <v>毗邻道路的类型与等级</v>
      </c>
      <c r="R25" s="773" t="s">
        <v>17</v>
      </c>
      <c r="S25" s="774">
        <f>F25</f>
        <v>100</v>
      </c>
      <c r="T25" s="773" t="s">
        <v>17</v>
      </c>
      <c r="U25" s="774">
        <f>H25</f>
        <v>100</v>
      </c>
      <c r="V25" s="773" t="s">
        <v>17</v>
      </c>
      <c r="W25" s="774">
        <f>J25</f>
        <v>100</v>
      </c>
      <c r="X25" s="1815"/>
      <c r="Y25" s="3192"/>
      <c r="Z25" s="1816" t="str">
        <f>Q25</f>
        <v>毗邻道路的类型与等级</v>
      </c>
      <c r="AA25" s="1813">
        <f t="shared" si="3"/>
        <v>1</v>
      </c>
      <c r="AB25" s="1813">
        <f t="shared" si="4"/>
        <v>1</v>
      </c>
      <c r="AC25" s="2675">
        <f t="shared" si="5"/>
        <v>1</v>
      </c>
    </row>
    <row r="26" spans="1:29" ht="15">
      <c r="A26" s="403"/>
      <c r="B26" s="631"/>
      <c r="C26" s="633"/>
      <c r="D26" s="434"/>
      <c r="E26" s="615"/>
      <c r="F26" s="434"/>
      <c r="G26" s="633"/>
      <c r="H26" s="434"/>
      <c r="I26" s="615"/>
      <c r="J26" s="434"/>
      <c r="K26" s="614"/>
      <c r="L26" s="1142"/>
      <c r="M26" s="1133"/>
      <c r="N26" s="1133"/>
      <c r="O26" s="1133"/>
      <c r="P26" s="3240"/>
      <c r="Q26" s="1812"/>
      <c r="R26" s="773"/>
      <c r="S26" s="774"/>
      <c r="T26" s="773"/>
      <c r="U26" s="774"/>
      <c r="V26" s="773"/>
      <c r="W26" s="774"/>
      <c r="X26" s="1815"/>
      <c r="Y26" s="3192"/>
      <c r="Z26" s="1816"/>
      <c r="AA26" s="1813">
        <v>1</v>
      </c>
      <c r="AB26" s="1813">
        <v>1</v>
      </c>
      <c r="AC26" s="2675">
        <v>1</v>
      </c>
    </row>
    <row r="27" spans="1:29" ht="15">
      <c r="A27" s="427"/>
      <c r="B27" s="631" t="s">
        <v>2662</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40"/>
      <c r="Q27" s="1812" t="str">
        <f t="shared" ref="Q27:Q47" si="11">B27</f>
        <v>楼层</v>
      </c>
      <c r="R27" s="773" t="s">
        <v>17</v>
      </c>
      <c r="S27" s="774">
        <f>F27</f>
        <v>100</v>
      </c>
      <c r="T27" s="773" t="s">
        <v>17</v>
      </c>
      <c r="U27" s="774">
        <f>H27</f>
        <v>100</v>
      </c>
      <c r="V27" s="773" t="s">
        <v>17</v>
      </c>
      <c r="W27" s="774">
        <f>J27</f>
        <v>100</v>
      </c>
      <c r="X27" s="1815"/>
      <c r="Y27" s="3192"/>
      <c r="Z27" s="1816" t="str">
        <f>Q27</f>
        <v>楼层</v>
      </c>
      <c r="AA27" s="1813">
        <f t="shared" si="3"/>
        <v>1</v>
      </c>
      <c r="AB27" s="1813">
        <f t="shared" si="4"/>
        <v>1</v>
      </c>
      <c r="AC27" s="2675">
        <f t="shared" si="5"/>
        <v>1</v>
      </c>
    </row>
    <row r="28" spans="1:29" s="116" customFormat="1" ht="15">
      <c r="A28" s="430"/>
      <c r="B28" s="630" t="s">
        <v>2695</v>
      </c>
      <c r="C28" s="2678"/>
      <c r="D28" s="461">
        <v>100</v>
      </c>
      <c r="E28" s="2666"/>
      <c r="F28" s="461">
        <f>SUMIF(91:91,E28,92:92)-SUMIF(91:91,C28,92:92)+100</f>
        <v>100</v>
      </c>
      <c r="G28" s="2678"/>
      <c r="H28" s="461">
        <f>SUMIF(91:91,G28,92:92)-SUMIF(91:91,C28,92:92)+100</f>
        <v>100</v>
      </c>
      <c r="I28" s="2666"/>
      <c r="J28" s="461">
        <f>SUMIF(91:91,I28,92:92)-SUMIF(91:91,C28,92:92)+100</f>
        <v>100</v>
      </c>
      <c r="K28" s="611"/>
      <c r="L28" s="1134"/>
      <c r="M28" s="1135"/>
      <c r="N28" s="1135"/>
      <c r="O28" s="1135"/>
      <c r="P28" s="3240"/>
      <c r="Q28" s="1797" t="str">
        <f t="shared" si="11"/>
        <v>朝向</v>
      </c>
      <c r="R28" s="769" t="s">
        <v>17</v>
      </c>
      <c r="S28" s="770">
        <f>F28</f>
        <v>100</v>
      </c>
      <c r="T28" s="769" t="s">
        <v>17</v>
      </c>
      <c r="U28" s="770">
        <f>H28</f>
        <v>100</v>
      </c>
      <c r="V28" s="769" t="s">
        <v>17</v>
      </c>
      <c r="W28" s="770">
        <f>J28</f>
        <v>100</v>
      </c>
      <c r="X28" s="771"/>
      <c r="Y28" s="3192"/>
      <c r="Z28" s="54" t="str">
        <f>Q28</f>
        <v>朝向</v>
      </c>
      <c r="AA28" s="1813">
        <f>D28/F28</f>
        <v>1</v>
      </c>
      <c r="AB28" s="1813">
        <f>D28/H28</f>
        <v>1</v>
      </c>
      <c r="AC28" s="2675">
        <f>D28/J28</f>
        <v>1</v>
      </c>
    </row>
    <row r="29" spans="1:29" ht="15">
      <c r="A29" s="427"/>
      <c r="B29" s="2679">
        <v>111</v>
      </c>
      <c r="C29" s="2616"/>
      <c r="D29" s="434">
        <v>100</v>
      </c>
      <c r="E29" s="431"/>
      <c r="F29" s="434">
        <f>SUMIF(93:93,E29,94:94)-SUMIF(93:93,C29,94:94)+100</f>
        <v>100</v>
      </c>
      <c r="G29" s="2673"/>
      <c r="H29" s="434">
        <f>SUMIF(93:93,G29,94:94)-SUMIF(93:93,C29,94:94)+100</f>
        <v>100</v>
      </c>
      <c r="I29" s="431"/>
      <c r="J29" s="434">
        <f>SUMIF(93:93,I29,94:94)-SUMIF(93:93,C29,94:94)+100</f>
        <v>100</v>
      </c>
      <c r="K29" s="612"/>
      <c r="L29" s="1142"/>
      <c r="M29" s="1133"/>
      <c r="N29" s="1133"/>
      <c r="O29" s="1133"/>
      <c r="P29" s="3240"/>
      <c r="Q29" s="1812">
        <f t="shared" si="11"/>
        <v>111</v>
      </c>
      <c r="R29" s="773" t="s">
        <v>17</v>
      </c>
      <c r="S29" s="774">
        <f t="shared" ref="S29:S47" si="12">F29</f>
        <v>100</v>
      </c>
      <c r="T29" s="773" t="s">
        <v>17</v>
      </c>
      <c r="U29" s="774">
        <f t="shared" ref="U29:U47" si="13">H29</f>
        <v>100</v>
      </c>
      <c r="V29" s="773" t="s">
        <v>17</v>
      </c>
      <c r="W29" s="774">
        <f t="shared" ref="W29:W47" si="14">J29</f>
        <v>100</v>
      </c>
      <c r="X29" s="1815"/>
      <c r="Y29" s="3192"/>
      <c r="Z29" s="1816">
        <f t="shared" ref="Z29:Z47" si="15">Q29</f>
        <v>111</v>
      </c>
      <c r="AA29" s="1813">
        <f t="shared" si="3"/>
        <v>1</v>
      </c>
      <c r="AB29" s="1813">
        <f t="shared" si="4"/>
        <v>1</v>
      </c>
      <c r="AC29" s="2675">
        <f t="shared" si="5"/>
        <v>1</v>
      </c>
    </row>
    <row r="30" spans="1:29" ht="15">
      <c r="A30" s="427"/>
      <c r="B30" s="2679">
        <v>111</v>
      </c>
      <c r="C30" s="2616"/>
      <c r="D30" s="434">
        <v>100</v>
      </c>
      <c r="E30" s="431"/>
      <c r="F30" s="434">
        <f>SUMIF(95:95,E30,96:96)-SUMIF(95:95,C30,96:96)+100</f>
        <v>100</v>
      </c>
      <c r="G30" s="2673"/>
      <c r="H30" s="434">
        <f>SUMIF(95:95,G30,96:96)-SUMIF(95:95,C30,96:96)+100</f>
        <v>100</v>
      </c>
      <c r="I30" s="431"/>
      <c r="J30" s="434">
        <f>SUMIF(95:95,I30,96:96)-SUMIF(95:95,C30,96:96)+100</f>
        <v>100</v>
      </c>
      <c r="K30" s="612"/>
      <c r="L30" s="1142"/>
      <c r="M30" s="1133"/>
      <c r="N30" s="1133"/>
      <c r="O30" s="1133"/>
      <c r="P30" s="3240"/>
      <c r="Q30" s="1812">
        <f t="shared" si="11"/>
        <v>111</v>
      </c>
      <c r="R30" s="773" t="s">
        <v>17</v>
      </c>
      <c r="S30" s="774">
        <f t="shared" si="12"/>
        <v>100</v>
      </c>
      <c r="T30" s="773" t="s">
        <v>17</v>
      </c>
      <c r="U30" s="774">
        <f t="shared" si="13"/>
        <v>100</v>
      </c>
      <c r="V30" s="773" t="s">
        <v>17</v>
      </c>
      <c r="W30" s="774">
        <f t="shared" si="14"/>
        <v>100</v>
      </c>
      <c r="X30" s="1815"/>
      <c r="Y30" s="3192"/>
      <c r="Z30" s="1816">
        <f t="shared" si="15"/>
        <v>111</v>
      </c>
      <c r="AA30" s="1813">
        <f t="shared" si="3"/>
        <v>1</v>
      </c>
      <c r="AB30" s="1813">
        <f t="shared" si="4"/>
        <v>1</v>
      </c>
      <c r="AC30" s="2675">
        <f t="shared" si="5"/>
        <v>1</v>
      </c>
    </row>
    <row r="31" spans="1:29" ht="15">
      <c r="A31" s="427"/>
      <c r="B31" s="2679">
        <v>111</v>
      </c>
      <c r="C31" s="2616"/>
      <c r="D31" s="434">
        <v>100</v>
      </c>
      <c r="E31" s="431"/>
      <c r="F31" s="434">
        <f>SUMIF(97:97,E31,98:98)-SUMIF(97:97,C31,98:98)+100</f>
        <v>100</v>
      </c>
      <c r="G31" s="2673"/>
      <c r="H31" s="434">
        <f>SUMIF(97:97,G31,98:98)-SUMIF(97:97,C31,98:98)+100</f>
        <v>100</v>
      </c>
      <c r="I31" s="431"/>
      <c r="J31" s="434">
        <f>SUMIF(97:97,I31,98:98)-SUMIF(97:97,C31,98:98)+100</f>
        <v>100</v>
      </c>
      <c r="K31" s="612"/>
      <c r="L31" s="1142"/>
      <c r="M31" s="1133"/>
      <c r="N31" s="1133"/>
      <c r="O31" s="1133"/>
      <c r="P31" s="3240"/>
      <c r="Q31" s="1812">
        <f t="shared" si="11"/>
        <v>111</v>
      </c>
      <c r="R31" s="773" t="s">
        <v>17</v>
      </c>
      <c r="S31" s="774">
        <f t="shared" si="12"/>
        <v>100</v>
      </c>
      <c r="T31" s="773" t="s">
        <v>17</v>
      </c>
      <c r="U31" s="774">
        <f t="shared" si="13"/>
        <v>100</v>
      </c>
      <c r="V31" s="773" t="s">
        <v>17</v>
      </c>
      <c r="W31" s="774">
        <f t="shared" si="14"/>
        <v>100</v>
      </c>
      <c r="X31" s="1815"/>
      <c r="Y31" s="3192"/>
      <c r="Z31" s="1816">
        <f t="shared" si="15"/>
        <v>111</v>
      </c>
      <c r="AA31" s="1813">
        <f t="shared" si="3"/>
        <v>1</v>
      </c>
      <c r="AB31" s="1813">
        <f t="shared" si="4"/>
        <v>1</v>
      </c>
      <c r="AC31" s="2675">
        <f t="shared" si="5"/>
        <v>1</v>
      </c>
    </row>
    <row r="32" spans="1:29" ht="15.75" thickBot="1">
      <c r="A32" s="435"/>
      <c r="B32" s="634">
        <v>111</v>
      </c>
      <c r="C32" s="2617"/>
      <c r="D32" s="437">
        <v>100</v>
      </c>
      <c r="E32" s="627"/>
      <c r="F32" s="437">
        <f>SUMIF(99:99,E32,100:100)-SUMIF(99:99,C32,100:100)+100</f>
        <v>100</v>
      </c>
      <c r="G32" s="2673"/>
      <c r="H32" s="437">
        <f>SUMIF(99:99,G32,100:100)-SUMIF(99:99,C32,100:100)+100</f>
        <v>100</v>
      </c>
      <c r="I32" s="431"/>
      <c r="J32" s="437">
        <f>SUMIF(99:99,I32,100:100)-SUMIF(99:99,C32,100:100)+100</f>
        <v>100</v>
      </c>
      <c r="K32" s="612"/>
      <c r="L32" s="1142"/>
      <c r="M32" s="1133"/>
      <c r="N32" s="1133"/>
      <c r="O32" s="1133"/>
      <c r="P32" s="3240"/>
      <c r="Q32" s="1812">
        <f t="shared" si="11"/>
        <v>111</v>
      </c>
      <c r="R32" s="773" t="s">
        <v>17</v>
      </c>
      <c r="S32" s="774">
        <f t="shared" si="12"/>
        <v>100</v>
      </c>
      <c r="T32" s="773" t="s">
        <v>17</v>
      </c>
      <c r="U32" s="774">
        <f t="shared" si="13"/>
        <v>100</v>
      </c>
      <c r="V32" s="773" t="s">
        <v>17</v>
      </c>
      <c r="W32" s="774">
        <f t="shared" si="14"/>
        <v>100</v>
      </c>
      <c r="X32" s="1815"/>
      <c r="Y32" s="3192"/>
      <c r="Z32" s="1816">
        <f t="shared" si="15"/>
        <v>111</v>
      </c>
      <c r="AA32" s="1813">
        <f t="shared" si="3"/>
        <v>1</v>
      </c>
      <c r="AB32" s="1813">
        <f t="shared" si="4"/>
        <v>1</v>
      </c>
      <c r="AC32" s="2675">
        <f t="shared" si="5"/>
        <v>1</v>
      </c>
    </row>
    <row r="33" spans="1:29" ht="15">
      <c r="A33" s="439" t="s">
        <v>2566</v>
      </c>
      <c r="B33" s="70" t="s">
        <v>2696</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42"/>
      <c r="M33" s="1133"/>
      <c r="N33" s="1133"/>
      <c r="O33" s="1133"/>
      <c r="P33" s="3235" t="s">
        <v>2568</v>
      </c>
      <c r="Q33" s="1812" t="str">
        <f t="shared" si="11"/>
        <v>建筑类型</v>
      </c>
      <c r="R33" s="773" t="s">
        <v>17</v>
      </c>
      <c r="S33" s="774">
        <f t="shared" si="12"/>
        <v>100</v>
      </c>
      <c r="T33" s="773" t="s">
        <v>17</v>
      </c>
      <c r="U33" s="774">
        <f t="shared" si="13"/>
        <v>100</v>
      </c>
      <c r="V33" s="773" t="s">
        <v>17</v>
      </c>
      <c r="W33" s="774">
        <f t="shared" si="14"/>
        <v>100</v>
      </c>
      <c r="X33" s="1815"/>
      <c r="Y33" s="3194" t="s">
        <v>2568</v>
      </c>
      <c r="Z33" s="1816" t="str">
        <f t="shared" si="15"/>
        <v>建筑类型</v>
      </c>
      <c r="AA33" s="1813">
        <f t="shared" si="3"/>
        <v>1</v>
      </c>
      <c r="AB33" s="1813">
        <f t="shared" si="4"/>
        <v>1</v>
      </c>
      <c r="AC33" s="2675">
        <f t="shared" si="5"/>
        <v>1</v>
      </c>
    </row>
    <row r="34" spans="1:29" s="470" customFormat="1" ht="15">
      <c r="A34" s="467"/>
      <c r="B34" s="421" t="s">
        <v>2569</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36"/>
      <c r="Q34" s="775" t="str">
        <f t="shared" si="11"/>
        <v>项目建筑规模</v>
      </c>
      <c r="R34" s="776" t="s">
        <v>17</v>
      </c>
      <c r="S34" s="777" t="e">
        <f t="shared" si="12"/>
        <v>#N/A</v>
      </c>
      <c r="T34" s="776" t="s">
        <v>17</v>
      </c>
      <c r="U34" s="777" t="e">
        <f t="shared" si="13"/>
        <v>#N/A</v>
      </c>
      <c r="V34" s="776" t="s">
        <v>17</v>
      </c>
      <c r="W34" s="777" t="e">
        <f t="shared" si="14"/>
        <v>#N/A</v>
      </c>
      <c r="X34" s="778"/>
      <c r="Y34" s="3194"/>
      <c r="Z34" s="779" t="str">
        <f t="shared" si="15"/>
        <v>项目建筑规模</v>
      </c>
      <c r="AA34" s="1813" t="e">
        <f t="shared" si="3"/>
        <v>#N/A</v>
      </c>
      <c r="AB34" s="1813" t="e">
        <f t="shared" si="4"/>
        <v>#N/A</v>
      </c>
      <c r="AC34" s="2675" t="e">
        <f t="shared" si="5"/>
        <v>#N/A</v>
      </c>
    </row>
    <row r="35" spans="1:29" ht="15">
      <c r="A35" s="471"/>
      <c r="B35" s="421" t="s">
        <v>2570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36"/>
      <c r="Q35" s="1812" t="str">
        <f t="shared" si="11"/>
        <v>建筑结构</v>
      </c>
      <c r="R35" s="773" t="s">
        <v>17</v>
      </c>
      <c r="S35" s="774">
        <f t="shared" si="12"/>
        <v>100</v>
      </c>
      <c r="T35" s="773" t="s">
        <v>17</v>
      </c>
      <c r="U35" s="774">
        <f t="shared" si="13"/>
        <v>100</v>
      </c>
      <c r="V35" s="773" t="s">
        <v>17</v>
      </c>
      <c r="W35" s="774">
        <f t="shared" si="14"/>
        <v>100</v>
      </c>
      <c r="X35" s="1815"/>
      <c r="Y35" s="3194"/>
      <c r="Z35" s="1816" t="str">
        <f t="shared" si="15"/>
        <v>建筑结构</v>
      </c>
      <c r="AA35" s="1813">
        <f t="shared" si="3"/>
        <v>1</v>
      </c>
      <c r="AB35" s="1813">
        <f t="shared" si="4"/>
        <v>1</v>
      </c>
      <c r="AC35" s="2675">
        <f t="shared" si="5"/>
        <v>1</v>
      </c>
    </row>
    <row r="36" spans="1:29" ht="15">
      <c r="A36" s="471"/>
      <c r="B36" s="421" t="s">
        <v>2664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36"/>
      <c r="Q36" s="1812" t="str">
        <f t="shared" si="11"/>
        <v>公共部分装修</v>
      </c>
      <c r="R36" s="773" t="s">
        <v>17</v>
      </c>
      <c r="S36" s="774">
        <f t="shared" si="12"/>
        <v>100</v>
      </c>
      <c r="T36" s="773" t="s">
        <v>17</v>
      </c>
      <c r="U36" s="774">
        <f t="shared" si="13"/>
        <v>100</v>
      </c>
      <c r="V36" s="773" t="s">
        <v>17</v>
      </c>
      <c r="W36" s="774">
        <f t="shared" si="14"/>
        <v>100</v>
      </c>
      <c r="X36" s="1815"/>
      <c r="Y36" s="3194"/>
      <c r="Z36" s="1816" t="str">
        <f t="shared" si="15"/>
        <v>公共部分装修</v>
      </c>
      <c r="AA36" s="1813">
        <f t="shared" si="3"/>
        <v>1</v>
      </c>
      <c r="AB36" s="1813">
        <f t="shared" si="4"/>
        <v>1</v>
      </c>
      <c r="AC36" s="2675">
        <f t="shared" si="5"/>
        <v>1</v>
      </c>
    </row>
    <row r="37" spans="1:29" ht="15">
      <c r="A37" s="471"/>
      <c r="B37" s="421" t="s">
        <v>2665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36"/>
      <c r="Q37" s="1812" t="str">
        <f t="shared" si="11"/>
        <v>成新度</v>
      </c>
      <c r="R37" s="773" t="s">
        <v>17</v>
      </c>
      <c r="S37" s="774" t="e">
        <f t="shared" si="12"/>
        <v>#N/A</v>
      </c>
      <c r="T37" s="773" t="s">
        <v>17</v>
      </c>
      <c r="U37" s="774" t="e">
        <f t="shared" si="13"/>
        <v>#N/A</v>
      </c>
      <c r="V37" s="773" t="s">
        <v>17</v>
      </c>
      <c r="W37" s="774" t="e">
        <f t="shared" si="14"/>
        <v>#N/A</v>
      </c>
      <c r="X37" s="1815"/>
      <c r="Y37" s="3194"/>
      <c r="Z37" s="1816" t="str">
        <f t="shared" si="15"/>
        <v>成新度</v>
      </c>
      <c r="AA37" s="1813" t="e">
        <f t="shared" si="3"/>
        <v>#N/A</v>
      </c>
      <c r="AB37" s="1813" t="e">
        <f t="shared" si="4"/>
        <v>#N/A</v>
      </c>
      <c r="AC37" s="2675" t="e">
        <f t="shared" si="5"/>
        <v>#N/A</v>
      </c>
    </row>
    <row r="38" spans="1:29" s="116" customFormat="1" ht="15">
      <c r="A38" s="472"/>
      <c r="B38" s="421" t="s">
        <v>2697</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36"/>
      <c r="Q38" s="1797" t="str">
        <f t="shared" si="11"/>
        <v>写字楼等级</v>
      </c>
      <c r="R38" s="769" t="s">
        <v>17</v>
      </c>
      <c r="S38" s="770">
        <f t="shared" si="12"/>
        <v>100</v>
      </c>
      <c r="T38" s="769" t="s">
        <v>17</v>
      </c>
      <c r="U38" s="770">
        <f t="shared" si="13"/>
        <v>100</v>
      </c>
      <c r="V38" s="769" t="s">
        <v>17</v>
      </c>
      <c r="W38" s="770">
        <f t="shared" si="14"/>
        <v>100</v>
      </c>
      <c r="X38" s="771"/>
      <c r="Y38" s="3194"/>
      <c r="Z38" s="54" t="str">
        <f t="shared" si="15"/>
        <v>写字楼等级</v>
      </c>
      <c r="AA38" s="772">
        <f t="shared" si="3"/>
        <v>1</v>
      </c>
      <c r="AB38" s="772">
        <f t="shared" si="4"/>
        <v>1</v>
      </c>
      <c r="AC38" s="2672">
        <f t="shared" si="5"/>
        <v>1</v>
      </c>
    </row>
    <row r="39" spans="1:29" ht="15">
      <c r="A39" s="471"/>
      <c r="B39" s="421" t="s">
        <v>2698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36" t="s">
        <v>2568</v>
      </c>
      <c r="Q39" s="1812" t="str">
        <f t="shared" si="11"/>
        <v>物业管理</v>
      </c>
      <c r="R39" s="773" t="s">
        <v>17</v>
      </c>
      <c r="S39" s="774">
        <f t="shared" si="12"/>
        <v>100</v>
      </c>
      <c r="T39" s="773" t="s">
        <v>17</v>
      </c>
      <c r="U39" s="774">
        <f t="shared" si="13"/>
        <v>100</v>
      </c>
      <c r="V39" s="773" t="s">
        <v>17</v>
      </c>
      <c r="W39" s="774">
        <f t="shared" si="14"/>
        <v>100</v>
      </c>
      <c r="X39" s="1815"/>
      <c r="Y39" s="3194" t="s">
        <v>2568</v>
      </c>
      <c r="Z39" s="1816" t="str">
        <f t="shared" si="15"/>
        <v>物业管理</v>
      </c>
      <c r="AA39" s="1813">
        <f t="shared" si="3"/>
        <v>1</v>
      </c>
      <c r="AB39" s="1813">
        <f t="shared" si="4"/>
        <v>1</v>
      </c>
      <c r="AC39" s="2675">
        <f t="shared" si="5"/>
        <v>1</v>
      </c>
    </row>
    <row r="40" spans="1:29" ht="15">
      <c r="A40" s="471"/>
      <c r="B40" s="421" t="s">
        <v>2666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36"/>
      <c r="Q40" s="1812" t="str">
        <f t="shared" si="11"/>
        <v>市政基础设施</v>
      </c>
      <c r="R40" s="773" t="s">
        <v>17</v>
      </c>
      <c r="S40" s="774">
        <f t="shared" si="12"/>
        <v>100</v>
      </c>
      <c r="T40" s="773" t="s">
        <v>17</v>
      </c>
      <c r="U40" s="774">
        <f t="shared" si="13"/>
        <v>100</v>
      </c>
      <c r="V40" s="773" t="s">
        <v>17</v>
      </c>
      <c r="W40" s="774">
        <f t="shared" si="14"/>
        <v>100</v>
      </c>
      <c r="X40" s="1815"/>
      <c r="Y40" s="3194"/>
      <c r="Z40" s="1816" t="str">
        <f t="shared" si="15"/>
        <v>市政基础设施</v>
      </c>
      <c r="AA40" s="1813">
        <f t="shared" si="3"/>
        <v>1</v>
      </c>
      <c r="AB40" s="1813">
        <f t="shared" si="4"/>
        <v>1</v>
      </c>
      <c r="AC40" s="2675">
        <f t="shared" si="5"/>
        <v>1</v>
      </c>
    </row>
    <row r="41" spans="1:29" ht="15">
      <c r="A41" s="471"/>
      <c r="B41" s="421" t="s">
        <v>2668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36"/>
      <c r="Q41" s="1812" t="str">
        <f t="shared" si="11"/>
        <v>层高</v>
      </c>
      <c r="R41" s="773" t="s">
        <v>17</v>
      </c>
      <c r="S41" s="774">
        <f t="shared" si="12"/>
        <v>100</v>
      </c>
      <c r="T41" s="773" t="s">
        <v>17</v>
      </c>
      <c r="U41" s="774">
        <f t="shared" si="13"/>
        <v>100</v>
      </c>
      <c r="V41" s="773" t="s">
        <v>17</v>
      </c>
      <c r="W41" s="774">
        <f t="shared" si="14"/>
        <v>100</v>
      </c>
      <c r="X41" s="1815"/>
      <c r="Y41" s="3194"/>
      <c r="Z41" s="1816" t="str">
        <f t="shared" si="15"/>
        <v>层高</v>
      </c>
      <c r="AA41" s="1813">
        <f t="shared" si="3"/>
        <v>1</v>
      </c>
      <c r="AB41" s="1813">
        <f t="shared" si="4"/>
        <v>1</v>
      </c>
      <c r="AC41" s="2675">
        <f t="shared" si="5"/>
        <v>1</v>
      </c>
    </row>
    <row r="42" spans="1:29" s="470" customFormat="1" ht="15">
      <c r="A42" s="467"/>
      <c r="B42" s="1814" t="s">
        <v>2699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36"/>
      <c r="Q42" s="775" t="str">
        <f t="shared" si="11"/>
        <v>单套建筑面积</v>
      </c>
      <c r="R42" s="776" t="s">
        <v>17</v>
      </c>
      <c r="S42" s="777">
        <f t="shared" si="12"/>
        <v>100</v>
      </c>
      <c r="T42" s="776" t="s">
        <v>17</v>
      </c>
      <c r="U42" s="777">
        <f t="shared" si="13"/>
        <v>100</v>
      </c>
      <c r="V42" s="776" t="s">
        <v>17</v>
      </c>
      <c r="W42" s="777">
        <f t="shared" si="14"/>
        <v>100</v>
      </c>
      <c r="X42" s="778"/>
      <c r="Y42" s="3194"/>
      <c r="Z42" s="779" t="str">
        <f t="shared" si="15"/>
        <v>单套建筑面积</v>
      </c>
      <c r="AA42" s="1813">
        <f t="shared" si="3"/>
        <v>1</v>
      </c>
      <c r="AB42" s="1813">
        <f t="shared" si="4"/>
        <v>1</v>
      </c>
      <c r="AC42" s="2675">
        <f t="shared" si="5"/>
        <v>1</v>
      </c>
    </row>
    <row r="43" spans="1:29" ht="15">
      <c r="A43" s="471"/>
      <c r="B43" s="421" t="s">
        <v>2671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36"/>
      <c r="Q43" s="1812" t="str">
        <f t="shared" si="11"/>
        <v>内部装修</v>
      </c>
      <c r="R43" s="773" t="s">
        <v>17</v>
      </c>
      <c r="S43" s="774">
        <f t="shared" si="12"/>
        <v>100</v>
      </c>
      <c r="T43" s="773" t="s">
        <v>17</v>
      </c>
      <c r="U43" s="774">
        <f t="shared" si="13"/>
        <v>100</v>
      </c>
      <c r="V43" s="773" t="s">
        <v>17</v>
      </c>
      <c r="W43" s="774">
        <f t="shared" si="14"/>
        <v>100</v>
      </c>
      <c r="X43" s="1815"/>
      <c r="Y43" s="3194"/>
      <c r="Z43" s="1816" t="str">
        <f t="shared" si="15"/>
        <v>内部装修</v>
      </c>
      <c r="AA43" s="1813">
        <f t="shared" si="3"/>
        <v>1</v>
      </c>
      <c r="AB43" s="1813">
        <f t="shared" si="4"/>
        <v>1</v>
      </c>
      <c r="AC43" s="2675">
        <f t="shared" si="5"/>
        <v>1</v>
      </c>
    </row>
    <row r="44" spans="1:29" ht="15">
      <c r="A44" s="471"/>
      <c r="B44" s="421" t="s">
        <v>2579</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42"/>
      <c r="M44" s="1133"/>
      <c r="N44" s="1133"/>
      <c r="O44" s="1133"/>
      <c r="P44" s="3236"/>
      <c r="Q44" s="1812" t="str">
        <f t="shared" si="11"/>
        <v>内部装修维护情况</v>
      </c>
      <c r="R44" s="773" t="s">
        <v>17</v>
      </c>
      <c r="S44" s="774">
        <f t="shared" si="12"/>
        <v>100</v>
      </c>
      <c r="T44" s="773" t="s">
        <v>17</v>
      </c>
      <c r="U44" s="774">
        <f t="shared" si="13"/>
        <v>100</v>
      </c>
      <c r="V44" s="773" t="s">
        <v>17</v>
      </c>
      <c r="W44" s="774">
        <f t="shared" si="14"/>
        <v>100</v>
      </c>
      <c r="X44" s="1815"/>
      <c r="Y44" s="3194"/>
      <c r="Z44" s="1816" t="str">
        <f t="shared" si="15"/>
        <v>内部装修维护情况</v>
      </c>
      <c r="AA44" s="1813">
        <f t="shared" si="3"/>
        <v>1</v>
      </c>
      <c r="AB44" s="1813">
        <f t="shared" si="4"/>
        <v>1</v>
      </c>
      <c r="AC44" s="2675">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36"/>
      <c r="Q45" s="1797">
        <f t="shared" si="11"/>
        <v>111</v>
      </c>
      <c r="R45" s="769" t="s">
        <v>17</v>
      </c>
      <c r="S45" s="770">
        <f t="shared" si="12"/>
        <v>100</v>
      </c>
      <c r="T45" s="769" t="s">
        <v>17</v>
      </c>
      <c r="U45" s="770">
        <f t="shared" si="13"/>
        <v>100</v>
      </c>
      <c r="V45" s="769" t="s">
        <v>17</v>
      </c>
      <c r="W45" s="770">
        <f t="shared" si="14"/>
        <v>100</v>
      </c>
      <c r="X45" s="771"/>
      <c r="Y45" s="3194"/>
      <c r="Z45" s="54">
        <f t="shared" si="15"/>
        <v>111</v>
      </c>
      <c r="AA45" s="772">
        <f t="shared" si="3"/>
        <v>1</v>
      </c>
      <c r="AB45" s="772">
        <f t="shared" si="4"/>
        <v>1</v>
      </c>
      <c r="AC45" s="2672">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36"/>
      <c r="Q46" s="1812">
        <f t="shared" si="11"/>
        <v>111</v>
      </c>
      <c r="R46" s="773" t="s">
        <v>17</v>
      </c>
      <c r="S46" s="774">
        <f t="shared" si="12"/>
        <v>100</v>
      </c>
      <c r="T46" s="773" t="s">
        <v>17</v>
      </c>
      <c r="U46" s="774">
        <f t="shared" si="13"/>
        <v>100</v>
      </c>
      <c r="V46" s="773" t="s">
        <v>17</v>
      </c>
      <c r="W46" s="774">
        <f t="shared" si="14"/>
        <v>100</v>
      </c>
      <c r="X46" s="1815"/>
      <c r="Y46" s="3194"/>
      <c r="Z46" s="1816">
        <f t="shared" si="15"/>
        <v>111</v>
      </c>
      <c r="AA46" s="1813">
        <f t="shared" si="3"/>
        <v>1</v>
      </c>
      <c r="AB46" s="1813">
        <f t="shared" si="4"/>
        <v>1</v>
      </c>
      <c r="AC46" s="2675">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37"/>
      <c r="Q47" s="1812">
        <f t="shared" si="11"/>
        <v>111</v>
      </c>
      <c r="R47" s="773" t="s">
        <v>17</v>
      </c>
      <c r="S47" s="774">
        <f t="shared" si="12"/>
        <v>100</v>
      </c>
      <c r="T47" s="773" t="s">
        <v>17</v>
      </c>
      <c r="U47" s="774">
        <f t="shared" si="13"/>
        <v>100</v>
      </c>
      <c r="V47" s="773" t="s">
        <v>17</v>
      </c>
      <c r="W47" s="774">
        <f t="shared" si="14"/>
        <v>100</v>
      </c>
      <c r="X47" s="1815"/>
      <c r="Y47" s="3238"/>
      <c r="Z47" s="1816">
        <f t="shared" si="15"/>
        <v>111</v>
      </c>
      <c r="AA47" s="1813">
        <f t="shared" si="3"/>
        <v>1</v>
      </c>
      <c r="AB47" s="1813">
        <f t="shared" si="4"/>
        <v>1</v>
      </c>
      <c r="AC47" s="2675">
        <f t="shared" si="5"/>
        <v>1</v>
      </c>
    </row>
    <row r="48" spans="1:29" ht="15">
      <c r="A48" s="478" t="s">
        <v>2580</v>
      </c>
      <c r="B48" s="479"/>
      <c r="C48" s="1409" t="s">
        <v>1</v>
      </c>
      <c r="D48" s="1410"/>
      <c r="E48" s="1411"/>
      <c r="F48" s="1412"/>
      <c r="G48" s="1413"/>
      <c r="H48" s="1414"/>
      <c r="I48" s="1411"/>
      <c r="J48" s="484"/>
      <c r="K48" s="782"/>
      <c r="L48" s="1145"/>
      <c r="M48" s="1133"/>
      <c r="N48" s="1133"/>
      <c r="O48" s="1133"/>
      <c r="P48" s="3200" t="str">
        <f>A48</f>
        <v>成交单价（元/平方米）</v>
      </c>
      <c r="Q48" s="3176"/>
      <c r="R48" s="3234">
        <f>E48</f>
        <v>0</v>
      </c>
      <c r="S48" s="3234"/>
      <c r="T48" s="3234">
        <f>G48</f>
        <v>0</v>
      </c>
      <c r="U48" s="3234"/>
      <c r="V48" s="3234">
        <f>I48</f>
        <v>0</v>
      </c>
      <c r="W48" s="3234"/>
      <c r="X48" s="445"/>
      <c r="Y48" s="780"/>
      <c r="Z48" s="445"/>
      <c r="AA48" s="445"/>
      <c r="AB48" s="445"/>
      <c r="AC48" s="629"/>
    </row>
    <row r="49" spans="1:29" ht="15.75" thickBot="1">
      <c r="A49" s="485" t="s">
        <v>2672</v>
      </c>
      <c r="B49" s="486"/>
      <c r="C49" s="1415" t="e">
        <f>R50</f>
        <v>#DIV/0!</v>
      </c>
      <c r="D49" s="1416"/>
      <c r="E49" s="1417" t="e">
        <f>R49</f>
        <v>#DIV/0!</v>
      </c>
      <c r="F49" s="1417"/>
      <c r="G49" s="1415" t="e">
        <f>T49</f>
        <v>#DIV/0!</v>
      </c>
      <c r="H49" s="1416"/>
      <c r="I49" s="1417" t="e">
        <f>V49</f>
        <v>#DIV/0!</v>
      </c>
      <c r="J49" s="488"/>
      <c r="K49" s="783"/>
      <c r="L49" s="1145"/>
      <c r="M49" s="1133"/>
      <c r="N49" s="1133"/>
      <c r="O49" s="1133"/>
      <c r="P49" s="3200" t="str">
        <f>A49</f>
        <v>比较价值（元/平方米）</v>
      </c>
      <c r="Q49" s="3176"/>
      <c r="R49" s="3234" t="e">
        <f>IF(F1="售价",ROUND(PRODUCT(R48,AA7:AA47),0),ROUND(PRODUCT(R48,AA7:AA47),1))</f>
        <v>#DIV/0!</v>
      </c>
      <c r="S49" s="3234"/>
      <c r="T49" s="3234" t="e">
        <f>IF(F1="售价",ROUND(PRODUCT(T48,AB7:AB47),0),ROUND(PRODUCT(T48,AB7:AB47),1))</f>
        <v>#DIV/0!</v>
      </c>
      <c r="U49" s="3234"/>
      <c r="V49" s="3234" t="e">
        <f>IF(F1="售价",ROUND(PRODUCT(V48,AC7:AC47),0),ROUND(PRODUCT(V48,AC7:AC47),1))</f>
        <v>#DIV/0!</v>
      </c>
      <c r="W49" s="3234"/>
      <c r="X49" s="445"/>
      <c r="Y49" s="445"/>
      <c r="Z49" s="445"/>
      <c r="AA49" s="445"/>
      <c r="AB49" s="445"/>
      <c r="AC49" s="629"/>
    </row>
    <row r="50" spans="1:29" ht="15.75" thickBot="1">
      <c r="A50" s="491" t="s">
        <v>2673</v>
      </c>
      <c r="B50" s="492"/>
      <c r="C50" s="1419" t="e">
        <f>R50</f>
        <v>#DIV/0!</v>
      </c>
      <c r="D50" s="1419"/>
      <c r="E50" s="1419"/>
      <c r="F50" s="1419"/>
      <c r="G50" s="1419"/>
      <c r="H50" s="1419"/>
      <c r="I50" s="1419"/>
      <c r="J50" s="493"/>
      <c r="K50" s="784"/>
      <c r="L50" s="1145"/>
      <c r="M50" s="1133"/>
      <c r="N50" s="1133"/>
      <c r="O50" s="1133"/>
      <c r="P50" s="3257" t="str">
        <f>A50</f>
        <v>估价对象XX用房的比较价值（楼面单价，元/平方米）</v>
      </c>
      <c r="Q50" s="3258"/>
      <c r="R50" s="3259" t="e">
        <f>IF(F1="售价",ROUND(AVERAGE(R49:V49),0),ROUND(AVERAGE(R49:V49),1))</f>
        <v>#DIV/0!</v>
      </c>
      <c r="S50" s="3259"/>
      <c r="T50" s="3259"/>
      <c r="U50" s="3259"/>
      <c r="V50" s="3259"/>
      <c r="W50" s="3259"/>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1"/>
    </row>
    <row r="56" spans="1:29" s="501"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1.75" thickBot="1">
      <c r="A58" s="762" t="s">
        <v>2677</v>
      </c>
      <c r="B58" s="758"/>
      <c r="C58" s="763"/>
      <c r="D58" s="763"/>
      <c r="E58" s="763"/>
      <c r="F58" s="764"/>
      <c r="G58" s="764"/>
      <c r="H58" s="763"/>
      <c r="I58" s="763"/>
      <c r="J58" s="763"/>
      <c r="K58" s="765"/>
      <c r="L58" s="1163"/>
      <c r="M58" s="1161"/>
      <c r="N58" s="1161"/>
      <c r="O58" s="1161"/>
      <c r="P58" s="2682"/>
      <c r="Q58" s="503"/>
    </row>
    <row r="59" spans="1:29" s="507" customFormat="1" ht="15">
      <c r="A59" s="504" t="s">
        <v>2551</v>
      </c>
      <c r="B59" s="505"/>
      <c r="C59" s="1576" t="str">
        <f>YEAR(C7)&amp;"-"&amp;MONTH(C7)</f>
        <v>2018-3</v>
      </c>
      <c r="D59" s="1577">
        <f>EDATE(C59,-1)</f>
        <v>43132</v>
      </c>
      <c r="E59" s="1577">
        <f>EDATE(D59,-1)</f>
        <v>43101</v>
      </c>
      <c r="F59" s="1577">
        <f t="shared" ref="F59:O59" si="16">EDATE(E59,-1)</f>
        <v>43070</v>
      </c>
      <c r="G59" s="1577">
        <f t="shared" si="16"/>
        <v>43040</v>
      </c>
      <c r="H59" s="1577">
        <f t="shared" si="16"/>
        <v>43009</v>
      </c>
      <c r="I59" s="1577">
        <f t="shared" si="16"/>
        <v>42979</v>
      </c>
      <c r="J59" s="1577">
        <f t="shared" si="16"/>
        <v>42948</v>
      </c>
      <c r="K59" s="1577">
        <f t="shared" si="16"/>
        <v>42917</v>
      </c>
      <c r="L59" s="1577">
        <f t="shared" si="16"/>
        <v>42887</v>
      </c>
      <c r="M59" s="1577">
        <f t="shared" si="16"/>
        <v>42856</v>
      </c>
      <c r="N59" s="1577">
        <f t="shared" si="16"/>
        <v>42826</v>
      </c>
      <c r="O59" s="1577">
        <f t="shared" si="16"/>
        <v>42795</v>
      </c>
      <c r="P59" s="1573"/>
    </row>
    <row r="60" spans="1:29" s="116" customFormat="1" ht="15">
      <c r="A60" s="508"/>
      <c r="B60" s="509"/>
      <c r="C60" s="1575">
        <v>100</v>
      </c>
      <c r="D60" s="511"/>
      <c r="E60" s="511"/>
      <c r="F60" s="511"/>
      <c r="G60" s="511"/>
      <c r="H60" s="511"/>
      <c r="I60" s="511"/>
      <c r="J60" s="511"/>
      <c r="K60" s="511"/>
      <c r="L60" s="511"/>
      <c r="M60" s="512"/>
      <c r="N60" s="511"/>
      <c r="O60" s="512"/>
      <c r="P60" s="2683"/>
    </row>
    <row r="61" spans="1:29" s="116" customFormat="1" ht="15.75" thickBot="1">
      <c r="A61" s="514" t="s">
        <v>2588</v>
      </c>
      <c r="B61" s="515"/>
      <c r="C61" s="516"/>
      <c r="D61" s="517"/>
      <c r="E61" s="517"/>
      <c r="F61" s="517"/>
      <c r="G61" s="517"/>
      <c r="H61" s="517"/>
      <c r="I61" s="517"/>
      <c r="J61" s="517"/>
      <c r="K61" s="517"/>
      <c r="L61" s="517"/>
      <c r="M61" s="518"/>
      <c r="N61" s="517"/>
      <c r="O61" s="518"/>
      <c r="P61" s="2683"/>
      <c r="Q61" s="503"/>
    </row>
    <row r="62" spans="1:29" s="116" customFormat="1" ht="15">
      <c r="A62" s="520" t="s">
        <v>2553</v>
      </c>
      <c r="B62" s="509"/>
      <c r="C62" s="521" t="s">
        <v>2655</v>
      </c>
      <c r="D62" s="522"/>
      <c r="E62" s="522"/>
      <c r="F62" s="522"/>
      <c r="G62" s="522"/>
      <c r="H62" s="522"/>
      <c r="I62" s="522"/>
      <c r="J62" s="522"/>
      <c r="K62" s="522"/>
      <c r="L62" s="523"/>
      <c r="M62" s="524"/>
      <c r="N62" s="1153"/>
      <c r="O62" s="1153"/>
      <c r="P62" s="2684"/>
      <c r="Q62" s="503"/>
    </row>
    <row r="63" spans="1:29" s="116" customFormat="1" ht="15.75" thickBot="1">
      <c r="A63" s="520"/>
      <c r="B63" s="509"/>
      <c r="C63" s="510">
        <v>100</v>
      </c>
      <c r="D63" s="511"/>
      <c r="E63" s="511"/>
      <c r="F63" s="511"/>
      <c r="G63" s="511"/>
      <c r="H63" s="511"/>
      <c r="I63" s="511"/>
      <c r="J63" s="511"/>
      <c r="K63" s="511"/>
      <c r="L63" s="511"/>
      <c r="M63" s="513"/>
      <c r="N63" s="1153"/>
      <c r="O63" s="1153"/>
      <c r="P63" s="2683"/>
      <c r="Q63" s="503"/>
    </row>
    <row r="64" spans="1:29">
      <c r="A64" s="526" t="s">
        <v>2591</v>
      </c>
      <c r="B64" s="527" t="s">
        <v>2557</v>
      </c>
      <c r="C64" s="528">
        <f>C9</f>
        <v>0</v>
      </c>
      <c r="D64" s="529"/>
      <c r="E64" s="529"/>
      <c r="F64" s="529"/>
      <c r="G64" s="529"/>
      <c r="H64" s="529"/>
      <c r="I64" s="529"/>
      <c r="J64" s="529"/>
      <c r="K64" s="530"/>
      <c r="L64" s="531"/>
      <c r="M64" s="532"/>
      <c r="N64" s="1154"/>
      <c r="O64" s="1154"/>
      <c r="P64" s="2685"/>
      <c r="Q64" s="503"/>
    </row>
    <row r="65" spans="1:17" ht="15.75" thickBot="1">
      <c r="A65" s="533"/>
      <c r="B65" s="534"/>
      <c r="C65" s="535">
        <v>100</v>
      </c>
      <c r="D65" s="535"/>
      <c r="E65" s="535"/>
      <c r="F65" s="535"/>
      <c r="G65" s="535"/>
      <c r="H65" s="535"/>
      <c r="I65" s="535"/>
      <c r="J65" s="535"/>
      <c r="K65" s="535"/>
      <c r="L65" s="535"/>
      <c r="M65" s="536"/>
      <c r="N65" s="1155"/>
      <c r="O65" s="1155"/>
      <c r="P65" s="2685"/>
      <c r="Q65" s="503"/>
    </row>
    <row r="66" spans="1:17" ht="27.75" thickTop="1">
      <c r="A66" s="533"/>
      <c r="B66" s="537" t="s">
        <v>2560</v>
      </c>
      <c r="C66" s="538" t="s">
        <v>2592</v>
      </c>
      <c r="D66" s="538" t="s">
        <v>2593</v>
      </c>
      <c r="E66" s="538" t="s">
        <v>2594</v>
      </c>
      <c r="F66" s="538" t="s">
        <v>2595</v>
      </c>
      <c r="G66" s="538" t="s">
        <v>2596</v>
      </c>
      <c r="H66" s="538" t="s">
        <v>2597</v>
      </c>
      <c r="I66" s="538" t="s">
        <v>2598</v>
      </c>
      <c r="J66" s="538"/>
      <c r="K66" s="539"/>
      <c r="L66" s="540"/>
      <c r="M66" s="541"/>
      <c r="N66" s="1154"/>
      <c r="O66" s="1154"/>
      <c r="P66" s="268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5"/>
      <c r="Q67" s="503"/>
    </row>
    <row r="68" spans="1:17" ht="15.75" thickTop="1">
      <c r="A68" s="533"/>
      <c r="B68" s="545" t="s">
        <v>2561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5"/>
      <c r="Q68" s="503"/>
    </row>
    <row r="69" spans="1:17" ht="15">
      <c r="A69" s="533"/>
      <c r="B69" s="547"/>
      <c r="C69" s="548"/>
      <c r="D69" s="548"/>
      <c r="E69" s="548"/>
      <c r="F69" s="548"/>
      <c r="G69" s="548"/>
      <c r="H69" s="548"/>
      <c r="I69" s="548"/>
      <c r="J69" s="548"/>
      <c r="K69" s="549"/>
      <c r="L69" s="550"/>
      <c r="M69" s="551"/>
      <c r="N69" s="1154"/>
      <c r="O69" s="1154"/>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5"/>
      <c r="Q70" s="503"/>
    </row>
    <row r="71" spans="1:17" s="470" customFormat="1" ht="15.75" thickTop="1">
      <c r="A71" s="552"/>
      <c r="B71" s="537">
        <f>B12</f>
        <v>111</v>
      </c>
      <c r="C71" s="553"/>
      <c r="D71" s="553"/>
      <c r="E71" s="553"/>
      <c r="F71" s="553"/>
      <c r="G71" s="553"/>
      <c r="H71" s="554"/>
      <c r="I71" s="554"/>
      <c r="J71" s="554"/>
      <c r="K71" s="554"/>
      <c r="L71" s="555"/>
      <c r="M71" s="556"/>
      <c r="N71" s="1156"/>
      <c r="O71" s="1156"/>
      <c r="P71" s="2686"/>
      <c r="Q71" s="558"/>
    </row>
    <row r="72" spans="1:17" s="470" customFormat="1" ht="15.75" thickBot="1">
      <c r="A72" s="552"/>
      <c r="B72" s="542"/>
      <c r="C72" s="559"/>
      <c r="D72" s="535"/>
      <c r="E72" s="535"/>
      <c r="F72" s="535"/>
      <c r="G72" s="535"/>
      <c r="H72" s="535"/>
      <c r="I72" s="535"/>
      <c r="J72" s="535"/>
      <c r="K72" s="535"/>
      <c r="L72" s="535"/>
      <c r="M72" s="536"/>
      <c r="N72" s="1155"/>
      <c r="O72" s="1155"/>
      <c r="P72" s="2686"/>
      <c r="Q72" s="558"/>
    </row>
    <row r="73" spans="1:17" s="470" customFormat="1" ht="15.75" thickTop="1">
      <c r="A73" s="552"/>
      <c r="B73" s="537">
        <f>B13</f>
        <v>111</v>
      </c>
      <c r="C73" s="553"/>
      <c r="D73" s="553"/>
      <c r="E73" s="553"/>
      <c r="F73" s="553"/>
      <c r="G73" s="553"/>
      <c r="H73" s="554"/>
      <c r="I73" s="554"/>
      <c r="J73" s="554"/>
      <c r="K73" s="554"/>
      <c r="L73" s="555"/>
      <c r="M73" s="556"/>
      <c r="N73" s="1156"/>
      <c r="O73" s="1156"/>
      <c r="P73" s="2687"/>
      <c r="Q73" s="560"/>
    </row>
    <row r="74" spans="1:17" s="470" customFormat="1" ht="15.75" thickBot="1">
      <c r="A74" s="552"/>
      <c r="B74" s="542"/>
      <c r="C74" s="559"/>
      <c r="D74" s="559"/>
      <c r="E74" s="559"/>
      <c r="F74" s="559"/>
      <c r="G74" s="559"/>
      <c r="H74" s="561"/>
      <c r="I74" s="561"/>
      <c r="J74" s="561"/>
      <c r="K74" s="561"/>
      <c r="L74" s="561"/>
      <c r="M74" s="562"/>
      <c r="N74" s="1156"/>
      <c r="O74" s="1156"/>
      <c r="P74" s="2686"/>
      <c r="Q74" s="558"/>
    </row>
    <row r="75" spans="1:17" s="470" customFormat="1" ht="15.75" thickTop="1">
      <c r="A75" s="552"/>
      <c r="B75" s="545">
        <f>B14</f>
        <v>111</v>
      </c>
      <c r="C75" s="522"/>
      <c r="D75" s="522"/>
      <c r="E75" s="522"/>
      <c r="F75" s="522"/>
      <c r="G75" s="522"/>
      <c r="H75" s="563"/>
      <c r="I75" s="563"/>
      <c r="J75" s="563"/>
      <c r="K75" s="563"/>
      <c r="L75" s="564"/>
      <c r="M75" s="565"/>
      <c r="N75" s="1156"/>
      <c r="O75" s="1156"/>
      <c r="P75" s="2688"/>
      <c r="Q75" s="558"/>
    </row>
    <row r="76" spans="1:17" s="470" customFormat="1" ht="15.75" thickBot="1">
      <c r="A76" s="567"/>
      <c r="B76" s="568"/>
      <c r="C76" s="569"/>
      <c r="D76" s="569"/>
      <c r="E76" s="569"/>
      <c r="F76" s="569"/>
      <c r="G76" s="569"/>
      <c r="H76" s="570"/>
      <c r="I76" s="570"/>
      <c r="J76" s="570"/>
      <c r="K76" s="570"/>
      <c r="L76" s="570"/>
      <c r="M76" s="571"/>
      <c r="N76" s="1156"/>
      <c r="O76" s="1156"/>
      <c r="P76" s="2686"/>
      <c r="Q76" s="558"/>
    </row>
    <row r="77" spans="1:17">
      <c r="A77" s="526" t="s">
        <v>2562</v>
      </c>
      <c r="B77" s="527" t="s">
        <v>2700</v>
      </c>
      <c r="C77" s="572" t="s">
        <v>2600</v>
      </c>
      <c r="D77" s="572" t="s">
        <v>2601</v>
      </c>
      <c r="E77" s="572" t="s">
        <v>2602</v>
      </c>
      <c r="F77" s="572" t="s">
        <v>2603</v>
      </c>
      <c r="G77" s="572" t="s">
        <v>2604</v>
      </c>
      <c r="H77" s="528"/>
      <c r="I77" s="528"/>
      <c r="J77" s="528"/>
      <c r="K77" s="573"/>
      <c r="L77" s="574"/>
      <c r="M77" s="575"/>
      <c r="N77" s="1154"/>
      <c r="O77" s="1154"/>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5"/>
      <c r="Q78" s="503"/>
    </row>
    <row r="79" spans="1:17" ht="15.75" thickTop="1">
      <c r="A79" s="533"/>
      <c r="B79" s="537" t="s">
        <v>2605</v>
      </c>
      <c r="C79" s="577" t="s">
        <v>2600</v>
      </c>
      <c r="D79" s="577" t="s">
        <v>2601</v>
      </c>
      <c r="E79" s="577" t="s">
        <v>2602</v>
      </c>
      <c r="F79" s="577" t="s">
        <v>2603</v>
      </c>
      <c r="G79" s="577" t="s">
        <v>2604</v>
      </c>
      <c r="H79" s="538"/>
      <c r="I79" s="538"/>
      <c r="J79" s="538"/>
      <c r="K79" s="539"/>
      <c r="L79" s="540"/>
      <c r="M79" s="541"/>
      <c r="N79" s="1154"/>
      <c r="O79" s="1154"/>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5"/>
      <c r="Q80" s="503"/>
    </row>
    <row r="81" spans="1:17" ht="15.75" thickTop="1">
      <c r="A81" s="533"/>
      <c r="B81" s="537" t="s">
        <v>2606</v>
      </c>
      <c r="C81" s="577" t="s">
        <v>2600</v>
      </c>
      <c r="D81" s="577" t="s">
        <v>2601</v>
      </c>
      <c r="E81" s="577" t="s">
        <v>2602</v>
      </c>
      <c r="F81" s="577" t="s">
        <v>2603</v>
      </c>
      <c r="G81" s="577" t="s">
        <v>2604</v>
      </c>
      <c r="H81" s="538"/>
      <c r="I81" s="538"/>
      <c r="J81" s="538"/>
      <c r="K81" s="539"/>
      <c r="L81" s="540"/>
      <c r="M81" s="541"/>
      <c r="N81" s="1154"/>
      <c r="O81" s="1154"/>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5"/>
      <c r="Q82" s="503"/>
    </row>
    <row r="83" spans="1:17" ht="15.75" thickTop="1">
      <c r="A83" s="533"/>
      <c r="B83" s="545" t="s">
        <v>2692</v>
      </c>
      <c r="C83" s="659" t="s">
        <v>2678</v>
      </c>
      <c r="D83" s="659" t="s">
        <v>2679</v>
      </c>
      <c r="E83" s="659" t="s">
        <v>2680</v>
      </c>
      <c r="F83" s="659" t="s">
        <v>2681</v>
      </c>
      <c r="G83" s="659" t="s">
        <v>2682</v>
      </c>
      <c r="H83" s="538"/>
      <c r="I83" s="538"/>
      <c r="J83" s="538"/>
      <c r="K83" s="538"/>
      <c r="L83" s="538"/>
      <c r="M83" s="1384"/>
      <c r="N83" s="1155"/>
      <c r="O83" s="1155"/>
      <c r="P83" s="268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5"/>
      <c r="Q84" s="503"/>
    </row>
    <row r="85" spans="1:17" ht="15.75" thickTop="1">
      <c r="A85" s="533"/>
      <c r="B85" s="537" t="s">
        <v>2701</v>
      </c>
      <c r="C85" s="577" t="s">
        <v>2600</v>
      </c>
      <c r="D85" s="577" t="s">
        <v>2601</v>
      </c>
      <c r="E85" s="577" t="s">
        <v>2602</v>
      </c>
      <c r="F85" s="577" t="s">
        <v>2603</v>
      </c>
      <c r="G85" s="577" t="s">
        <v>2604</v>
      </c>
      <c r="H85" s="538"/>
      <c r="I85" s="538"/>
      <c r="J85" s="538"/>
      <c r="K85" s="539"/>
      <c r="L85" s="540"/>
      <c r="M85" s="541"/>
      <c r="N85" s="1154"/>
      <c r="O85" s="1154"/>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5"/>
      <c r="Q86" s="503"/>
    </row>
    <row r="87" spans="1:17" s="116" customFormat="1" ht="27.75" thickTop="1">
      <c r="A87" s="578"/>
      <c r="B87" s="537" t="s">
        <v>2702</v>
      </c>
      <c r="C87" s="553"/>
      <c r="D87" s="553"/>
      <c r="E87" s="553"/>
      <c r="F87" s="553"/>
      <c r="G87" s="553"/>
      <c r="H87" s="553"/>
      <c r="I87" s="553"/>
      <c r="J87" s="553"/>
      <c r="K87" s="553"/>
      <c r="L87" s="579"/>
      <c r="M87" s="580"/>
      <c r="N87" s="1153"/>
      <c r="O87" s="1153"/>
      <c r="P87" s="268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5"/>
      <c r="Q88" s="503"/>
    </row>
    <row r="89" spans="1:17" s="116" customFormat="1" ht="15.75" thickTop="1">
      <c r="A89" s="578"/>
      <c r="B89" s="537" t="str">
        <f>B27</f>
        <v>楼层</v>
      </c>
      <c r="C89" s="553"/>
      <c r="D89" s="553"/>
      <c r="E89" s="553"/>
      <c r="F89" s="2636"/>
      <c r="G89" s="553"/>
      <c r="H89" s="553"/>
      <c r="I89" s="553"/>
      <c r="J89" s="553"/>
      <c r="K89" s="553"/>
      <c r="L89" s="553"/>
      <c r="M89" s="580"/>
      <c r="N89" s="1153"/>
      <c r="O89" s="1153"/>
      <c r="P89" s="268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5"/>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6"/>
      <c r="Q92" s="558"/>
    </row>
    <row r="93" spans="1:17" ht="15.75" thickTop="1">
      <c r="A93" s="533"/>
      <c r="B93" s="537">
        <f>B29</f>
        <v>111</v>
      </c>
      <c r="C93" s="553"/>
      <c r="D93" s="553"/>
      <c r="E93" s="553"/>
      <c r="F93" s="553"/>
      <c r="G93" s="553"/>
      <c r="H93" s="553"/>
      <c r="I93" s="553"/>
      <c r="J93" s="553"/>
      <c r="K93" s="553"/>
      <c r="L93" s="579"/>
      <c r="M93" s="580"/>
      <c r="N93" s="1154"/>
      <c r="O93" s="1154"/>
      <c r="P93" s="2685"/>
      <c r="Q93" s="503"/>
    </row>
    <row r="94" spans="1:17" ht="15.75" thickBot="1">
      <c r="A94" s="533"/>
      <c r="B94" s="542"/>
      <c r="C94" s="559"/>
      <c r="D94" s="535"/>
      <c r="E94" s="535"/>
      <c r="F94" s="535"/>
      <c r="G94" s="535"/>
      <c r="H94" s="535"/>
      <c r="I94" s="535"/>
      <c r="J94" s="535"/>
      <c r="K94" s="535"/>
      <c r="L94" s="535"/>
      <c r="M94" s="536"/>
      <c r="N94" s="1155"/>
      <c r="O94" s="1155"/>
      <c r="P94" s="2685"/>
      <c r="Q94" s="503"/>
    </row>
    <row r="95" spans="1:17" ht="15.75" thickTop="1">
      <c r="A95" s="533"/>
      <c r="B95" s="537">
        <f>B30</f>
        <v>111</v>
      </c>
      <c r="C95" s="553"/>
      <c r="D95" s="553"/>
      <c r="E95" s="553"/>
      <c r="F95" s="553"/>
      <c r="G95" s="582"/>
      <c r="H95" s="582"/>
      <c r="I95" s="582"/>
      <c r="J95" s="582"/>
      <c r="K95" s="583"/>
      <c r="L95" s="584"/>
      <c r="M95" s="585"/>
      <c r="N95" s="1154"/>
      <c r="O95" s="1154"/>
      <c r="P95" s="2685"/>
      <c r="Q95" s="503"/>
    </row>
    <row r="96" spans="1:17" ht="15.75" thickBot="1">
      <c r="A96" s="533"/>
      <c r="B96" s="542"/>
      <c r="C96" s="559"/>
      <c r="D96" s="559"/>
      <c r="E96" s="559"/>
      <c r="F96" s="559"/>
      <c r="G96" s="535"/>
      <c r="H96" s="535"/>
      <c r="I96" s="535"/>
      <c r="J96" s="535"/>
      <c r="K96" s="535"/>
      <c r="L96" s="535"/>
      <c r="M96" s="536"/>
      <c r="N96" s="1155"/>
      <c r="O96" s="1155"/>
      <c r="P96" s="2685"/>
      <c r="Q96" s="503"/>
    </row>
    <row r="97" spans="1:17" ht="15.75" thickTop="1">
      <c r="A97" s="533"/>
      <c r="B97" s="537">
        <f>B31</f>
        <v>111</v>
      </c>
      <c r="C97" s="553"/>
      <c r="D97" s="553"/>
      <c r="E97" s="553"/>
      <c r="F97" s="553"/>
      <c r="G97" s="582"/>
      <c r="H97" s="582"/>
      <c r="I97" s="582"/>
      <c r="J97" s="582"/>
      <c r="K97" s="583"/>
      <c r="L97" s="584"/>
      <c r="M97" s="585"/>
      <c r="N97" s="1154"/>
      <c r="O97" s="1154"/>
      <c r="P97" s="2685"/>
      <c r="Q97" s="503"/>
    </row>
    <row r="98" spans="1:17" ht="15.75" thickBot="1">
      <c r="A98" s="533"/>
      <c r="B98" s="542"/>
      <c r="C98" s="559"/>
      <c r="D98" s="535"/>
      <c r="E98" s="535"/>
      <c r="F98" s="535"/>
      <c r="G98" s="535"/>
      <c r="H98" s="535"/>
      <c r="I98" s="535"/>
      <c r="J98" s="535"/>
      <c r="K98" s="535"/>
      <c r="L98" s="535"/>
      <c r="M98" s="536"/>
      <c r="N98" s="1155"/>
      <c r="O98" s="1155"/>
      <c r="P98" s="2685"/>
      <c r="Q98" s="503"/>
    </row>
    <row r="99" spans="1:17" ht="15.75" thickTop="1">
      <c r="A99" s="533"/>
      <c r="B99" s="545">
        <f>B32</f>
        <v>111</v>
      </c>
      <c r="C99" s="522"/>
      <c r="D99" s="522"/>
      <c r="E99" s="522"/>
      <c r="F99" s="522"/>
      <c r="G99" s="586"/>
      <c r="H99" s="586"/>
      <c r="I99" s="586"/>
      <c r="J99" s="586"/>
      <c r="K99" s="587"/>
      <c r="L99" s="588"/>
      <c r="M99" s="589"/>
      <c r="N99" s="1154"/>
      <c r="O99" s="1154"/>
      <c r="P99" s="2685"/>
      <c r="Q99" s="503"/>
    </row>
    <row r="100" spans="1:17" ht="15.75" thickBot="1">
      <c r="A100" s="2637"/>
      <c r="B100" s="568"/>
      <c r="C100" s="569"/>
      <c r="D100" s="569"/>
      <c r="E100" s="569"/>
      <c r="F100" s="569"/>
      <c r="G100" s="590"/>
      <c r="H100" s="590"/>
      <c r="I100" s="590"/>
      <c r="J100" s="590"/>
      <c r="K100" s="590"/>
      <c r="L100" s="590"/>
      <c r="M100" s="591"/>
      <c r="N100" s="1155"/>
      <c r="O100" s="1155"/>
      <c r="P100" s="2685"/>
      <c r="Q100" s="503"/>
    </row>
    <row r="101" spans="1:17">
      <c r="A101" s="526" t="s">
        <v>2566</v>
      </c>
      <c r="B101" s="527" t="s">
        <v>2615</v>
      </c>
      <c r="C101" s="529"/>
      <c r="D101" s="529"/>
      <c r="E101" s="529"/>
      <c r="F101" s="529"/>
      <c r="G101" s="529"/>
      <c r="H101" s="529"/>
      <c r="I101" s="529"/>
      <c r="J101" s="529"/>
      <c r="K101" s="530"/>
      <c r="L101" s="531"/>
      <c r="M101" s="532"/>
      <c r="N101" s="1154"/>
      <c r="O101" s="1154"/>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5"/>
      <c r="Q102" s="503"/>
    </row>
    <row r="103" spans="1:17" ht="15.75" thickTop="1">
      <c r="A103" s="533"/>
      <c r="B103" s="537" t="s">
        <v>2616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5"/>
      <c r="Q103" s="503"/>
    </row>
    <row r="104" spans="1:17" s="470" customFormat="1">
      <c r="A104" s="592"/>
      <c r="B104" s="593"/>
      <c r="C104" s="594"/>
      <c r="D104" s="594"/>
      <c r="E104" s="594"/>
      <c r="F104" s="594"/>
      <c r="G104" s="594"/>
      <c r="H104" s="594"/>
      <c r="I104" s="594"/>
      <c r="J104" s="595"/>
      <c r="K104" s="595"/>
      <c r="L104" s="596"/>
      <c r="M104" s="597"/>
      <c r="N104" s="1156"/>
      <c r="O104" s="1156"/>
      <c r="P104" s="2686"/>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6"/>
      <c r="Q105" s="558"/>
    </row>
    <row r="106" spans="1:17" ht="15" thickTop="1">
      <c r="A106" s="598"/>
      <c r="B106" s="537" t="s">
        <v>2617</v>
      </c>
      <c r="C106" s="553"/>
      <c r="D106" s="553"/>
      <c r="E106" s="582"/>
      <c r="F106" s="582"/>
      <c r="G106" s="582"/>
      <c r="H106" s="582"/>
      <c r="I106" s="582"/>
      <c r="J106" s="582"/>
      <c r="K106" s="583"/>
      <c r="L106" s="584"/>
      <c r="M106" s="585"/>
      <c r="N106" s="1154"/>
      <c r="O106" s="1154"/>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5"/>
      <c r="Q107" s="503"/>
    </row>
    <row r="108" spans="1:17" ht="15" thickTop="1">
      <c r="A108" s="598"/>
      <c r="B108" s="537" t="s">
        <v>2619</v>
      </c>
      <c r="C108" s="553"/>
      <c r="D108" s="553"/>
      <c r="E108" s="553"/>
      <c r="F108" s="582"/>
      <c r="G108" s="582"/>
      <c r="H108" s="582"/>
      <c r="I108" s="582"/>
      <c r="J108" s="582"/>
      <c r="K108" s="583"/>
      <c r="L108" s="584"/>
      <c r="M108" s="585"/>
      <c r="N108" s="1154"/>
      <c r="O108" s="1154"/>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5"/>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5"/>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5"/>
      <c r="Q112" s="503"/>
    </row>
    <row r="113" spans="1:17" s="470" customFormat="1" ht="15" thickTop="1">
      <c r="A113" s="592"/>
      <c r="B113" s="537" t="s">
        <v>2703</v>
      </c>
      <c r="C113" s="553"/>
      <c r="D113" s="553"/>
      <c r="E113" s="553"/>
      <c r="F113" s="553"/>
      <c r="G113" s="553"/>
      <c r="H113" s="582"/>
      <c r="I113" s="582"/>
      <c r="J113" s="582"/>
      <c r="K113" s="583"/>
      <c r="L113" s="584"/>
      <c r="M113" s="585"/>
      <c r="N113" s="1156"/>
      <c r="O113" s="1156"/>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6"/>
      <c r="Q114" s="558"/>
    </row>
    <row r="115" spans="1:17" ht="15" thickTop="1">
      <c r="A115" s="598"/>
      <c r="B115" s="537" t="s">
        <v>2620</v>
      </c>
      <c r="C115" s="553"/>
      <c r="D115" s="553"/>
      <c r="E115" s="582"/>
      <c r="F115" s="582"/>
      <c r="G115" s="582"/>
      <c r="H115" s="582"/>
      <c r="I115" s="582"/>
      <c r="J115" s="582"/>
      <c r="K115" s="583"/>
      <c r="L115" s="584"/>
      <c r="M115" s="585"/>
      <c r="N115" s="1154"/>
      <c r="O115" s="1154"/>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5"/>
      <c r="Q116" s="503"/>
    </row>
    <row r="117" spans="1:17" ht="15" thickTop="1">
      <c r="A117" s="598"/>
      <c r="B117" s="537" t="s">
        <v>2621</v>
      </c>
      <c r="C117" s="553"/>
      <c r="D117" s="553"/>
      <c r="E117" s="553"/>
      <c r="F117" s="553"/>
      <c r="G117" s="553"/>
      <c r="H117" s="582"/>
      <c r="I117" s="582"/>
      <c r="J117" s="582"/>
      <c r="K117" s="583"/>
      <c r="L117" s="584"/>
      <c r="M117" s="585"/>
      <c r="N117" s="1154"/>
      <c r="O117" s="1154"/>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5"/>
      <c r="Q118" s="503"/>
    </row>
    <row r="119" spans="1:17" ht="15" thickTop="1">
      <c r="A119" s="598"/>
      <c r="B119" s="635" t="s">
        <v>2704</v>
      </c>
      <c r="C119" s="582"/>
      <c r="D119" s="582"/>
      <c r="E119" s="582"/>
      <c r="F119" s="582"/>
      <c r="G119" s="582"/>
      <c r="H119" s="582"/>
      <c r="I119" s="582"/>
      <c r="J119" s="582"/>
      <c r="K119" s="582"/>
      <c r="L119" s="2690"/>
      <c r="M119" s="2691"/>
      <c r="N119" s="1155"/>
      <c r="O119" s="1155"/>
      <c r="P119" s="269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5"/>
      <c r="Q120" s="503"/>
    </row>
    <row r="121" spans="1:17" s="470" customFormat="1" ht="15" thickTop="1">
      <c r="A121" s="592"/>
      <c r="B121" s="537" t="s">
        <v>2687</v>
      </c>
      <c r="C121" s="553"/>
      <c r="D121" s="553"/>
      <c r="E121" s="553"/>
      <c r="F121" s="582"/>
      <c r="G121" s="554"/>
      <c r="H121" s="554"/>
      <c r="I121" s="554"/>
      <c r="J121" s="554"/>
      <c r="K121" s="554"/>
      <c r="L121" s="555"/>
      <c r="M121" s="556"/>
      <c r="N121" s="1156"/>
      <c r="O121" s="1156"/>
      <c r="P121" s="2686"/>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6"/>
      <c r="Q122" s="558"/>
    </row>
    <row r="123" spans="1:17" ht="15" thickTop="1">
      <c r="A123" s="598"/>
      <c r="B123" s="537" t="s">
        <v>2623</v>
      </c>
      <c r="C123" s="553"/>
      <c r="D123" s="553"/>
      <c r="E123" s="553"/>
      <c r="F123" s="582"/>
      <c r="G123" s="582"/>
      <c r="H123" s="582"/>
      <c r="I123" s="582"/>
      <c r="J123" s="582"/>
      <c r="K123" s="583"/>
      <c r="L123" s="584"/>
      <c r="M123" s="585"/>
      <c r="N123" s="1154"/>
      <c r="O123" s="1154"/>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5"/>
      <c r="Q124" s="503"/>
    </row>
    <row r="125" spans="1:17" ht="15" thickTop="1">
      <c r="A125" s="598"/>
      <c r="B125" s="537" t="s">
        <v>2624</v>
      </c>
      <c r="C125" s="577" t="s">
        <v>2600</v>
      </c>
      <c r="D125" s="577" t="s">
        <v>2601</v>
      </c>
      <c r="E125" s="577" t="s">
        <v>2602</v>
      </c>
      <c r="F125" s="577" t="s">
        <v>2603</v>
      </c>
      <c r="G125" s="577" t="s">
        <v>2604</v>
      </c>
      <c r="H125" s="538"/>
      <c r="I125" s="538"/>
      <c r="J125" s="538"/>
      <c r="K125" s="539"/>
      <c r="L125" s="540"/>
      <c r="M125" s="541"/>
      <c r="N125" s="1154"/>
      <c r="O125" s="1154"/>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5"/>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6"/>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6"/>
      <c r="Q128" s="558"/>
    </row>
    <row r="129" spans="1:17" ht="15" thickTop="1">
      <c r="A129" s="598"/>
      <c r="B129" s="537">
        <f>B46</f>
        <v>111</v>
      </c>
      <c r="C129" s="553"/>
      <c r="D129" s="553"/>
      <c r="E129" s="553"/>
      <c r="F129" s="553"/>
      <c r="G129" s="582"/>
      <c r="H129" s="582"/>
      <c r="I129" s="582"/>
      <c r="J129" s="582"/>
      <c r="K129" s="583"/>
      <c r="L129" s="584"/>
      <c r="M129" s="585"/>
      <c r="N129" s="1154"/>
      <c r="O129" s="1154"/>
      <c r="P129" s="2685"/>
      <c r="Q129" s="503"/>
    </row>
    <row r="130" spans="1:17" ht="15.75" thickBot="1">
      <c r="A130" s="533"/>
      <c r="B130" s="542"/>
      <c r="C130" s="559"/>
      <c r="D130" s="559"/>
      <c r="E130" s="559"/>
      <c r="F130" s="559"/>
      <c r="G130" s="535"/>
      <c r="H130" s="535"/>
      <c r="I130" s="535"/>
      <c r="J130" s="535"/>
      <c r="K130" s="535"/>
      <c r="L130" s="535"/>
      <c r="M130" s="536"/>
      <c r="N130" s="1155"/>
      <c r="O130" s="1155"/>
      <c r="P130" s="2685"/>
      <c r="Q130" s="503"/>
    </row>
    <row r="131" spans="1:17" ht="15" thickTop="1">
      <c r="A131" s="598"/>
      <c r="B131" s="545">
        <f>B47</f>
        <v>111</v>
      </c>
      <c r="C131" s="522"/>
      <c r="D131" s="522"/>
      <c r="E131" s="522"/>
      <c r="F131" s="522"/>
      <c r="G131" s="586"/>
      <c r="H131" s="586"/>
      <c r="I131" s="586"/>
      <c r="J131" s="586"/>
      <c r="K131" s="522"/>
      <c r="L131" s="523"/>
      <c r="M131" s="589"/>
      <c r="N131" s="1154"/>
      <c r="O131" s="1154"/>
      <c r="P131" s="2685"/>
      <c r="Q131" s="503"/>
    </row>
    <row r="132" spans="1:17" ht="15.75" thickBot="1">
      <c r="A132" s="2637"/>
      <c r="B132" s="568"/>
      <c r="C132" s="569"/>
      <c r="D132" s="569"/>
      <c r="E132" s="569"/>
      <c r="F132" s="569"/>
      <c r="G132" s="590"/>
      <c r="H132" s="590"/>
      <c r="I132" s="590"/>
      <c r="J132" s="590"/>
      <c r="K132" s="590"/>
      <c r="L132" s="590"/>
      <c r="M132" s="591"/>
      <c r="N132" s="1155"/>
      <c r="O132" s="1155"/>
      <c r="P132" s="2685"/>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1612</v>
      </c>
    </row>
    <row r="2" spans="1:1">
      <c r="A2" s="1948"/>
    </row>
    <row r="3" spans="1:1" ht="18">
      <c r="A3" s="1949" t="str">
        <f>项目基本情况!B5&amp;"："</f>
        <v>青岛福瀛房地产开发有限公司：</v>
      </c>
    </row>
    <row r="4" spans="1:1" ht="36">
      <c r="A4" s="1950" t="str">
        <f>"受贵公司委托，我公司对"&amp;项目基本情况!S1&amp;"进行了预评估。"</f>
        <v>受贵公司委托，我公司对青岛市黄岛区滨海大道以南、石雀滩路北D地块1宗住宅用途出让国有建设用地使用权及在建建筑物房地产抵押价值进行了预评估。</v>
      </c>
    </row>
    <row r="5" spans="1:1" ht="18.75">
      <c r="A5" s="1951" t="s">
        <v>1613</v>
      </c>
    </row>
    <row r="6" spans="1:1" ht="18.75">
      <c r="A6" s="1952" t="s">
        <v>1614</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青岛市黄岛区滨海大道以南、石雀滩路北D地块1宗住宅用途出让国有建设用地使用权及在建建筑物房地产，为所有。根据《房地产权证》[青房地权市字第201574961号]，估价对象（分摊）出让国有建设用地使用权面积为5780平方米，建筑面积为36223.67平方米。</v>
      </c>
    </row>
    <row r="8" spans="1:1" ht="57.75">
      <c r="A8" s="1953" t="s">
        <v>1615</v>
      </c>
    </row>
    <row r="9" spans="1:1" ht="18.75">
      <c r="A9" s="1952" t="s">
        <v>1616</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青岛市黄岛区滨海大道以南、石雀滩路北D地块1宗住宅用途出让国有建设用地使用权及在建建筑物房地产,为开发建设的居住项目，该项目尚在开发建设中。根据《房地产权证》[青房地权市字第201574961号]，估价对象（分摊）出让国有建设用地使用权面积为5780平方米，规划建筑面积为36223.67平方米。</v>
      </c>
    </row>
    <row r="11" spans="1:1" ht="76.5">
      <c r="A11" s="1953" t="s">
        <v>1617</v>
      </c>
    </row>
    <row r="12" spans="1:1" ht="18.75">
      <c r="A12" s="1951" t="s">
        <v>1618</v>
      </c>
    </row>
    <row r="13" spans="1:1" ht="38.25" customHeight="1">
      <c r="A13" s="1954" t="str">
        <f>IF(项目基本情况!B8="抵押",IF(项目基本情况!B5=项目基本情况!B6,定义!C51,定义!B51),定义!D51)</f>
        <v>为估价委托人在向宏信证券办理贷款手续过程中，确定房地产抵押贷款额度提供参考依据而评估房地产抵押价值。</v>
      </c>
    </row>
    <row r="14" spans="1:1" ht="18.75">
      <c r="A14" s="1955" t="s">
        <v>1619</v>
      </c>
    </row>
    <row r="15" spans="1:1" ht="18">
      <c r="A15" s="1956" t="str">
        <f>TEXT(项目基本情况!D3,"yyyy年m月d日;;")&amp;IF(项目基本情况!D3=项目基本情况!B3,"（评估专业人员实地查勘之日）","")</f>
        <v>2018年3月1日（评估专业人员实地查勘之日）</v>
      </c>
    </row>
    <row r="16" spans="1:1" ht="18.75">
      <c r="A16" s="1955" t="s">
        <v>1620</v>
      </c>
    </row>
    <row r="17" spans="1:1" ht="75">
      <c r="A17" s="1950" t="s">
        <v>1621</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1日，估价对象规划用途为住宅，土地取得方式为出让，出让国有建设用地使用权剩余土地使用年限为住宅33.31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住宅33.31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1610</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1611</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2531</v>
      </c>
      <c r="B1" s="2670" t="s">
        <v>2705</v>
      </c>
      <c r="C1" s="1622" t="s">
        <v>2533</v>
      </c>
      <c r="D1" s="1623"/>
      <c r="E1" s="1632"/>
      <c r="F1" s="2585"/>
      <c r="G1" s="1633" t="s">
        <v>2646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2333</v>
      </c>
      <c r="B2" s="1420" t="e">
        <f ca="1">IF(C2="——",ROUND(C43*D3/10000,0),ROUND(C43*D3/10000,0)-D2)</f>
        <v>#DIV/0!</v>
      </c>
      <c r="C2" s="2587"/>
      <c r="D2" s="1126" t="e">
        <f ca="1">SUMIF(INDIRECT("'"&amp;F2&amp;"'"&amp;"!A:A"),"承租人权益价值",INDIRECT("'"&amp;F2&amp;"'"&amp;"!c:c"))</f>
        <v>#REF!</v>
      </c>
      <c r="E2" s="2588" t="s">
        <v>2334</v>
      </c>
      <c r="F2" s="2589"/>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2335</v>
      </c>
      <c r="B3" s="608" t="e">
        <f ca="1">IF(C2="——",C43,ROUND(B2*10000/D3,0))</f>
        <v>#DIV/0!</v>
      </c>
      <c r="C3" s="399" t="s">
        <v>2647</v>
      </c>
      <c r="D3" s="398">
        <f>IF(D1="",'数据-汇总表'!E3,SUMIF('数据-汇总表'!$C19:$C33,D1,'数据-汇总表'!$E19:$E33))</f>
        <v>36223.67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2648</v>
      </c>
      <c r="B4" s="401"/>
      <c r="C4" s="3177" t="s">
        <v>2649</v>
      </c>
      <c r="D4" s="3178"/>
      <c r="E4" s="3179" t="s">
        <v>2650</v>
      </c>
      <c r="F4" s="3180"/>
      <c r="G4" s="3177" t="s">
        <v>2651</v>
      </c>
      <c r="H4" s="3178"/>
      <c r="I4" s="3177" t="s">
        <v>2652</v>
      </c>
      <c r="J4" s="3178"/>
      <c r="K4" s="609" t="s">
        <v>2653</v>
      </c>
      <c r="L4" s="1132"/>
      <c r="M4" s="1133"/>
      <c r="N4" s="1133"/>
      <c r="O4" s="1133"/>
      <c r="P4" s="3181" t="s">
        <v>2654</v>
      </c>
      <c r="Q4" s="3182"/>
      <c r="R4" s="3162" t="s">
        <v>2650</v>
      </c>
      <c r="S4" s="3163"/>
      <c r="T4" s="3162" t="s">
        <v>2651</v>
      </c>
      <c r="U4" s="3163"/>
      <c r="V4" s="3189" t="s">
        <v>2652</v>
      </c>
      <c r="W4" s="3189"/>
      <c r="X4" s="1815"/>
      <c r="Y4" s="3162" t="s">
        <v>2654</v>
      </c>
      <c r="Z4" s="3163"/>
      <c r="AA4" s="3157" t="s">
        <v>2650</v>
      </c>
      <c r="AB4" s="3158" t="s">
        <v>2651</v>
      </c>
      <c r="AC4" s="3157" t="s">
        <v>2652</v>
      </c>
    </row>
    <row r="5" spans="1:29" ht="15">
      <c r="A5" s="403"/>
      <c r="B5" s="404"/>
      <c r="C5" s="3168" t="s">
        <v>2545</v>
      </c>
      <c r="D5" s="3169"/>
      <c r="E5" s="3241" t="s">
        <v>2546</v>
      </c>
      <c r="F5" s="3242"/>
      <c r="G5" s="3168" t="s">
        <v>2547</v>
      </c>
      <c r="H5" s="3169"/>
      <c r="I5" s="3168" t="s">
        <v>2548</v>
      </c>
      <c r="J5" s="3169"/>
      <c r="K5" s="609"/>
      <c r="L5" s="1132"/>
      <c r="M5" s="1133"/>
      <c r="N5" s="1133"/>
      <c r="O5" s="1133"/>
      <c r="P5" s="3183"/>
      <c r="Q5" s="3184"/>
      <c r="R5" s="3164"/>
      <c r="S5" s="3165"/>
      <c r="T5" s="3164"/>
      <c r="U5" s="3165"/>
      <c r="V5" s="3189"/>
      <c r="W5" s="3189"/>
      <c r="X5" s="1815"/>
      <c r="Y5" s="3164"/>
      <c r="Z5" s="3165"/>
      <c r="AA5" s="3158"/>
      <c r="AB5" s="3158"/>
      <c r="AC5" s="3158"/>
    </row>
    <row r="6" spans="1:29" ht="15.75" thickBot="1">
      <c r="A6" s="405"/>
      <c r="B6" s="406"/>
      <c r="C6" s="3170" t="s">
        <v>2549</v>
      </c>
      <c r="D6" s="3171"/>
      <c r="E6" s="3243" t="s">
        <v>2549</v>
      </c>
      <c r="F6" s="3244"/>
      <c r="G6" s="3170" t="s">
        <v>2549</v>
      </c>
      <c r="H6" s="3171"/>
      <c r="I6" s="3170" t="s">
        <v>2549</v>
      </c>
      <c r="J6" s="3171"/>
      <c r="K6" s="609" t="s">
        <v>2550</v>
      </c>
      <c r="L6" s="1132"/>
      <c r="M6" s="1133"/>
      <c r="N6" s="1133"/>
      <c r="O6" s="1133"/>
      <c r="P6" s="3185"/>
      <c r="Q6" s="3186"/>
      <c r="R6" s="3164"/>
      <c r="S6" s="3165"/>
      <c r="T6" s="3187"/>
      <c r="U6" s="3188"/>
      <c r="V6" s="3189"/>
      <c r="W6" s="3189"/>
      <c r="X6" s="1815"/>
      <c r="Y6" s="3187"/>
      <c r="Z6" s="3188"/>
      <c r="AA6" s="3159"/>
      <c r="AB6" s="3159"/>
      <c r="AC6" s="3159"/>
    </row>
    <row r="7" spans="1:29" s="116" customFormat="1" ht="15.75" thickBot="1">
      <c r="A7" s="407" t="s">
        <v>2551</v>
      </c>
      <c r="B7" s="408"/>
      <c r="C7" s="409">
        <f>'数据-取费表'!B2</f>
        <v>43160</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60" t="s">
        <v>2552</v>
      </c>
      <c r="Q7" s="3190"/>
      <c r="R7" s="769" t="s">
        <v>17</v>
      </c>
      <c r="S7" s="770">
        <f t="shared" ref="S7:S15" si="0">F7</f>
        <v>0</v>
      </c>
      <c r="T7" s="769" t="s">
        <v>17</v>
      </c>
      <c r="U7" s="770">
        <f t="shared" ref="U7:U15" si="1">H7</f>
        <v>0</v>
      </c>
      <c r="V7" s="769" t="s">
        <v>17</v>
      </c>
      <c r="W7" s="770">
        <f t="shared" ref="W7:W15" si="2">J7</f>
        <v>0</v>
      </c>
      <c r="X7" s="771"/>
      <c r="Y7" s="3160" t="s">
        <v>2552</v>
      </c>
      <c r="Z7" s="3161"/>
      <c r="AA7" s="772" t="e">
        <f>D7/F7</f>
        <v>#DIV/0!</v>
      </c>
      <c r="AB7" s="772" t="e">
        <f>D7/H7</f>
        <v>#DIV/0!</v>
      </c>
      <c r="AC7" s="772" t="e">
        <f>D7/J7</f>
        <v>#DIV/0!</v>
      </c>
    </row>
    <row r="8" spans="1:29" s="116" customFormat="1" ht="15.75" thickBot="1">
      <c r="A8" s="407" t="s">
        <v>2553</v>
      </c>
      <c r="B8" s="408"/>
      <c r="C8" s="413" t="s">
        <v>2554</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60" t="s">
        <v>2555</v>
      </c>
      <c r="Q8" s="3161"/>
      <c r="R8" s="769" t="s">
        <v>17</v>
      </c>
      <c r="S8" s="770">
        <f t="shared" si="0"/>
        <v>0</v>
      </c>
      <c r="T8" s="769" t="s">
        <v>17</v>
      </c>
      <c r="U8" s="770">
        <f t="shared" si="1"/>
        <v>0</v>
      </c>
      <c r="V8" s="769" t="s">
        <v>17</v>
      </c>
      <c r="W8" s="770">
        <f t="shared" si="2"/>
        <v>0</v>
      </c>
      <c r="X8" s="771"/>
      <c r="Y8" s="3160" t="s">
        <v>2555</v>
      </c>
      <c r="Z8" s="3161"/>
      <c r="AA8" s="772" t="e">
        <f t="shared" ref="AA8:AA40" si="3">D8/F8</f>
        <v>#DIV/0!</v>
      </c>
      <c r="AB8" s="772" t="e">
        <f t="shared" ref="AB8:AB40" si="4">D8/H8</f>
        <v>#DIV/0!</v>
      </c>
      <c r="AC8" s="772" t="e">
        <f t="shared" ref="AC8:AC40" si="5">D8/J8</f>
        <v>#DIV/0!</v>
      </c>
    </row>
    <row r="9" spans="1:29" s="116" customFormat="1">
      <c r="A9" s="414" t="s">
        <v>2556</v>
      </c>
      <c r="B9" s="70" t="s">
        <v>2557</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76" t="s">
        <v>2558</v>
      </c>
      <c r="Q9" s="1797" t="str">
        <f t="shared" ref="Q9:Q15" si="6">B9</f>
        <v>用途</v>
      </c>
      <c r="R9" s="769" t="s">
        <v>17</v>
      </c>
      <c r="S9" s="770">
        <f t="shared" si="0"/>
        <v>100</v>
      </c>
      <c r="T9" s="769" t="s">
        <v>17</v>
      </c>
      <c r="U9" s="770">
        <f t="shared" si="1"/>
        <v>100</v>
      </c>
      <c r="V9" s="769" t="s">
        <v>17</v>
      </c>
      <c r="W9" s="770">
        <f t="shared" si="2"/>
        <v>100</v>
      </c>
      <c r="X9" s="771"/>
      <c r="Y9" s="3034" t="s">
        <v>2559</v>
      </c>
      <c r="Z9" s="54" t="str">
        <f t="shared" ref="Z9:Z15" si="7">Q9</f>
        <v>用途</v>
      </c>
      <c r="AA9" s="772">
        <f t="shared" si="3"/>
        <v>1</v>
      </c>
      <c r="AB9" s="772">
        <f t="shared" si="4"/>
        <v>1</v>
      </c>
      <c r="AC9" s="772">
        <f t="shared" si="5"/>
        <v>1</v>
      </c>
    </row>
    <row r="10" spans="1:29" s="426" customFormat="1" ht="27">
      <c r="A10" s="420"/>
      <c r="B10" s="421" t="s">
        <v>2560</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76"/>
      <c r="Q10" s="1797" t="str">
        <f t="shared" si="6"/>
        <v>土地使用年限（年）</v>
      </c>
      <c r="R10" s="769" t="s">
        <v>17</v>
      </c>
      <c r="S10" s="770">
        <f t="shared" si="0"/>
        <v>100</v>
      </c>
      <c r="T10" s="769" t="s">
        <v>17</v>
      </c>
      <c r="U10" s="770">
        <f t="shared" si="1"/>
        <v>100</v>
      </c>
      <c r="V10" s="769" t="s">
        <v>17</v>
      </c>
      <c r="W10" s="770">
        <f t="shared" si="2"/>
        <v>100</v>
      </c>
      <c r="X10" s="771"/>
      <c r="Y10" s="3034"/>
      <c r="Z10" s="54" t="str">
        <f t="shared" si="7"/>
        <v>土地使用年限（年）</v>
      </c>
      <c r="AA10" s="772">
        <f t="shared" si="3"/>
        <v>1</v>
      </c>
      <c r="AB10" s="772">
        <f t="shared" si="4"/>
        <v>1</v>
      </c>
      <c r="AC10" s="772">
        <f t="shared" si="5"/>
        <v>1</v>
      </c>
    </row>
    <row r="11" spans="1:29" ht="15">
      <c r="A11" s="427"/>
      <c r="B11" s="421" t="s">
        <v>2561</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76"/>
      <c r="Q11" s="1797" t="str">
        <f t="shared" si="6"/>
        <v>容积率</v>
      </c>
      <c r="R11" s="769" t="s">
        <v>17</v>
      </c>
      <c r="S11" s="770" t="e">
        <f t="shared" si="0"/>
        <v>#N/A</v>
      </c>
      <c r="T11" s="769" t="s">
        <v>17</v>
      </c>
      <c r="U11" s="770" t="e">
        <f t="shared" si="1"/>
        <v>#N/A</v>
      </c>
      <c r="V11" s="769" t="s">
        <v>17</v>
      </c>
      <c r="W11" s="770" t="e">
        <f t="shared" si="2"/>
        <v>#N/A</v>
      </c>
      <c r="X11" s="771"/>
      <c r="Y11" s="3034"/>
      <c r="Z11" s="54" t="str">
        <f t="shared" si="7"/>
        <v>容积率</v>
      </c>
      <c r="AA11" s="772" t="e">
        <f t="shared" si="3"/>
        <v>#N/A</v>
      </c>
      <c r="AB11" s="772" t="e">
        <f t="shared" si="4"/>
        <v>#N/A</v>
      </c>
      <c r="AC11" s="772" t="e">
        <f t="shared" si="5"/>
        <v>#N/A</v>
      </c>
    </row>
    <row r="12" spans="1:29" s="116" customFormat="1" ht="15">
      <c r="A12" s="430"/>
      <c r="B12" s="2601">
        <v>111</v>
      </c>
      <c r="C12" s="431"/>
      <c r="D12" s="432">
        <v>100</v>
      </c>
      <c r="E12" s="433"/>
      <c r="F12" s="135">
        <f>SUMIF(64:64,E12,65:65)-SUMIF(64:64,C12,65:65)+100</f>
        <v>100</v>
      </c>
      <c r="G12" s="2693"/>
      <c r="H12" s="135">
        <f>SUMIF(64:64,G12,65:65)-SUMIF(64:64,C12,65:65)+100</f>
        <v>100</v>
      </c>
      <c r="I12" s="468"/>
      <c r="J12" s="135">
        <f>SUMIF(64:64,I12,65:65)-SUMIF(64:64,C12,65:65)+100</f>
        <v>100</v>
      </c>
      <c r="K12" s="612"/>
      <c r="L12" s="1134"/>
      <c r="M12" s="1135"/>
      <c r="N12" s="1135"/>
      <c r="O12" s="1136"/>
      <c r="P12" s="3176"/>
      <c r="Q12" s="1797">
        <f t="shared" si="6"/>
        <v>111</v>
      </c>
      <c r="R12" s="769" t="s">
        <v>17</v>
      </c>
      <c r="S12" s="770">
        <f t="shared" si="0"/>
        <v>100</v>
      </c>
      <c r="T12" s="769" t="s">
        <v>17</v>
      </c>
      <c r="U12" s="770">
        <f t="shared" si="1"/>
        <v>100</v>
      </c>
      <c r="V12" s="769" t="s">
        <v>17</v>
      </c>
      <c r="W12" s="770">
        <f t="shared" si="2"/>
        <v>100</v>
      </c>
      <c r="X12" s="771"/>
      <c r="Y12" s="3034"/>
      <c r="Z12" s="54">
        <f t="shared" si="7"/>
        <v>111</v>
      </c>
      <c r="AA12" s="772">
        <f>D12/F12</f>
        <v>1</v>
      </c>
      <c r="AB12" s="772">
        <f>D12/H12</f>
        <v>1</v>
      </c>
      <c r="AC12" s="772">
        <f>D12/J12</f>
        <v>1</v>
      </c>
    </row>
    <row r="13" spans="1:29" ht="15">
      <c r="A13" s="427"/>
      <c r="B13" s="2601">
        <v>111</v>
      </c>
      <c r="C13" s="433"/>
      <c r="D13" s="434">
        <v>100</v>
      </c>
      <c r="E13" s="433"/>
      <c r="F13" s="135">
        <f>SUMIF(66:66,E13,67:67)-SUMIF(66:66,C13,67:67)+100</f>
        <v>100</v>
      </c>
      <c r="G13" s="2693"/>
      <c r="H13" s="434">
        <f>SUMIF(66:66,G13,67:67)-SUMIF(66:66,C13,67:67)+100</f>
        <v>100</v>
      </c>
      <c r="I13" s="468"/>
      <c r="J13" s="434">
        <f>SUMIF(66:66,I13,67:67)-SUMIF(66:66,C13,67:67)+100</f>
        <v>100</v>
      </c>
      <c r="K13" s="612"/>
      <c r="L13" s="1142"/>
      <c r="M13" s="1133"/>
      <c r="N13" s="1133"/>
      <c r="O13" s="1141"/>
      <c r="P13" s="3176"/>
      <c r="Q13" s="1797">
        <f t="shared" si="6"/>
        <v>111</v>
      </c>
      <c r="R13" s="769" t="s">
        <v>17</v>
      </c>
      <c r="S13" s="770">
        <f t="shared" si="0"/>
        <v>100</v>
      </c>
      <c r="T13" s="769" t="s">
        <v>17</v>
      </c>
      <c r="U13" s="770">
        <f t="shared" si="1"/>
        <v>100</v>
      </c>
      <c r="V13" s="769" t="s">
        <v>17</v>
      </c>
      <c r="W13" s="770">
        <f t="shared" si="2"/>
        <v>100</v>
      </c>
      <c r="X13" s="771"/>
      <c r="Y13" s="3034"/>
      <c r="Z13" s="54">
        <f t="shared" si="7"/>
        <v>111</v>
      </c>
      <c r="AA13" s="772">
        <f t="shared" si="3"/>
        <v>1</v>
      </c>
      <c r="AB13" s="772">
        <f t="shared" si="4"/>
        <v>1</v>
      </c>
      <c r="AC13" s="772">
        <f t="shared" si="5"/>
        <v>1</v>
      </c>
    </row>
    <row r="14" spans="1:29" ht="15.75" thickBot="1">
      <c r="A14" s="435"/>
      <c r="B14" s="2603">
        <v>111</v>
      </c>
      <c r="C14" s="436"/>
      <c r="D14" s="437">
        <v>100</v>
      </c>
      <c r="E14" s="436"/>
      <c r="F14" s="437">
        <f>SUMIF(68:68,E14,69:69)-SUMIF(68:68,C14,69:69)+100</f>
        <v>100</v>
      </c>
      <c r="G14" s="2693"/>
      <c r="H14" s="437">
        <f>SUMIF(68:68,G14,69:69)-SUMIF(68:68,C14,69:69)+100</f>
        <v>100</v>
      </c>
      <c r="I14" s="468"/>
      <c r="J14" s="437">
        <f>SUMIF(68:68,I14,69:69)-SUMIF(68:68,C14,69:69)+100</f>
        <v>100</v>
      </c>
      <c r="K14" s="612"/>
      <c r="L14" s="1142"/>
      <c r="M14" s="1133"/>
      <c r="N14" s="1133"/>
      <c r="O14" s="1141"/>
      <c r="P14" s="3176"/>
      <c r="Q14" s="1797">
        <f t="shared" si="6"/>
        <v>111</v>
      </c>
      <c r="R14" s="769" t="s">
        <v>17</v>
      </c>
      <c r="S14" s="770">
        <f t="shared" si="0"/>
        <v>100</v>
      </c>
      <c r="T14" s="769" t="s">
        <v>17</v>
      </c>
      <c r="U14" s="770">
        <f t="shared" si="1"/>
        <v>100</v>
      </c>
      <c r="V14" s="769" t="s">
        <v>17</v>
      </c>
      <c r="W14" s="770">
        <f t="shared" si="2"/>
        <v>100</v>
      </c>
      <c r="X14" s="771"/>
      <c r="Y14" s="3034"/>
      <c r="Z14" s="54">
        <f t="shared" si="7"/>
        <v>111</v>
      </c>
      <c r="AA14" s="772">
        <f t="shared" si="3"/>
        <v>1</v>
      </c>
      <c r="AB14" s="772">
        <f t="shared" si="4"/>
        <v>1</v>
      </c>
      <c r="AC14" s="772">
        <f t="shared" si="5"/>
        <v>1</v>
      </c>
    </row>
    <row r="15" spans="1:29" ht="57">
      <c r="A15" s="439" t="s">
        <v>2562</v>
      </c>
      <c r="B15" s="68" t="s">
        <v>2706</v>
      </c>
      <c r="C15" s="269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91" t="s">
        <v>2563</v>
      </c>
      <c r="Q15" s="1812" t="str">
        <f t="shared" si="6"/>
        <v>产业集聚程度</v>
      </c>
      <c r="R15" s="773" t="s">
        <v>17</v>
      </c>
      <c r="S15" s="774">
        <f t="shared" si="0"/>
        <v>100</v>
      </c>
      <c r="T15" s="773" t="s">
        <v>17</v>
      </c>
      <c r="U15" s="774">
        <f t="shared" si="1"/>
        <v>100</v>
      </c>
      <c r="V15" s="773" t="s">
        <v>17</v>
      </c>
      <c r="W15" s="774">
        <f t="shared" si="2"/>
        <v>100</v>
      </c>
      <c r="X15" s="1815"/>
      <c r="Y15" s="3191" t="s">
        <v>2563</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192"/>
      <c r="Q16" s="1812"/>
      <c r="R16" s="773"/>
      <c r="S16" s="774"/>
      <c r="T16" s="773"/>
      <c r="U16" s="774"/>
      <c r="V16" s="773"/>
      <c r="W16" s="774"/>
      <c r="X16" s="1815"/>
      <c r="Y16" s="3192"/>
      <c r="Z16" s="1816"/>
      <c r="AA16" s="1813">
        <v>1</v>
      </c>
      <c r="AB16" s="1813">
        <v>1</v>
      </c>
      <c r="AC16" s="1813">
        <v>1</v>
      </c>
    </row>
    <row r="17" spans="1:29" ht="85.5">
      <c r="A17" s="427"/>
      <c r="B17" s="450" t="s">
        <v>2101</v>
      </c>
      <c r="C17" s="260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92"/>
      <c r="Q17" s="1812" t="str">
        <f>B17</f>
        <v>交通便捷度</v>
      </c>
      <c r="R17" s="773" t="s">
        <v>17</v>
      </c>
      <c r="S17" s="774">
        <f>F17</f>
        <v>100</v>
      </c>
      <c r="T17" s="773" t="s">
        <v>17</v>
      </c>
      <c r="U17" s="774">
        <f>H17</f>
        <v>100</v>
      </c>
      <c r="V17" s="773" t="s">
        <v>17</v>
      </c>
      <c r="W17" s="774">
        <f>J17</f>
        <v>100</v>
      </c>
      <c r="X17" s="1815"/>
      <c r="Y17" s="3192"/>
      <c r="Z17" s="1816" t="str">
        <f>Q17</f>
        <v>交通便捷度</v>
      </c>
      <c r="AA17" s="1813">
        <f t="shared" si="3"/>
        <v>1</v>
      </c>
      <c r="AB17" s="1813">
        <f t="shared" si="4"/>
        <v>1</v>
      </c>
      <c r="AC17" s="1813">
        <f t="shared" si="5"/>
        <v>1</v>
      </c>
    </row>
    <row r="18" spans="1:29" ht="15">
      <c r="A18" s="427"/>
      <c r="B18" s="455"/>
      <c r="C18" s="2609"/>
      <c r="D18" s="449"/>
      <c r="E18" s="2611"/>
      <c r="F18" s="452"/>
      <c r="G18" s="2610"/>
      <c r="H18" s="447"/>
      <c r="I18" s="2611"/>
      <c r="J18" s="447"/>
      <c r="K18" s="614"/>
      <c r="L18" s="1142"/>
      <c r="M18" s="1133"/>
      <c r="N18" s="1133"/>
      <c r="O18" s="1141"/>
      <c r="P18" s="3192"/>
      <c r="Q18" s="1812"/>
      <c r="R18" s="773"/>
      <c r="S18" s="774"/>
      <c r="T18" s="773"/>
      <c r="U18" s="774"/>
      <c r="V18" s="773"/>
      <c r="W18" s="774"/>
      <c r="X18" s="1815"/>
      <c r="Y18" s="3192"/>
      <c r="Z18" s="1816"/>
      <c r="AA18" s="1813">
        <v>1</v>
      </c>
      <c r="AB18" s="1813">
        <v>1</v>
      </c>
      <c r="AC18" s="1813">
        <v>1</v>
      </c>
    </row>
    <row r="19" spans="1:29" ht="42.75">
      <c r="A19" s="427"/>
      <c r="B19" s="450" t="s">
        <v>2691</v>
      </c>
      <c r="C19" s="260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92"/>
      <c r="Q19" s="1812" t="str">
        <f>B19</f>
        <v>公共配套设施</v>
      </c>
      <c r="R19" s="773" t="s">
        <v>17</v>
      </c>
      <c r="S19" s="774">
        <f>F19</f>
        <v>100</v>
      </c>
      <c r="T19" s="773" t="s">
        <v>17</v>
      </c>
      <c r="U19" s="774">
        <f>H19</f>
        <v>100</v>
      </c>
      <c r="V19" s="773" t="s">
        <v>17</v>
      </c>
      <c r="W19" s="774">
        <f>J19</f>
        <v>100</v>
      </c>
      <c r="X19" s="1815"/>
      <c r="Y19" s="3192"/>
      <c r="Z19" s="1816" t="str">
        <f>Q19</f>
        <v>公共配套设施</v>
      </c>
      <c r="AA19" s="1813">
        <f t="shared" si="3"/>
        <v>1</v>
      </c>
      <c r="AB19" s="1813">
        <f t="shared" si="4"/>
        <v>1</v>
      </c>
      <c r="AC19" s="1813">
        <f t="shared" si="5"/>
        <v>1</v>
      </c>
    </row>
    <row r="20" spans="1:29" ht="15">
      <c r="A20" s="427"/>
      <c r="B20" s="455"/>
      <c r="C20" s="446"/>
      <c r="D20" s="447"/>
      <c r="E20" s="2606"/>
      <c r="F20" s="448"/>
      <c r="G20" s="2605"/>
      <c r="H20" s="447"/>
      <c r="I20" s="2606"/>
      <c r="J20" s="447"/>
      <c r="K20" s="614"/>
      <c r="L20" s="1142"/>
      <c r="M20" s="1133"/>
      <c r="N20" s="1133"/>
      <c r="O20" s="1141"/>
      <c r="P20" s="3192"/>
      <c r="Q20" s="1812"/>
      <c r="R20" s="773"/>
      <c r="S20" s="774"/>
      <c r="T20" s="773"/>
      <c r="U20" s="774"/>
      <c r="V20" s="773"/>
      <c r="W20" s="774"/>
      <c r="X20" s="1815"/>
      <c r="Y20" s="3192"/>
      <c r="Z20" s="1816"/>
      <c r="AA20" s="1813">
        <v>1</v>
      </c>
      <c r="AB20" s="1813">
        <v>1</v>
      </c>
      <c r="AC20" s="1813">
        <v>1</v>
      </c>
    </row>
    <row r="21" spans="1:29" ht="28.5">
      <c r="A21" s="427"/>
      <c r="B21" s="1386" t="s">
        <v>2692</v>
      </c>
      <c r="C21" s="260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92"/>
      <c r="Q21" s="1812" t="str">
        <f>B21</f>
        <v>基础设施水平</v>
      </c>
      <c r="R21" s="773" t="s">
        <v>17</v>
      </c>
      <c r="S21" s="774">
        <f>F21</f>
        <v>100</v>
      </c>
      <c r="T21" s="773" t="s">
        <v>17</v>
      </c>
      <c r="U21" s="774">
        <f>H21</f>
        <v>100</v>
      </c>
      <c r="V21" s="773" t="s">
        <v>17</v>
      </c>
      <c r="W21" s="774">
        <f>J21</f>
        <v>100</v>
      </c>
      <c r="X21" s="1815"/>
      <c r="Y21" s="3192"/>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8"/>
      <c r="G22" s="446"/>
      <c r="H22" s="447"/>
      <c r="I22" s="446"/>
      <c r="J22" s="447"/>
      <c r="K22" s="1385"/>
      <c r="L22" s="1142"/>
      <c r="M22" s="1133"/>
      <c r="N22" s="1133"/>
      <c r="O22" s="1141"/>
      <c r="P22" s="3192"/>
      <c r="Q22" s="1812"/>
      <c r="R22" s="773"/>
      <c r="S22" s="774"/>
      <c r="T22" s="773"/>
      <c r="U22" s="774"/>
      <c r="V22" s="773"/>
      <c r="W22" s="774"/>
      <c r="X22" s="1815"/>
      <c r="Y22" s="3192"/>
      <c r="Z22" s="1816"/>
      <c r="AA22" s="1813">
        <v>1</v>
      </c>
      <c r="AB22" s="1813">
        <v>1</v>
      </c>
      <c r="AC22" s="1813">
        <v>1</v>
      </c>
    </row>
    <row r="23" spans="1:29" ht="71.25">
      <c r="A23" s="427"/>
      <c r="B23" s="450" t="s">
        <v>2693</v>
      </c>
      <c r="C23" s="260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92"/>
      <c r="Q23" s="1812" t="str">
        <f>B23</f>
        <v>环境质量</v>
      </c>
      <c r="R23" s="773" t="s">
        <v>17</v>
      </c>
      <c r="S23" s="774">
        <f>F23</f>
        <v>100</v>
      </c>
      <c r="T23" s="773" t="s">
        <v>17</v>
      </c>
      <c r="U23" s="774">
        <f>H23</f>
        <v>100</v>
      </c>
      <c r="V23" s="773" t="s">
        <v>17</v>
      </c>
      <c r="W23" s="774">
        <f>J23</f>
        <v>100</v>
      </c>
      <c r="X23" s="1815"/>
      <c r="Y23" s="3192"/>
      <c r="Z23" s="1816" t="str">
        <f>Q23</f>
        <v>环境质量</v>
      </c>
      <c r="AA23" s="1813">
        <f t="shared" si="3"/>
        <v>1</v>
      </c>
      <c r="AB23" s="1813">
        <f t="shared" si="4"/>
        <v>1</v>
      </c>
      <c r="AC23" s="1813">
        <f t="shared" si="5"/>
        <v>1</v>
      </c>
    </row>
    <row r="24" spans="1:29" ht="15">
      <c r="A24" s="427"/>
      <c r="B24" s="1386"/>
      <c r="C24" s="446"/>
      <c r="D24" s="447"/>
      <c r="E24" s="2606"/>
      <c r="F24" s="448"/>
      <c r="G24" s="2605"/>
      <c r="H24" s="447"/>
      <c r="I24" s="2606"/>
      <c r="J24" s="447"/>
      <c r="K24" s="614"/>
      <c r="L24" s="1142"/>
      <c r="M24" s="1133"/>
      <c r="N24" s="1133"/>
      <c r="O24" s="1141"/>
      <c r="P24" s="3192"/>
      <c r="Q24" s="1812"/>
      <c r="R24" s="773"/>
      <c r="S24" s="774"/>
      <c r="T24" s="773"/>
      <c r="U24" s="774"/>
      <c r="V24" s="773"/>
      <c r="W24" s="774"/>
      <c r="X24" s="1815"/>
      <c r="Y24" s="3192"/>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92"/>
      <c r="Q25" s="1812">
        <f>B25</f>
        <v>111</v>
      </c>
      <c r="R25" s="773" t="s">
        <v>17</v>
      </c>
      <c r="S25" s="774">
        <f>F25</f>
        <v>100</v>
      </c>
      <c r="T25" s="773" t="s">
        <v>17</v>
      </c>
      <c r="U25" s="774">
        <f>H25</f>
        <v>100</v>
      </c>
      <c r="V25" s="773" t="s">
        <v>17</v>
      </c>
      <c r="W25" s="774">
        <f>J25</f>
        <v>100</v>
      </c>
      <c r="X25" s="1815"/>
      <c r="Y25" s="3192"/>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92"/>
      <c r="Q26" s="1812">
        <f t="shared" ref="Q26:Q40" si="11">B26</f>
        <v>111</v>
      </c>
      <c r="R26" s="773" t="s">
        <v>17</v>
      </c>
      <c r="S26" s="774">
        <f>F26</f>
        <v>100</v>
      </c>
      <c r="T26" s="773" t="s">
        <v>17</v>
      </c>
      <c r="U26" s="774">
        <f>H26</f>
        <v>100</v>
      </c>
      <c r="V26" s="773" t="s">
        <v>17</v>
      </c>
      <c r="W26" s="774">
        <f>J26</f>
        <v>100</v>
      </c>
      <c r="X26" s="1815"/>
      <c r="Y26" s="3192"/>
      <c r="Z26" s="1816">
        <f>Q26</f>
        <v>111</v>
      </c>
      <c r="AA26" s="1813">
        <f t="shared" si="3"/>
        <v>1</v>
      </c>
      <c r="AB26" s="1813">
        <f t="shared" si="4"/>
        <v>1</v>
      </c>
      <c r="AC26" s="1813">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92"/>
      <c r="Q27" s="1797">
        <f t="shared" si="11"/>
        <v>111</v>
      </c>
      <c r="R27" s="769" t="s">
        <v>17</v>
      </c>
      <c r="S27" s="770">
        <f>F27</f>
        <v>100</v>
      </c>
      <c r="T27" s="769" t="s">
        <v>17</v>
      </c>
      <c r="U27" s="770">
        <f>H27</f>
        <v>100</v>
      </c>
      <c r="V27" s="769" t="s">
        <v>17</v>
      </c>
      <c r="W27" s="770">
        <f>J27</f>
        <v>100</v>
      </c>
      <c r="X27" s="771"/>
      <c r="Y27" s="3192"/>
      <c r="Z27" s="54">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92"/>
      <c r="Q28" s="1812">
        <f t="shared" si="11"/>
        <v>111</v>
      </c>
      <c r="R28" s="773" t="s">
        <v>17</v>
      </c>
      <c r="S28" s="774">
        <f t="shared" ref="S28:S40" si="12">F28</f>
        <v>100</v>
      </c>
      <c r="T28" s="773" t="s">
        <v>17</v>
      </c>
      <c r="U28" s="774">
        <f t="shared" ref="U28:U40" si="13">H28</f>
        <v>100</v>
      </c>
      <c r="V28" s="773" t="s">
        <v>17</v>
      </c>
      <c r="W28" s="774">
        <f t="shared" ref="W28:W40" si="14">J28</f>
        <v>100</v>
      </c>
      <c r="X28" s="1815"/>
      <c r="Y28" s="3192"/>
      <c r="Z28" s="1816">
        <f t="shared" ref="Z28:Z40" si="15">Q28</f>
        <v>111</v>
      </c>
      <c r="AA28" s="1813">
        <f t="shared" si="3"/>
        <v>1</v>
      </c>
      <c r="AB28" s="1813">
        <f t="shared" si="4"/>
        <v>1</v>
      </c>
      <c r="AC28" s="1813">
        <f t="shared" si="5"/>
        <v>1</v>
      </c>
    </row>
    <row r="29" spans="1:29" ht="15">
      <c r="A29" s="465" t="s">
        <v>2566</v>
      </c>
      <c r="B29" s="70" t="s">
        <v>2696</v>
      </c>
      <c r="C29" s="2680"/>
      <c r="D29" s="466">
        <v>100</v>
      </c>
      <c r="E29" s="2680"/>
      <c r="F29" s="460">
        <f>SUMIF(88:88,E29,89:89)-SUMIF(88:88,C29,89:89)+100</f>
        <v>100</v>
      </c>
      <c r="G29" s="2680"/>
      <c r="H29" s="434">
        <f>SUMIF(88:88,G29,89:89)-SUMIF(88:88,C29,89:89)+100</f>
        <v>100</v>
      </c>
      <c r="I29" s="2680"/>
      <c r="J29" s="466">
        <f>SUMIF(88:88,I29,89:89)-SUMIF(88:88,C29,89:89)+100</f>
        <v>100</v>
      </c>
      <c r="K29" s="611"/>
      <c r="L29" s="1142"/>
      <c r="M29" s="1133"/>
      <c r="N29" s="1133"/>
      <c r="O29" s="1141"/>
      <c r="P29" s="3193" t="s">
        <v>2568</v>
      </c>
      <c r="Q29" s="1812" t="str">
        <f t="shared" si="11"/>
        <v>建筑类型</v>
      </c>
      <c r="R29" s="773" t="s">
        <v>17</v>
      </c>
      <c r="S29" s="774">
        <f t="shared" si="12"/>
        <v>100</v>
      </c>
      <c r="T29" s="773" t="s">
        <v>17</v>
      </c>
      <c r="U29" s="774">
        <f t="shared" si="13"/>
        <v>100</v>
      </c>
      <c r="V29" s="773" t="s">
        <v>17</v>
      </c>
      <c r="W29" s="774">
        <f t="shared" si="14"/>
        <v>100</v>
      </c>
      <c r="X29" s="1815"/>
      <c r="Y29" s="3194" t="s">
        <v>2568</v>
      </c>
      <c r="Z29" s="1816" t="str">
        <f t="shared" si="15"/>
        <v>建筑类型</v>
      </c>
      <c r="AA29" s="1813">
        <f t="shared" si="3"/>
        <v>1</v>
      </c>
      <c r="AB29" s="1813">
        <f t="shared" si="4"/>
        <v>1</v>
      </c>
      <c r="AC29" s="1813">
        <f t="shared" si="5"/>
        <v>1</v>
      </c>
    </row>
    <row r="30" spans="1:29" s="470" customFormat="1" ht="15">
      <c r="A30" s="467"/>
      <c r="B30" s="421" t="s">
        <v>2569</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94"/>
      <c r="Q30" s="775" t="str">
        <f t="shared" si="11"/>
        <v>项目建筑规模</v>
      </c>
      <c r="R30" s="776" t="s">
        <v>17</v>
      </c>
      <c r="S30" s="777" t="e">
        <f t="shared" si="12"/>
        <v>#N/A</v>
      </c>
      <c r="T30" s="776" t="s">
        <v>17</v>
      </c>
      <c r="U30" s="777" t="e">
        <f t="shared" si="13"/>
        <v>#N/A</v>
      </c>
      <c r="V30" s="776" t="s">
        <v>17</v>
      </c>
      <c r="W30" s="777" t="e">
        <f t="shared" si="14"/>
        <v>#N/A</v>
      </c>
      <c r="X30" s="778"/>
      <c r="Y30" s="3194"/>
      <c r="Z30" s="779" t="str">
        <f t="shared" si="15"/>
        <v>项目建筑规模</v>
      </c>
      <c r="AA30" s="1813" t="e">
        <f t="shared" si="3"/>
        <v>#N/A</v>
      </c>
      <c r="AB30" s="1813" t="e">
        <f t="shared" si="4"/>
        <v>#N/A</v>
      </c>
      <c r="AC30" s="1813" t="e">
        <f t="shared" si="5"/>
        <v>#N/A</v>
      </c>
    </row>
    <row r="31" spans="1:29" ht="15">
      <c r="A31" s="471"/>
      <c r="B31" s="421" t="s">
        <v>2570</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94"/>
      <c r="Q31" s="1812" t="str">
        <f t="shared" si="11"/>
        <v>建筑结构</v>
      </c>
      <c r="R31" s="773" t="s">
        <v>17</v>
      </c>
      <c r="S31" s="774">
        <f t="shared" si="12"/>
        <v>100</v>
      </c>
      <c r="T31" s="773" t="s">
        <v>17</v>
      </c>
      <c r="U31" s="774">
        <f t="shared" si="13"/>
        <v>100</v>
      </c>
      <c r="V31" s="773" t="s">
        <v>17</v>
      </c>
      <c r="W31" s="774">
        <f t="shared" si="14"/>
        <v>100</v>
      </c>
      <c r="X31" s="1815"/>
      <c r="Y31" s="3194"/>
      <c r="Z31" s="1816" t="str">
        <f t="shared" si="15"/>
        <v>建筑结构</v>
      </c>
      <c r="AA31" s="1813">
        <f t="shared" si="3"/>
        <v>1</v>
      </c>
      <c r="AB31" s="1813">
        <f t="shared" si="4"/>
        <v>1</v>
      </c>
      <c r="AC31" s="1813">
        <f t="shared" si="5"/>
        <v>1</v>
      </c>
    </row>
    <row r="32" spans="1:29" ht="15">
      <c r="A32" s="471"/>
      <c r="B32" s="421" t="s">
        <v>2664</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94"/>
      <c r="Q32" s="1812" t="str">
        <f t="shared" si="11"/>
        <v>公共部分装修</v>
      </c>
      <c r="R32" s="773" t="s">
        <v>17</v>
      </c>
      <c r="S32" s="774">
        <f t="shared" si="12"/>
        <v>100</v>
      </c>
      <c r="T32" s="773" t="s">
        <v>17</v>
      </c>
      <c r="U32" s="774">
        <f t="shared" si="13"/>
        <v>100</v>
      </c>
      <c r="V32" s="773" t="s">
        <v>17</v>
      </c>
      <c r="W32" s="774">
        <f t="shared" si="14"/>
        <v>100</v>
      </c>
      <c r="X32" s="1815"/>
      <c r="Y32" s="3194"/>
      <c r="Z32" s="1816" t="str">
        <f t="shared" si="15"/>
        <v>公共部分装修</v>
      </c>
      <c r="AA32" s="1813">
        <f t="shared" si="3"/>
        <v>1</v>
      </c>
      <c r="AB32" s="1813">
        <f t="shared" si="4"/>
        <v>1</v>
      </c>
      <c r="AC32" s="1813">
        <f t="shared" si="5"/>
        <v>1</v>
      </c>
    </row>
    <row r="33" spans="1:29" ht="15">
      <c r="A33" s="471"/>
      <c r="B33" s="421" t="s">
        <v>2665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94"/>
      <c r="Q33" s="1812" t="str">
        <f t="shared" si="11"/>
        <v>成新度</v>
      </c>
      <c r="R33" s="773" t="s">
        <v>17</v>
      </c>
      <c r="S33" s="774" t="e">
        <f t="shared" si="12"/>
        <v>#N/A</v>
      </c>
      <c r="T33" s="773" t="s">
        <v>17</v>
      </c>
      <c r="U33" s="774" t="e">
        <f t="shared" si="13"/>
        <v>#N/A</v>
      </c>
      <c r="V33" s="773" t="s">
        <v>17</v>
      </c>
      <c r="W33" s="774" t="e">
        <f t="shared" si="14"/>
        <v>#N/A</v>
      </c>
      <c r="X33" s="1815"/>
      <c r="Y33" s="3194"/>
      <c r="Z33" s="1816" t="str">
        <f t="shared" si="15"/>
        <v>成新度</v>
      </c>
      <c r="AA33" s="1813" t="e">
        <f t="shared" si="3"/>
        <v>#N/A</v>
      </c>
      <c r="AB33" s="1813" t="e">
        <f t="shared" si="4"/>
        <v>#N/A</v>
      </c>
      <c r="AC33" s="1813" t="e">
        <f t="shared" si="5"/>
        <v>#N/A</v>
      </c>
    </row>
    <row r="34" spans="1:29" s="116" customFormat="1" ht="15">
      <c r="A34" s="472"/>
      <c r="B34" s="421" t="s">
        <v>2698</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94"/>
      <c r="Q34" s="1797" t="str">
        <f t="shared" si="11"/>
        <v>物业管理</v>
      </c>
      <c r="R34" s="769" t="s">
        <v>17</v>
      </c>
      <c r="S34" s="770">
        <f t="shared" si="12"/>
        <v>100</v>
      </c>
      <c r="T34" s="769" t="s">
        <v>17</v>
      </c>
      <c r="U34" s="770">
        <f t="shared" si="13"/>
        <v>100</v>
      </c>
      <c r="V34" s="769" t="s">
        <v>17</v>
      </c>
      <c r="W34" s="770">
        <f t="shared" si="14"/>
        <v>100</v>
      </c>
      <c r="X34" s="771"/>
      <c r="Y34" s="3194"/>
      <c r="Z34" s="54" t="str">
        <f t="shared" si="15"/>
        <v>物业管理</v>
      </c>
      <c r="AA34" s="772">
        <f t="shared" si="3"/>
        <v>1</v>
      </c>
      <c r="AB34" s="772">
        <f t="shared" si="4"/>
        <v>1</v>
      </c>
      <c r="AC34" s="772">
        <f t="shared" si="5"/>
        <v>1</v>
      </c>
    </row>
    <row r="35" spans="1:29" ht="15">
      <c r="A35" s="471"/>
      <c r="B35" s="421" t="s">
        <v>2666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94" t="s">
        <v>2568</v>
      </c>
      <c r="Q35" s="1812" t="str">
        <f t="shared" si="11"/>
        <v>市政基础设施</v>
      </c>
      <c r="R35" s="773" t="s">
        <v>17</v>
      </c>
      <c r="S35" s="774">
        <f t="shared" si="12"/>
        <v>100</v>
      </c>
      <c r="T35" s="773" t="s">
        <v>17</v>
      </c>
      <c r="U35" s="774">
        <f t="shared" si="13"/>
        <v>100</v>
      </c>
      <c r="V35" s="773" t="s">
        <v>17</v>
      </c>
      <c r="W35" s="774">
        <f t="shared" si="14"/>
        <v>100</v>
      </c>
      <c r="X35" s="1815"/>
      <c r="Y35" s="3194" t="s">
        <v>2568</v>
      </c>
      <c r="Z35" s="1816" t="str">
        <f t="shared" si="15"/>
        <v>市政基础设施</v>
      </c>
      <c r="AA35" s="1813">
        <f t="shared" si="3"/>
        <v>1</v>
      </c>
      <c r="AB35" s="1813">
        <f t="shared" si="4"/>
        <v>1</v>
      </c>
      <c r="AC35" s="1813">
        <f t="shared" si="5"/>
        <v>1</v>
      </c>
    </row>
    <row r="36" spans="1:29" ht="15">
      <c r="A36" s="471"/>
      <c r="B36" s="421" t="s">
        <v>2671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94"/>
      <c r="Q36" s="1812" t="str">
        <f t="shared" si="11"/>
        <v>内部装修</v>
      </c>
      <c r="R36" s="773" t="s">
        <v>17</v>
      </c>
      <c r="S36" s="774">
        <f t="shared" si="12"/>
        <v>100</v>
      </c>
      <c r="T36" s="773" t="s">
        <v>17</v>
      </c>
      <c r="U36" s="774">
        <f t="shared" si="13"/>
        <v>100</v>
      </c>
      <c r="V36" s="773" t="s">
        <v>17</v>
      </c>
      <c r="W36" s="774">
        <f t="shared" si="14"/>
        <v>100</v>
      </c>
      <c r="X36" s="1815"/>
      <c r="Y36" s="3194"/>
      <c r="Z36" s="1816" t="str">
        <f t="shared" si="15"/>
        <v>内部装修</v>
      </c>
      <c r="AA36" s="1813">
        <f t="shared" si="3"/>
        <v>1</v>
      </c>
      <c r="AB36" s="1813">
        <f t="shared" si="4"/>
        <v>1</v>
      </c>
      <c r="AC36" s="1813">
        <f t="shared" si="5"/>
        <v>1</v>
      </c>
    </row>
    <row r="37" spans="1:29" ht="15">
      <c r="A37" s="471"/>
      <c r="B37" s="421" t="s">
        <v>2707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94"/>
      <c r="Q37" s="1812" t="str">
        <f t="shared" si="11"/>
        <v>内部装修状况</v>
      </c>
      <c r="R37" s="773" t="s">
        <v>17</v>
      </c>
      <c r="S37" s="774">
        <f t="shared" si="12"/>
        <v>100</v>
      </c>
      <c r="T37" s="773" t="s">
        <v>17</v>
      </c>
      <c r="U37" s="774">
        <f t="shared" si="13"/>
        <v>100</v>
      </c>
      <c r="V37" s="773" t="s">
        <v>17</v>
      </c>
      <c r="W37" s="774">
        <f t="shared" si="14"/>
        <v>100</v>
      </c>
      <c r="X37" s="1815"/>
      <c r="Y37" s="3194"/>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94"/>
      <c r="Q38" s="775">
        <f t="shared" si="11"/>
        <v>111</v>
      </c>
      <c r="R38" s="776" t="s">
        <v>17</v>
      </c>
      <c r="S38" s="777">
        <f t="shared" si="12"/>
        <v>100</v>
      </c>
      <c r="T38" s="776" t="s">
        <v>17</v>
      </c>
      <c r="U38" s="777">
        <f t="shared" si="13"/>
        <v>100</v>
      </c>
      <c r="V38" s="776" t="s">
        <v>17</v>
      </c>
      <c r="W38" s="777">
        <f t="shared" si="14"/>
        <v>100</v>
      </c>
      <c r="X38" s="778"/>
      <c r="Y38" s="3194"/>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94"/>
      <c r="Q39" s="1812">
        <f t="shared" si="11"/>
        <v>111</v>
      </c>
      <c r="R39" s="773" t="s">
        <v>17</v>
      </c>
      <c r="S39" s="774">
        <f t="shared" si="12"/>
        <v>100</v>
      </c>
      <c r="T39" s="773" t="s">
        <v>17</v>
      </c>
      <c r="U39" s="774">
        <f t="shared" si="13"/>
        <v>100</v>
      </c>
      <c r="V39" s="773" t="s">
        <v>17</v>
      </c>
      <c r="W39" s="774">
        <f t="shared" si="14"/>
        <v>100</v>
      </c>
      <c r="X39" s="1815"/>
      <c r="Y39" s="3194"/>
      <c r="Z39" s="1816">
        <f t="shared" si="15"/>
        <v>111</v>
      </c>
      <c r="AA39" s="1813">
        <f t="shared" si="3"/>
        <v>1</v>
      </c>
      <c r="AB39" s="1813">
        <f t="shared" si="4"/>
        <v>1</v>
      </c>
      <c r="AC39" s="1813">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38"/>
      <c r="Q40" s="1812">
        <f t="shared" si="11"/>
        <v>111</v>
      </c>
      <c r="R40" s="773" t="s">
        <v>17</v>
      </c>
      <c r="S40" s="774">
        <f t="shared" si="12"/>
        <v>100</v>
      </c>
      <c r="T40" s="773" t="s">
        <v>17</v>
      </c>
      <c r="U40" s="774">
        <f t="shared" si="13"/>
        <v>100</v>
      </c>
      <c r="V40" s="773" t="s">
        <v>17</v>
      </c>
      <c r="W40" s="774">
        <f t="shared" si="14"/>
        <v>100</v>
      </c>
      <c r="X40" s="1815"/>
      <c r="Y40" s="3238"/>
      <c r="Z40" s="1816">
        <f t="shared" si="15"/>
        <v>111</v>
      </c>
      <c r="AA40" s="1813">
        <f t="shared" si="3"/>
        <v>1</v>
      </c>
      <c r="AB40" s="1813">
        <f t="shared" si="4"/>
        <v>1</v>
      </c>
      <c r="AC40" s="1813">
        <f t="shared" si="5"/>
        <v>1</v>
      </c>
    </row>
    <row r="41" spans="1:29" ht="15">
      <c r="A41" s="478" t="s">
        <v>2580</v>
      </c>
      <c r="B41" s="479"/>
      <c r="C41" s="1409" t="s">
        <v>1</v>
      </c>
      <c r="D41" s="1410"/>
      <c r="E41" s="1411"/>
      <c r="F41" s="1412"/>
      <c r="G41" s="1413"/>
      <c r="H41" s="1414"/>
      <c r="I41" s="1411"/>
      <c r="J41" s="1414"/>
      <c r="K41" s="782"/>
      <c r="L41" s="1145"/>
      <c r="M41" s="1146"/>
      <c r="N41" s="1133"/>
      <c r="O41" s="1146"/>
      <c r="P41" s="3176" t="str">
        <f>A41</f>
        <v>成交单价（元/平方米）</v>
      </c>
      <c r="Q41" s="3176"/>
      <c r="R41" s="3234">
        <f>E41</f>
        <v>0</v>
      </c>
      <c r="S41" s="3234"/>
      <c r="T41" s="3234">
        <f>G41</f>
        <v>0</v>
      </c>
      <c r="U41" s="3234"/>
      <c r="V41" s="3234">
        <f>I41</f>
        <v>0</v>
      </c>
      <c r="W41" s="3234"/>
      <c r="X41" s="758"/>
      <c r="Y41" s="780"/>
      <c r="Z41" s="758"/>
      <c r="AA41" s="758"/>
      <c r="AB41" s="758"/>
      <c r="AC41" s="758"/>
    </row>
    <row r="42" spans="1:29" ht="15.75" thickBot="1">
      <c r="A42" s="485" t="s">
        <v>2672</v>
      </c>
      <c r="B42" s="486"/>
      <c r="C42" s="1415" t="e">
        <f>R43</f>
        <v>#DIV/0!</v>
      </c>
      <c r="D42" s="1416"/>
      <c r="E42" s="1417" t="e">
        <f>R42</f>
        <v>#DIV/0!</v>
      </c>
      <c r="F42" s="1417"/>
      <c r="G42" s="1415" t="e">
        <f>T42</f>
        <v>#DIV/0!</v>
      </c>
      <c r="H42" s="1416"/>
      <c r="I42" s="1417" t="e">
        <f>V42</f>
        <v>#DIV/0!</v>
      </c>
      <c r="J42" s="1416"/>
      <c r="K42" s="783"/>
      <c r="L42" s="1145"/>
      <c r="M42" s="1146"/>
      <c r="N42" s="1133"/>
      <c r="O42" s="1146"/>
      <c r="P42" s="3176" t="str">
        <f>A42</f>
        <v>比较价值（元/平方米）</v>
      </c>
      <c r="Q42" s="3176"/>
      <c r="R42" s="3234" t="e">
        <f>IF(F1="售价",ROUND(PRODUCT(R41,AA7:AA40),0),ROUND(PRODUCT(R41,AA7:AA40),1))</f>
        <v>#DIV/0!</v>
      </c>
      <c r="S42" s="3234"/>
      <c r="T42" s="3234" t="e">
        <f>IF(F1="售价",ROUND(PRODUCT(T41,AB7:AB40),0),ROUND(PRODUCT(T41,AB7:AB40),1))</f>
        <v>#DIV/0!</v>
      </c>
      <c r="U42" s="3234"/>
      <c r="V42" s="3234" t="e">
        <f>IF(F1="售价",ROUND(PRODUCT(V41,AC7:AC40),0),ROUND(PRODUCT(V41,AC7:AC40),1))</f>
        <v>#DIV/0!</v>
      </c>
      <c r="W42" s="3234"/>
      <c r="X42" s="758"/>
      <c r="Y42" s="758"/>
      <c r="Z42" s="758"/>
      <c r="AA42" s="758"/>
      <c r="AB42" s="758"/>
      <c r="AC42" s="758"/>
    </row>
    <row r="43" spans="1:29" ht="15.75" thickBot="1">
      <c r="A43" s="491" t="s">
        <v>2673</v>
      </c>
      <c r="B43" s="492"/>
      <c r="C43" s="1419" t="e">
        <f>R43</f>
        <v>#DIV/0!</v>
      </c>
      <c r="D43" s="1419"/>
      <c r="E43" s="1419"/>
      <c r="F43" s="1419"/>
      <c r="G43" s="1419"/>
      <c r="H43" s="1419"/>
      <c r="I43" s="1419"/>
      <c r="J43" s="1419"/>
      <c r="K43" s="784"/>
      <c r="L43" s="1145"/>
      <c r="M43" s="1146"/>
      <c r="N43" s="1146"/>
      <c r="O43" s="1146"/>
      <c r="P43" s="3196" t="str">
        <f>A43</f>
        <v>估价对象XX用房的比较价值（楼面单价，元/平方米）</v>
      </c>
      <c r="Q43" s="3197"/>
      <c r="R43" s="3233" t="e">
        <f>IF(F1="售价",ROUND(AVERAGE(R42:V42),0),ROUND(AVERAGE(R42:V42),1))</f>
        <v>#DIV/0!</v>
      </c>
      <c r="S43" s="3233"/>
      <c r="T43" s="3233"/>
      <c r="U43" s="3233"/>
      <c r="V43" s="3233"/>
      <c r="W43" s="3233"/>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2677</v>
      </c>
      <c r="B51" s="758"/>
      <c r="C51" s="763"/>
      <c r="D51" s="763"/>
      <c r="E51" s="763"/>
      <c r="F51" s="764"/>
      <c r="G51" s="764"/>
      <c r="H51" s="763"/>
      <c r="I51" s="763"/>
      <c r="J51" s="763"/>
      <c r="K51" s="1162"/>
      <c r="L51" s="1163"/>
      <c r="M51" s="1161"/>
      <c r="N51" s="1161"/>
      <c r="O51" s="1161"/>
      <c r="P51" s="502"/>
      <c r="Q51" s="503"/>
    </row>
    <row r="52" spans="1:17" s="507" customFormat="1" ht="15">
      <c r="A52" s="504" t="s">
        <v>2551</v>
      </c>
      <c r="B52" s="505"/>
      <c r="C52" s="1576" t="str">
        <f>YEAR(C7)&amp;"-"&amp;MONTH(C7)</f>
        <v>2018-3</v>
      </c>
      <c r="D52" s="1577">
        <f>EDATE(C52,-1)</f>
        <v>43132</v>
      </c>
      <c r="E52" s="1577">
        <f t="shared" ref="E52:O52" si="16">EDATE(D52,-1)</f>
        <v>43101</v>
      </c>
      <c r="F52" s="1577">
        <f t="shared" si="16"/>
        <v>43070</v>
      </c>
      <c r="G52" s="1577">
        <f t="shared" si="16"/>
        <v>43040</v>
      </c>
      <c r="H52" s="1577">
        <f t="shared" si="16"/>
        <v>43009</v>
      </c>
      <c r="I52" s="1577">
        <f t="shared" si="16"/>
        <v>42979</v>
      </c>
      <c r="J52" s="1577">
        <f t="shared" si="16"/>
        <v>42948</v>
      </c>
      <c r="K52" s="1577">
        <f t="shared" si="16"/>
        <v>42917</v>
      </c>
      <c r="L52" s="1577">
        <f t="shared" si="16"/>
        <v>42887</v>
      </c>
      <c r="M52" s="1577">
        <f t="shared" si="16"/>
        <v>42856</v>
      </c>
      <c r="N52" s="1577">
        <f t="shared" si="16"/>
        <v>42826</v>
      </c>
      <c r="O52" s="1577">
        <f t="shared" si="16"/>
        <v>42795</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2588</v>
      </c>
      <c r="B54" s="515"/>
      <c r="C54" s="516"/>
      <c r="D54" s="517"/>
      <c r="E54" s="517"/>
      <c r="F54" s="517"/>
      <c r="G54" s="517"/>
      <c r="H54" s="517"/>
      <c r="I54" s="517"/>
      <c r="J54" s="517"/>
      <c r="K54" s="517"/>
      <c r="L54" s="517"/>
      <c r="M54" s="518"/>
      <c r="N54" s="517"/>
      <c r="O54" s="519"/>
      <c r="P54" s="503"/>
      <c r="Q54" s="503"/>
    </row>
    <row r="55" spans="1:17" s="116" customFormat="1" ht="15">
      <c r="A55" s="520" t="s">
        <v>2553</v>
      </c>
      <c r="B55" s="509"/>
      <c r="C55" s="521" t="s">
        <v>2655</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2591</v>
      </c>
      <c r="B57" s="527" t="s">
        <v>2557</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2560</v>
      </c>
      <c r="C59" s="538" t="s">
        <v>2592</v>
      </c>
      <c r="D59" s="538" t="s">
        <v>2593</v>
      </c>
      <c r="E59" s="538" t="s">
        <v>2594</v>
      </c>
      <c r="F59" s="538" t="s">
        <v>2595</v>
      </c>
      <c r="G59" s="538" t="s">
        <v>2596</v>
      </c>
      <c r="H59" s="538" t="s">
        <v>2597</v>
      </c>
      <c r="I59" s="538" t="s">
        <v>2598</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2561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2562</v>
      </c>
      <c r="B70" s="527" t="s">
        <v>2708</v>
      </c>
      <c r="C70" s="572" t="s">
        <v>2600</v>
      </c>
      <c r="D70" s="572" t="s">
        <v>2601</v>
      </c>
      <c r="E70" s="572" t="s">
        <v>2602</v>
      </c>
      <c r="F70" s="572" t="s">
        <v>2603</v>
      </c>
      <c r="G70" s="572" t="s">
        <v>2604</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2605</v>
      </c>
      <c r="C72" s="577" t="s">
        <v>2600</v>
      </c>
      <c r="D72" s="577" t="s">
        <v>2601</v>
      </c>
      <c r="E72" s="577" t="s">
        <v>2602</v>
      </c>
      <c r="F72" s="577" t="s">
        <v>2603</v>
      </c>
      <c r="G72" s="577" t="s">
        <v>2604</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2606</v>
      </c>
      <c r="C74" s="577" t="s">
        <v>2600</v>
      </c>
      <c r="D74" s="577" t="s">
        <v>2601</v>
      </c>
      <c r="E74" s="577" t="s">
        <v>2602</v>
      </c>
      <c r="F74" s="577" t="s">
        <v>2603</v>
      </c>
      <c r="G74" s="577" t="s">
        <v>2604</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2692</v>
      </c>
      <c r="C76" s="659" t="s">
        <v>2678</v>
      </c>
      <c r="D76" s="659" t="s">
        <v>2679</v>
      </c>
      <c r="E76" s="659" t="s">
        <v>2680</v>
      </c>
      <c r="F76" s="659" t="s">
        <v>2681</v>
      </c>
      <c r="G76" s="659" t="s">
        <v>2682</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2701</v>
      </c>
      <c r="C78" s="577" t="s">
        <v>2600</v>
      </c>
      <c r="D78" s="577" t="s">
        <v>2601</v>
      </c>
      <c r="E78" s="577" t="s">
        <v>2602</v>
      </c>
      <c r="F78" s="577" t="s">
        <v>2603</v>
      </c>
      <c r="G78" s="577" t="s">
        <v>2604</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6" customFormat="1" ht="15.75" thickTop="1">
      <c r="A80" s="578"/>
      <c r="B80" s="537">
        <f>B25</f>
        <v>111</v>
      </c>
      <c r="C80" s="553"/>
      <c r="D80" s="553"/>
      <c r="E80" s="553"/>
      <c r="F80" s="553"/>
      <c r="G80" s="553"/>
      <c r="H80" s="553"/>
      <c r="I80" s="553"/>
      <c r="J80" s="553"/>
      <c r="K80" s="553"/>
      <c r="L80" s="579"/>
      <c r="M80" s="580"/>
      <c r="N80" s="1153"/>
      <c r="O80" s="1153"/>
      <c r="P80" s="45"/>
      <c r="Q80" s="503"/>
    </row>
    <row r="81" spans="1:17" s="116" customFormat="1" ht="15.75" thickBot="1">
      <c r="A81" s="578"/>
      <c r="B81" s="542"/>
      <c r="C81" s="559"/>
      <c r="D81" s="535"/>
      <c r="E81" s="535"/>
      <c r="F81" s="535"/>
      <c r="G81" s="535"/>
      <c r="H81" s="535"/>
      <c r="I81" s="535"/>
      <c r="J81" s="535"/>
      <c r="K81" s="535"/>
      <c r="L81" s="535"/>
      <c r="M81" s="536"/>
      <c r="N81" s="1155"/>
      <c r="O81" s="1155"/>
      <c r="P81" s="45"/>
      <c r="Q81" s="503"/>
    </row>
    <row r="82" spans="1:17" s="116" customFormat="1" ht="15.75" thickTop="1">
      <c r="A82" s="578"/>
      <c r="B82" s="537">
        <f>B26</f>
        <v>111</v>
      </c>
      <c r="C82" s="553"/>
      <c r="D82" s="553"/>
      <c r="E82" s="553"/>
      <c r="F82" s="553"/>
      <c r="G82" s="553"/>
      <c r="H82" s="553"/>
      <c r="I82" s="553"/>
      <c r="J82" s="553"/>
      <c r="K82" s="553"/>
      <c r="L82" s="579"/>
      <c r="M82" s="580"/>
      <c r="N82" s="1153"/>
      <c r="O82" s="1153"/>
      <c r="P82" s="45"/>
      <c r="Q82" s="503"/>
    </row>
    <row r="83" spans="1:17" s="116"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7"/>
      <c r="B87" s="568"/>
      <c r="C87" s="569"/>
      <c r="D87" s="569"/>
      <c r="E87" s="569"/>
      <c r="F87" s="569"/>
      <c r="G87" s="590"/>
      <c r="H87" s="590"/>
      <c r="I87" s="590"/>
      <c r="J87" s="590"/>
      <c r="K87" s="590"/>
      <c r="L87" s="590"/>
      <c r="M87" s="591"/>
      <c r="N87" s="1155"/>
      <c r="O87" s="1155"/>
      <c r="P87" s="45"/>
      <c r="Q87" s="503"/>
    </row>
    <row r="88" spans="1:17">
      <c r="A88" s="526" t="s">
        <v>2566</v>
      </c>
      <c r="B88" s="527" t="s">
        <v>2615</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2617</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2619</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2620</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2621</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2623</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2709</v>
      </c>
      <c r="C106" s="577" t="s">
        <v>2600</v>
      </c>
      <c r="D106" s="577" t="s">
        <v>2601</v>
      </c>
      <c r="E106" s="577" t="s">
        <v>2602</v>
      </c>
      <c r="F106" s="577" t="s">
        <v>2603</v>
      </c>
      <c r="G106" s="577" t="s">
        <v>2604</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7"/>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2710</v>
      </c>
      <c r="B1" s="1621"/>
      <c r="C1" s="1622" t="s">
        <v>2533</v>
      </c>
      <c r="D1" s="1623"/>
      <c r="E1" s="1624"/>
      <c r="F1" s="2585"/>
      <c r="G1" s="1625" t="s">
        <v>2646</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2333</v>
      </c>
      <c r="B2" s="1420" t="e">
        <f ca="1">IF(C2="——",IF(B37="元/平方米",ROUND(C39*D3/10000,0),ROUND(F3*C39/10000,0)),IF(B37="元/平方米",ROUND(C39*D3/10000,0),ROUND(F3*C39/10000,0))-D2)</f>
        <v>#DIV/0!</v>
      </c>
      <c r="C2" s="2587"/>
      <c r="D2" s="1126" t="e">
        <f ca="1">SUMIF(INDIRECT("'"&amp;F2&amp;"'"&amp;"!A:A"),"承租人权益价值",INDIRECT("'"&amp;F2&amp;"'"&amp;"!c:c"))</f>
        <v>#REF!</v>
      </c>
      <c r="E2" s="2588" t="s">
        <v>2334</v>
      </c>
      <c r="F2" s="2589"/>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2335</v>
      </c>
      <c r="B3" s="608" t="e">
        <f ca="1">IF(AND(C2="——",B37="元/平方米"),C39,ROUND(B2*10000/D3,0))</f>
        <v>#DIV/0!</v>
      </c>
      <c r="C3" s="399" t="s">
        <v>2647</v>
      </c>
      <c r="D3" s="398">
        <f>SUMIF('数据-汇总表'!$C19:$C33,D1,'数据-汇总表'!$E19:$E33)</f>
        <v>0</v>
      </c>
      <c r="E3" s="399" t="s">
        <v>2711</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2648</v>
      </c>
      <c r="B4" s="401"/>
      <c r="C4" s="3177" t="s">
        <v>2649</v>
      </c>
      <c r="D4" s="3178"/>
      <c r="E4" s="3179" t="s">
        <v>2650</v>
      </c>
      <c r="F4" s="3180"/>
      <c r="G4" s="3177" t="s">
        <v>2651</v>
      </c>
      <c r="H4" s="3178"/>
      <c r="I4" s="3177" t="s">
        <v>2652</v>
      </c>
      <c r="J4" s="3178"/>
      <c r="K4" s="609" t="s">
        <v>2653</v>
      </c>
      <c r="L4" s="1132"/>
      <c r="M4" s="1133"/>
      <c r="N4" s="1133"/>
      <c r="O4" s="1133"/>
      <c r="P4" s="3181" t="s">
        <v>2654</v>
      </c>
      <c r="Q4" s="3182"/>
      <c r="R4" s="3162" t="s">
        <v>2650</v>
      </c>
      <c r="S4" s="3163"/>
      <c r="T4" s="3162" t="s">
        <v>2651</v>
      </c>
      <c r="U4" s="3163"/>
      <c r="V4" s="3189" t="s">
        <v>2652</v>
      </c>
      <c r="W4" s="3189"/>
      <c r="X4" s="1815"/>
      <c r="Y4" s="3162" t="s">
        <v>2654</v>
      </c>
      <c r="Z4" s="3163"/>
      <c r="AA4" s="3157" t="s">
        <v>2650</v>
      </c>
      <c r="AB4" s="3158" t="s">
        <v>2651</v>
      </c>
      <c r="AC4" s="3157" t="s">
        <v>2652</v>
      </c>
    </row>
    <row r="5" spans="1:29" ht="15">
      <c r="A5" s="403"/>
      <c r="B5" s="404"/>
      <c r="C5" s="3168" t="s">
        <v>2545</v>
      </c>
      <c r="D5" s="3169"/>
      <c r="E5" s="3241" t="s">
        <v>2546</v>
      </c>
      <c r="F5" s="3242"/>
      <c r="G5" s="3168" t="s">
        <v>2547</v>
      </c>
      <c r="H5" s="3169"/>
      <c r="I5" s="3168" t="s">
        <v>2548</v>
      </c>
      <c r="J5" s="3169"/>
      <c r="K5" s="609"/>
      <c r="L5" s="1132"/>
      <c r="M5" s="1133"/>
      <c r="N5" s="1133"/>
      <c r="O5" s="1133"/>
      <c r="P5" s="3183"/>
      <c r="Q5" s="3184"/>
      <c r="R5" s="3164"/>
      <c r="S5" s="3165"/>
      <c r="T5" s="3164"/>
      <c r="U5" s="3165"/>
      <c r="V5" s="3189"/>
      <c r="W5" s="3189"/>
      <c r="X5" s="1815"/>
      <c r="Y5" s="3164"/>
      <c r="Z5" s="3165"/>
      <c r="AA5" s="3158"/>
      <c r="AB5" s="3158"/>
      <c r="AC5" s="3158"/>
    </row>
    <row r="6" spans="1:29" ht="15.75" thickBot="1">
      <c r="A6" s="405"/>
      <c r="B6" s="406"/>
      <c r="C6" s="3170" t="s">
        <v>2549</v>
      </c>
      <c r="D6" s="3171"/>
      <c r="E6" s="3243" t="s">
        <v>2549</v>
      </c>
      <c r="F6" s="3244"/>
      <c r="G6" s="3170" t="s">
        <v>2549</v>
      </c>
      <c r="H6" s="3171"/>
      <c r="I6" s="3170" t="s">
        <v>2549</v>
      </c>
      <c r="J6" s="3171"/>
      <c r="K6" s="609" t="s">
        <v>2550</v>
      </c>
      <c r="L6" s="1132"/>
      <c r="M6" s="1133"/>
      <c r="N6" s="1133"/>
      <c r="O6" s="1133"/>
      <c r="P6" s="3185"/>
      <c r="Q6" s="3186"/>
      <c r="R6" s="3164"/>
      <c r="S6" s="3165"/>
      <c r="T6" s="3187"/>
      <c r="U6" s="3188"/>
      <c r="V6" s="3189"/>
      <c r="W6" s="3189"/>
      <c r="X6" s="1815"/>
      <c r="Y6" s="3187"/>
      <c r="Z6" s="3188"/>
      <c r="AA6" s="3159"/>
      <c r="AB6" s="3159"/>
      <c r="AC6" s="3159"/>
    </row>
    <row r="7" spans="1:29" s="116" customFormat="1" ht="15.75" thickBot="1">
      <c r="A7" s="407" t="s">
        <v>2551</v>
      </c>
      <c r="B7" s="408"/>
      <c r="C7" s="409">
        <f>'数据-取费表'!B2</f>
        <v>43160</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60" t="s">
        <v>2552</v>
      </c>
      <c r="Q7" s="3190"/>
      <c r="R7" s="769" t="s">
        <v>17</v>
      </c>
      <c r="S7" s="770">
        <f t="shared" ref="S7:S14" si="0">F7</f>
        <v>0</v>
      </c>
      <c r="T7" s="769" t="s">
        <v>17</v>
      </c>
      <c r="U7" s="770">
        <f t="shared" ref="U7:U14" si="1">H7</f>
        <v>0</v>
      </c>
      <c r="V7" s="769" t="s">
        <v>17</v>
      </c>
      <c r="W7" s="770">
        <f t="shared" ref="W7:W14" si="2">J7</f>
        <v>0</v>
      </c>
      <c r="X7" s="771"/>
      <c r="Y7" s="3160" t="s">
        <v>2552</v>
      </c>
      <c r="Z7" s="3161"/>
      <c r="AA7" s="772" t="e">
        <f>D7/F7</f>
        <v>#DIV/0!</v>
      </c>
      <c r="AB7" s="772" t="e">
        <f>D7/H7</f>
        <v>#DIV/0!</v>
      </c>
      <c r="AC7" s="772" t="e">
        <f>D7/J7</f>
        <v>#DIV/0!</v>
      </c>
    </row>
    <row r="8" spans="1:29" s="116" customFormat="1" ht="15.75" thickBot="1">
      <c r="A8" s="407" t="s">
        <v>2553</v>
      </c>
      <c r="B8" s="408"/>
      <c r="C8" s="413" t="s">
        <v>2655</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60" t="s">
        <v>2555</v>
      </c>
      <c r="Q8" s="3161"/>
      <c r="R8" s="769" t="s">
        <v>17</v>
      </c>
      <c r="S8" s="770">
        <f t="shared" si="0"/>
        <v>0</v>
      </c>
      <c r="T8" s="769" t="s">
        <v>17</v>
      </c>
      <c r="U8" s="770">
        <f t="shared" si="1"/>
        <v>0</v>
      </c>
      <c r="V8" s="769" t="s">
        <v>17</v>
      </c>
      <c r="W8" s="770">
        <f t="shared" si="2"/>
        <v>0</v>
      </c>
      <c r="X8" s="771"/>
      <c r="Y8" s="3160" t="s">
        <v>2555</v>
      </c>
      <c r="Z8" s="3161"/>
      <c r="AA8" s="772" t="e">
        <f t="shared" ref="AA8:AA36" si="3">D8/F8</f>
        <v>#DIV/0!</v>
      </c>
      <c r="AB8" s="772" t="e">
        <f t="shared" ref="AB8:AB36" si="4">D8/H8</f>
        <v>#DIV/0!</v>
      </c>
      <c r="AC8" s="772" t="e">
        <f t="shared" ref="AC8:AC36" si="5">D8/J8</f>
        <v>#DIV/0!</v>
      </c>
    </row>
    <row r="9" spans="1:29" s="116" customFormat="1">
      <c r="A9" s="67" t="s">
        <v>2556</v>
      </c>
      <c r="B9" s="639" t="s">
        <v>2557</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76" t="s">
        <v>2558</v>
      </c>
      <c r="Q9" s="1797" t="str">
        <f t="shared" ref="Q9:Q14" si="6">B9</f>
        <v>用途</v>
      </c>
      <c r="R9" s="769" t="s">
        <v>17</v>
      </c>
      <c r="S9" s="770">
        <f t="shared" si="0"/>
        <v>100</v>
      </c>
      <c r="T9" s="769" t="s">
        <v>17</v>
      </c>
      <c r="U9" s="770">
        <f t="shared" si="1"/>
        <v>100</v>
      </c>
      <c r="V9" s="769" t="s">
        <v>17</v>
      </c>
      <c r="W9" s="770">
        <f t="shared" si="2"/>
        <v>100</v>
      </c>
      <c r="X9" s="771"/>
      <c r="Y9" s="3034" t="s">
        <v>2559</v>
      </c>
      <c r="Z9" s="54" t="str">
        <f t="shared" ref="Z9:Z14" si="7">Q9</f>
        <v>用途</v>
      </c>
      <c r="AA9" s="772">
        <f t="shared" si="3"/>
        <v>1</v>
      </c>
      <c r="AB9" s="772">
        <f t="shared" si="4"/>
        <v>1</v>
      </c>
      <c r="AC9" s="772">
        <f t="shared" si="5"/>
        <v>1</v>
      </c>
    </row>
    <row r="10" spans="1:29" s="426" customFormat="1" ht="27">
      <c r="A10" s="640"/>
      <c r="B10" s="641" t="s">
        <v>2560</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76"/>
      <c r="Q10" s="1797" t="str">
        <f t="shared" si="6"/>
        <v>土地使用年限（年）</v>
      </c>
      <c r="R10" s="769" t="s">
        <v>17</v>
      </c>
      <c r="S10" s="770">
        <f t="shared" si="0"/>
        <v>100</v>
      </c>
      <c r="T10" s="769" t="s">
        <v>17</v>
      </c>
      <c r="U10" s="770">
        <f t="shared" si="1"/>
        <v>100</v>
      </c>
      <c r="V10" s="769" t="s">
        <v>17</v>
      </c>
      <c r="W10" s="770">
        <f t="shared" si="2"/>
        <v>100</v>
      </c>
      <c r="X10" s="771"/>
      <c r="Y10" s="3034"/>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76"/>
      <c r="Q11" s="1797">
        <f t="shared" si="6"/>
        <v>111</v>
      </c>
      <c r="R11" s="769" t="s">
        <v>17</v>
      </c>
      <c r="S11" s="770">
        <f t="shared" si="0"/>
        <v>100</v>
      </c>
      <c r="T11" s="769" t="s">
        <v>17</v>
      </c>
      <c r="U11" s="770">
        <f t="shared" si="1"/>
        <v>100</v>
      </c>
      <c r="V11" s="769" t="s">
        <v>17</v>
      </c>
      <c r="W11" s="770">
        <f t="shared" si="2"/>
        <v>100</v>
      </c>
      <c r="X11" s="771"/>
      <c r="Y11" s="3034"/>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76"/>
      <c r="Q12" s="1797">
        <f t="shared" si="6"/>
        <v>111</v>
      </c>
      <c r="R12" s="769" t="s">
        <v>17</v>
      </c>
      <c r="S12" s="770">
        <f t="shared" si="0"/>
        <v>100</v>
      </c>
      <c r="T12" s="769" t="s">
        <v>17</v>
      </c>
      <c r="U12" s="770">
        <f t="shared" si="1"/>
        <v>100</v>
      </c>
      <c r="V12" s="769" t="s">
        <v>17</v>
      </c>
      <c r="W12" s="770">
        <f t="shared" si="2"/>
        <v>100</v>
      </c>
      <c r="X12" s="771"/>
      <c r="Y12" s="3034"/>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76"/>
      <c r="Q13" s="1797">
        <f t="shared" si="6"/>
        <v>111</v>
      </c>
      <c r="R13" s="769" t="s">
        <v>17</v>
      </c>
      <c r="S13" s="770">
        <f t="shared" si="0"/>
        <v>100</v>
      </c>
      <c r="T13" s="769" t="s">
        <v>17</v>
      </c>
      <c r="U13" s="770">
        <f t="shared" si="1"/>
        <v>100</v>
      </c>
      <c r="V13" s="769" t="s">
        <v>17</v>
      </c>
      <c r="W13" s="770">
        <f t="shared" si="2"/>
        <v>100</v>
      </c>
      <c r="X13" s="771"/>
      <c r="Y13" s="3034"/>
      <c r="Z13" s="54">
        <f t="shared" si="7"/>
        <v>111</v>
      </c>
      <c r="AA13" s="772">
        <f t="shared" si="3"/>
        <v>1</v>
      </c>
      <c r="AB13" s="772">
        <f t="shared" si="4"/>
        <v>1</v>
      </c>
      <c r="AC13" s="772">
        <f t="shared" si="5"/>
        <v>1</v>
      </c>
    </row>
    <row r="14" spans="1:29" ht="85.5">
      <c r="A14" s="400" t="s">
        <v>2562</v>
      </c>
      <c r="B14" s="628" t="s">
        <v>2712</v>
      </c>
      <c r="C14" s="2694"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91" t="s">
        <v>2563</v>
      </c>
      <c r="Q14" s="1812" t="str">
        <f t="shared" si="6"/>
        <v>交通便捷度</v>
      </c>
      <c r="R14" s="773" t="s">
        <v>17</v>
      </c>
      <c r="S14" s="774">
        <f t="shared" si="0"/>
        <v>100</v>
      </c>
      <c r="T14" s="773" t="s">
        <v>17</v>
      </c>
      <c r="U14" s="774">
        <f t="shared" si="1"/>
        <v>100</v>
      </c>
      <c r="V14" s="773" t="s">
        <v>17</v>
      </c>
      <c r="W14" s="774">
        <f t="shared" si="2"/>
        <v>100</v>
      </c>
      <c r="X14" s="1815"/>
      <c r="Y14" s="3191" t="s">
        <v>2563</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192"/>
      <c r="Q15" s="1812"/>
      <c r="R15" s="773"/>
      <c r="S15" s="774"/>
      <c r="T15" s="773"/>
      <c r="U15" s="774"/>
      <c r="V15" s="773"/>
      <c r="W15" s="774"/>
      <c r="X15" s="1815"/>
      <c r="Y15" s="3192"/>
      <c r="Z15" s="1816"/>
      <c r="AA15" s="1813">
        <v>1</v>
      </c>
      <c r="AB15" s="1813">
        <v>1</v>
      </c>
      <c r="AC15" s="1813">
        <v>1</v>
      </c>
    </row>
    <row r="16" spans="1:29" ht="42.75">
      <c r="A16" s="403"/>
      <c r="B16" s="630" t="s">
        <v>2691</v>
      </c>
      <c r="C16" s="2608"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92"/>
      <c r="Q16" s="1812" t="str">
        <f>B16</f>
        <v>公共配套设施</v>
      </c>
      <c r="R16" s="773" t="s">
        <v>17</v>
      </c>
      <c r="S16" s="774">
        <f>F16</f>
        <v>100</v>
      </c>
      <c r="T16" s="773" t="s">
        <v>17</v>
      </c>
      <c r="U16" s="774">
        <f>H16</f>
        <v>100</v>
      </c>
      <c r="V16" s="773" t="s">
        <v>17</v>
      </c>
      <c r="W16" s="774">
        <f>J16</f>
        <v>100</v>
      </c>
      <c r="X16" s="1815"/>
      <c r="Y16" s="3192"/>
      <c r="Z16" s="1816" t="str">
        <f>Q16</f>
        <v>公共配套设施</v>
      </c>
      <c r="AA16" s="1813">
        <f t="shared" si="3"/>
        <v>1</v>
      </c>
      <c r="AB16" s="1813">
        <f t="shared" si="4"/>
        <v>1</v>
      </c>
      <c r="AC16" s="1813">
        <f t="shared" si="5"/>
        <v>1</v>
      </c>
    </row>
    <row r="17" spans="1:29" ht="15">
      <c r="A17" s="403"/>
      <c r="B17" s="631"/>
      <c r="C17" s="2609"/>
      <c r="D17" s="447"/>
      <c r="E17" s="446"/>
      <c r="F17" s="448"/>
      <c r="G17" s="446"/>
      <c r="H17" s="447"/>
      <c r="I17" s="446"/>
      <c r="J17" s="447"/>
      <c r="K17" s="614"/>
      <c r="L17" s="1142"/>
      <c r="M17" s="1133"/>
      <c r="N17" s="1133"/>
      <c r="O17" s="1133"/>
      <c r="P17" s="3192"/>
      <c r="Q17" s="1812"/>
      <c r="R17" s="773"/>
      <c r="S17" s="774"/>
      <c r="T17" s="773"/>
      <c r="U17" s="774"/>
      <c r="V17" s="773"/>
      <c r="W17" s="774"/>
      <c r="X17" s="1815"/>
      <c r="Y17" s="3192"/>
      <c r="Z17" s="1816"/>
      <c r="AA17" s="1813">
        <v>1</v>
      </c>
      <c r="AB17" s="1813">
        <v>1</v>
      </c>
      <c r="AC17" s="1813">
        <v>1</v>
      </c>
    </row>
    <row r="18" spans="1:29" ht="28.5">
      <c r="A18" s="403"/>
      <c r="B18" s="632" t="s">
        <v>2692</v>
      </c>
      <c r="C18" s="2608"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92"/>
      <c r="Q18" s="1812" t="str">
        <f>B18</f>
        <v>基础设施水平</v>
      </c>
      <c r="R18" s="773" t="s">
        <v>17</v>
      </c>
      <c r="S18" s="774">
        <f>F18</f>
        <v>100</v>
      </c>
      <c r="T18" s="773" t="s">
        <v>17</v>
      </c>
      <c r="U18" s="774">
        <f>H18</f>
        <v>100</v>
      </c>
      <c r="V18" s="773" t="s">
        <v>17</v>
      </c>
      <c r="W18" s="774">
        <f>J18</f>
        <v>100</v>
      </c>
      <c r="X18" s="1815"/>
      <c r="Y18" s="3192"/>
      <c r="Z18" s="1816" t="str">
        <f>Q18</f>
        <v>基础设施水平</v>
      </c>
      <c r="AA18" s="1813">
        <f t="shared" ref="AA18" si="8">D18/F18</f>
        <v>1</v>
      </c>
      <c r="AB18" s="1813">
        <f t="shared" ref="AB18" si="9">D18/H18</f>
        <v>1</v>
      </c>
      <c r="AC18" s="1813">
        <f t="shared" ref="AC18" si="10">D18/J18</f>
        <v>1</v>
      </c>
    </row>
    <row r="19" spans="1:29" ht="15">
      <c r="A19" s="403"/>
      <c r="B19" s="632"/>
      <c r="C19" s="2609"/>
      <c r="D19" s="449"/>
      <c r="E19" s="2609"/>
      <c r="F19" s="452"/>
      <c r="G19" s="2609"/>
      <c r="H19" s="447"/>
      <c r="I19" s="446"/>
      <c r="J19" s="447"/>
      <c r="K19" s="1385"/>
      <c r="L19" s="1142"/>
      <c r="M19" s="1133"/>
      <c r="N19" s="1133"/>
      <c r="O19" s="1133"/>
      <c r="P19" s="3192"/>
      <c r="Q19" s="1812"/>
      <c r="R19" s="773"/>
      <c r="S19" s="774"/>
      <c r="T19" s="773"/>
      <c r="U19" s="774"/>
      <c r="V19" s="773"/>
      <c r="W19" s="774"/>
      <c r="X19" s="1815"/>
      <c r="Y19" s="3192"/>
      <c r="Z19" s="1816"/>
      <c r="AA19" s="1813">
        <v>1</v>
      </c>
      <c r="AB19" s="1813">
        <v>1</v>
      </c>
      <c r="AC19" s="1813">
        <v>1</v>
      </c>
    </row>
    <row r="20" spans="1:29" ht="57">
      <c r="A20" s="403"/>
      <c r="B20" s="630" t="s">
        <v>2713</v>
      </c>
      <c r="C20" s="2608"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92"/>
      <c r="Q20" s="1812" t="str">
        <f>B20</f>
        <v>自然及人文环境</v>
      </c>
      <c r="R20" s="773" t="s">
        <v>17</v>
      </c>
      <c r="S20" s="774">
        <f>F20</f>
        <v>100</v>
      </c>
      <c r="T20" s="773" t="s">
        <v>17</v>
      </c>
      <c r="U20" s="774">
        <f>H20</f>
        <v>100</v>
      </c>
      <c r="V20" s="773" t="s">
        <v>17</v>
      </c>
      <c r="W20" s="774">
        <f>J20</f>
        <v>100</v>
      </c>
      <c r="X20" s="1815"/>
      <c r="Y20" s="3192"/>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192"/>
      <c r="Q21" s="1812"/>
      <c r="R21" s="773"/>
      <c r="S21" s="774"/>
      <c r="T21" s="773"/>
      <c r="U21" s="774"/>
      <c r="V21" s="773"/>
      <c r="W21" s="774"/>
      <c r="X21" s="1815"/>
      <c r="Y21" s="3192"/>
      <c r="Z21" s="1816"/>
      <c r="AA21" s="1813">
        <v>1</v>
      </c>
      <c r="AB21" s="1813">
        <v>1</v>
      </c>
      <c r="AC21" s="1813">
        <v>1</v>
      </c>
    </row>
    <row r="22" spans="1:29" ht="15">
      <c r="A22" s="403"/>
      <c r="B22" s="630" t="s">
        <v>2714</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92"/>
      <c r="Q22" s="1812" t="str">
        <f>B22</f>
        <v>楼层</v>
      </c>
      <c r="R22" s="773" t="s">
        <v>17</v>
      </c>
      <c r="S22" s="774">
        <f>F22</f>
        <v>100</v>
      </c>
      <c r="T22" s="773" t="s">
        <v>17</v>
      </c>
      <c r="U22" s="774">
        <f>H22</f>
        <v>100</v>
      </c>
      <c r="V22" s="773" t="s">
        <v>17</v>
      </c>
      <c r="W22" s="774">
        <f>J22</f>
        <v>100</v>
      </c>
      <c r="X22" s="1815"/>
      <c r="Y22" s="3192"/>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92"/>
      <c r="Q23" s="1812">
        <f>B23</f>
        <v>111</v>
      </c>
      <c r="R23" s="773" t="s">
        <v>17</v>
      </c>
      <c r="S23" s="774">
        <f>F23</f>
        <v>100</v>
      </c>
      <c r="T23" s="773" t="s">
        <v>17</v>
      </c>
      <c r="U23" s="774">
        <f>H23</f>
        <v>100</v>
      </c>
      <c r="V23" s="773" t="s">
        <v>17</v>
      </c>
      <c r="W23" s="774">
        <f>J23</f>
        <v>100</v>
      </c>
      <c r="X23" s="1815"/>
      <c r="Y23" s="3192"/>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92"/>
      <c r="Q24" s="1812">
        <f t="shared" ref="Q24:Q36" si="11">B24</f>
        <v>111</v>
      </c>
      <c r="R24" s="773" t="s">
        <v>17</v>
      </c>
      <c r="S24" s="774">
        <f>F24</f>
        <v>100</v>
      </c>
      <c r="T24" s="773" t="s">
        <v>17</v>
      </c>
      <c r="U24" s="774">
        <f>H24</f>
        <v>100</v>
      </c>
      <c r="V24" s="773" t="s">
        <v>17</v>
      </c>
      <c r="W24" s="774">
        <f>J24</f>
        <v>100</v>
      </c>
      <c r="X24" s="1815"/>
      <c r="Y24" s="3192"/>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92"/>
      <c r="Q25" s="1797">
        <f t="shared" si="11"/>
        <v>111</v>
      </c>
      <c r="R25" s="769" t="s">
        <v>17</v>
      </c>
      <c r="S25" s="770">
        <f>F25</f>
        <v>100</v>
      </c>
      <c r="T25" s="769" t="s">
        <v>17</v>
      </c>
      <c r="U25" s="770">
        <f>H25</f>
        <v>100</v>
      </c>
      <c r="V25" s="769" t="s">
        <v>17</v>
      </c>
      <c r="W25" s="770">
        <f>J25</f>
        <v>100</v>
      </c>
      <c r="X25" s="771"/>
      <c r="Y25" s="3192"/>
      <c r="Z25" s="54">
        <f>Q25</f>
        <v>111</v>
      </c>
      <c r="AA25" s="1813">
        <f>D25/F25</f>
        <v>1</v>
      </c>
      <c r="AB25" s="1813">
        <f>D25/H25</f>
        <v>1</v>
      </c>
      <c r="AC25" s="1813">
        <f>D25/J25</f>
        <v>1</v>
      </c>
    </row>
    <row r="26" spans="1:29" ht="15">
      <c r="A26" s="651" t="s">
        <v>2566</v>
      </c>
      <c r="B26" s="69" t="s">
        <v>2715</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93" t="s">
        <v>2568</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94" t="s">
        <v>2568</v>
      </c>
      <c r="Z26" s="1816" t="str">
        <f t="shared" ref="Z26:Z36" si="15">Q26</f>
        <v>配套类型</v>
      </c>
      <c r="AA26" s="1813">
        <f t="shared" si="3"/>
        <v>1</v>
      </c>
      <c r="AB26" s="1813">
        <f t="shared" si="4"/>
        <v>1</v>
      </c>
      <c r="AC26" s="1813">
        <f t="shared" si="5"/>
        <v>1</v>
      </c>
    </row>
    <row r="27" spans="1:29" s="470" customFormat="1" ht="15">
      <c r="A27" s="652"/>
      <c r="B27" s="653" t="s">
        <v>2716</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94"/>
      <c r="Q27" s="775" t="str">
        <f t="shared" si="11"/>
        <v>项目停车位配比</v>
      </c>
      <c r="R27" s="776" t="s">
        <v>17</v>
      </c>
      <c r="S27" s="777">
        <f t="shared" si="12"/>
        <v>100</v>
      </c>
      <c r="T27" s="776" t="s">
        <v>17</v>
      </c>
      <c r="U27" s="777">
        <f t="shared" si="13"/>
        <v>100</v>
      </c>
      <c r="V27" s="776" t="s">
        <v>17</v>
      </c>
      <c r="W27" s="777">
        <f t="shared" si="14"/>
        <v>100</v>
      </c>
      <c r="X27" s="778"/>
      <c r="Y27" s="3194"/>
      <c r="Z27" s="779" t="str">
        <f t="shared" si="15"/>
        <v>项目停车位配比</v>
      </c>
      <c r="AA27" s="1813">
        <f t="shared" si="3"/>
        <v>1</v>
      </c>
      <c r="AB27" s="1813">
        <f t="shared" si="4"/>
        <v>1</v>
      </c>
      <c r="AC27" s="1813">
        <f t="shared" si="5"/>
        <v>1</v>
      </c>
    </row>
    <row r="28" spans="1:29" ht="15">
      <c r="A28" s="655"/>
      <c r="B28" s="653" t="s">
        <v>2717</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94"/>
      <c r="Q28" s="1812" t="str">
        <f t="shared" si="11"/>
        <v>公共部分装修</v>
      </c>
      <c r="R28" s="773" t="s">
        <v>17</v>
      </c>
      <c r="S28" s="774">
        <f t="shared" si="12"/>
        <v>100</v>
      </c>
      <c r="T28" s="773" t="s">
        <v>17</v>
      </c>
      <c r="U28" s="774">
        <f t="shared" si="13"/>
        <v>100</v>
      </c>
      <c r="V28" s="773" t="s">
        <v>17</v>
      </c>
      <c r="W28" s="774">
        <f t="shared" si="14"/>
        <v>100</v>
      </c>
      <c r="X28" s="1815"/>
      <c r="Y28" s="3194"/>
      <c r="Z28" s="1816" t="str">
        <f t="shared" si="15"/>
        <v>公共部分装修</v>
      </c>
      <c r="AA28" s="1813">
        <f t="shared" si="3"/>
        <v>1</v>
      </c>
      <c r="AB28" s="1813">
        <f t="shared" si="4"/>
        <v>1</v>
      </c>
      <c r="AC28" s="1813">
        <f t="shared" si="5"/>
        <v>1</v>
      </c>
    </row>
    <row r="29" spans="1:29" ht="15">
      <c r="A29" s="655"/>
      <c r="B29" s="653" t="s">
        <v>2718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94"/>
      <c r="Q29" s="1812" t="str">
        <f t="shared" si="11"/>
        <v>成新率</v>
      </c>
      <c r="R29" s="773" t="s">
        <v>17</v>
      </c>
      <c r="S29" s="774" t="e">
        <f t="shared" si="12"/>
        <v>#N/A</v>
      </c>
      <c r="T29" s="773" t="s">
        <v>17</v>
      </c>
      <c r="U29" s="774" t="e">
        <f t="shared" si="13"/>
        <v>#N/A</v>
      </c>
      <c r="V29" s="773" t="s">
        <v>17</v>
      </c>
      <c r="W29" s="774" t="e">
        <f t="shared" si="14"/>
        <v>#N/A</v>
      </c>
      <c r="X29" s="1815"/>
      <c r="Y29" s="3194"/>
      <c r="Z29" s="1816" t="str">
        <f t="shared" si="15"/>
        <v>成新率</v>
      </c>
      <c r="AA29" s="1813" t="e">
        <f t="shared" si="3"/>
        <v>#N/A</v>
      </c>
      <c r="AB29" s="1813" t="e">
        <f t="shared" si="4"/>
        <v>#N/A</v>
      </c>
      <c r="AC29" s="1813" t="e">
        <f t="shared" si="5"/>
        <v>#N/A</v>
      </c>
    </row>
    <row r="30" spans="1:29" ht="15">
      <c r="A30" s="655"/>
      <c r="B30" s="653" t="s">
        <v>2719</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94"/>
      <c r="Q30" s="1812" t="str">
        <f t="shared" si="11"/>
        <v>物业等级</v>
      </c>
      <c r="R30" s="773" t="s">
        <v>17</v>
      </c>
      <c r="S30" s="774">
        <f t="shared" si="12"/>
        <v>100</v>
      </c>
      <c r="T30" s="773" t="s">
        <v>17</v>
      </c>
      <c r="U30" s="774">
        <f t="shared" si="13"/>
        <v>100</v>
      </c>
      <c r="V30" s="773" t="s">
        <v>17</v>
      </c>
      <c r="W30" s="774">
        <f t="shared" si="14"/>
        <v>100</v>
      </c>
      <c r="X30" s="1815"/>
      <c r="Y30" s="3194"/>
      <c r="Z30" s="1816" t="str">
        <f t="shared" si="15"/>
        <v>物业等级</v>
      </c>
      <c r="AA30" s="1813">
        <f t="shared" si="3"/>
        <v>1</v>
      </c>
      <c r="AB30" s="1813">
        <f t="shared" si="4"/>
        <v>1</v>
      </c>
      <c r="AC30" s="1813">
        <f t="shared" si="5"/>
        <v>1</v>
      </c>
    </row>
    <row r="31" spans="1:29" s="116" customFormat="1" ht="15">
      <c r="A31" s="657"/>
      <c r="B31" s="653" t="s">
        <v>2720</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94"/>
      <c r="Q31" s="1797" t="str">
        <f t="shared" si="11"/>
        <v>停车位面积</v>
      </c>
      <c r="R31" s="769" t="s">
        <v>17</v>
      </c>
      <c r="S31" s="770" t="e">
        <f t="shared" si="12"/>
        <v>#N/A</v>
      </c>
      <c r="T31" s="769" t="s">
        <v>17</v>
      </c>
      <c r="U31" s="770" t="e">
        <f t="shared" si="13"/>
        <v>#N/A</v>
      </c>
      <c r="V31" s="769" t="s">
        <v>17</v>
      </c>
      <c r="W31" s="770" t="e">
        <f t="shared" si="14"/>
        <v>#N/A</v>
      </c>
      <c r="X31" s="771"/>
      <c r="Y31" s="3194"/>
      <c r="Z31" s="54" t="str">
        <f t="shared" si="15"/>
        <v>停车位面积</v>
      </c>
      <c r="AA31" s="772" t="e">
        <f t="shared" si="3"/>
        <v>#N/A</v>
      </c>
      <c r="AB31" s="772" t="e">
        <f t="shared" si="4"/>
        <v>#N/A</v>
      </c>
      <c r="AC31" s="772" t="e">
        <f t="shared" si="5"/>
        <v>#N/A</v>
      </c>
    </row>
    <row r="32" spans="1:29" ht="15">
      <c r="A32" s="655"/>
      <c r="B32" s="653" t="s">
        <v>2721</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94" t="s">
        <v>2568</v>
      </c>
      <c r="Q32" s="1812" t="str">
        <f t="shared" si="11"/>
        <v>车位类型</v>
      </c>
      <c r="R32" s="773" t="s">
        <v>17</v>
      </c>
      <c r="S32" s="774">
        <f t="shared" si="12"/>
        <v>100</v>
      </c>
      <c r="T32" s="773" t="s">
        <v>17</v>
      </c>
      <c r="U32" s="774">
        <f t="shared" si="13"/>
        <v>100</v>
      </c>
      <c r="V32" s="773" t="s">
        <v>17</v>
      </c>
      <c r="W32" s="774">
        <f t="shared" si="14"/>
        <v>100</v>
      </c>
      <c r="X32" s="1815"/>
      <c r="Y32" s="3194" t="s">
        <v>2568</v>
      </c>
      <c r="Z32" s="1816" t="str">
        <f t="shared" si="15"/>
        <v>车位类型</v>
      </c>
      <c r="AA32" s="1813">
        <f t="shared" si="3"/>
        <v>1</v>
      </c>
      <c r="AB32" s="1813">
        <f t="shared" si="4"/>
        <v>1</v>
      </c>
      <c r="AC32" s="1813">
        <f t="shared" si="5"/>
        <v>1</v>
      </c>
    </row>
    <row r="33" spans="1:29" ht="15">
      <c r="A33" s="655"/>
      <c r="B33" s="653" t="s">
        <v>2722</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94"/>
      <c r="Q33" s="1812" t="str">
        <f t="shared" si="11"/>
        <v>是否直接入户</v>
      </c>
      <c r="R33" s="773" t="s">
        <v>17</v>
      </c>
      <c r="S33" s="774">
        <f t="shared" si="12"/>
        <v>100</v>
      </c>
      <c r="T33" s="773" t="s">
        <v>17</v>
      </c>
      <c r="U33" s="774">
        <f t="shared" si="13"/>
        <v>100</v>
      </c>
      <c r="V33" s="773" t="s">
        <v>17</v>
      </c>
      <c r="W33" s="774">
        <f t="shared" si="14"/>
        <v>100</v>
      </c>
      <c r="X33" s="1815"/>
      <c r="Y33" s="3194"/>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94"/>
      <c r="Q34" s="1812">
        <f t="shared" si="11"/>
        <v>111</v>
      </c>
      <c r="R34" s="773" t="s">
        <v>17</v>
      </c>
      <c r="S34" s="774">
        <f t="shared" si="12"/>
        <v>100</v>
      </c>
      <c r="T34" s="773" t="s">
        <v>17</v>
      </c>
      <c r="U34" s="774">
        <f t="shared" si="13"/>
        <v>100</v>
      </c>
      <c r="V34" s="773" t="s">
        <v>17</v>
      </c>
      <c r="W34" s="774">
        <f t="shared" si="14"/>
        <v>100</v>
      </c>
      <c r="X34" s="1815"/>
      <c r="Y34" s="3194"/>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94"/>
      <c r="Q35" s="775">
        <f t="shared" si="11"/>
        <v>111</v>
      </c>
      <c r="R35" s="776" t="s">
        <v>17</v>
      </c>
      <c r="S35" s="777">
        <f t="shared" si="12"/>
        <v>100</v>
      </c>
      <c r="T35" s="776" t="s">
        <v>17</v>
      </c>
      <c r="U35" s="777">
        <f t="shared" si="13"/>
        <v>100</v>
      </c>
      <c r="V35" s="776" t="s">
        <v>17</v>
      </c>
      <c r="W35" s="777">
        <f t="shared" si="14"/>
        <v>100</v>
      </c>
      <c r="X35" s="778"/>
      <c r="Y35" s="3194"/>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94"/>
      <c r="Q36" s="1812">
        <f t="shared" si="11"/>
        <v>111</v>
      </c>
      <c r="R36" s="773" t="s">
        <v>17</v>
      </c>
      <c r="S36" s="774">
        <f t="shared" si="12"/>
        <v>100</v>
      </c>
      <c r="T36" s="773" t="s">
        <v>17</v>
      </c>
      <c r="U36" s="774">
        <f t="shared" si="13"/>
        <v>100</v>
      </c>
      <c r="V36" s="773" t="s">
        <v>17</v>
      </c>
      <c r="W36" s="774">
        <f t="shared" si="14"/>
        <v>100</v>
      </c>
      <c r="X36" s="1815"/>
      <c r="Y36" s="3194"/>
      <c r="Z36" s="1816">
        <f t="shared" si="15"/>
        <v>111</v>
      </c>
      <c r="AA36" s="1813">
        <f t="shared" si="3"/>
        <v>1</v>
      </c>
      <c r="AB36" s="1813">
        <f t="shared" si="4"/>
        <v>1</v>
      </c>
      <c r="AC36" s="1813">
        <f t="shared" si="5"/>
        <v>1</v>
      </c>
    </row>
    <row r="37" spans="1:29" ht="15">
      <c r="A37" s="478" t="s">
        <v>2723</v>
      </c>
      <c r="B37" s="2696" t="s">
        <v>2724</v>
      </c>
      <c r="C37" s="1409" t="s">
        <v>1</v>
      </c>
      <c r="D37" s="1410"/>
      <c r="E37" s="1411"/>
      <c r="F37" s="1412"/>
      <c r="G37" s="1413"/>
      <c r="H37" s="1414"/>
      <c r="I37" s="1411"/>
      <c r="J37" s="1414"/>
      <c r="K37" s="618"/>
      <c r="L37" s="1145"/>
      <c r="M37" s="1146"/>
      <c r="N37" s="1133"/>
      <c r="O37" s="1146"/>
      <c r="P37" s="3176" t="str">
        <f>A37</f>
        <v>成交单价</v>
      </c>
      <c r="Q37" s="3176"/>
      <c r="R37" s="3234">
        <f>E37</f>
        <v>0</v>
      </c>
      <c r="S37" s="3234"/>
      <c r="T37" s="3234">
        <f>G37</f>
        <v>0</v>
      </c>
      <c r="U37" s="3234"/>
      <c r="V37" s="3234">
        <f>I37</f>
        <v>0</v>
      </c>
      <c r="W37" s="3234"/>
      <c r="X37" s="758"/>
      <c r="Y37" s="780"/>
      <c r="Z37" s="758"/>
      <c r="AA37" s="758"/>
      <c r="AB37" s="758"/>
      <c r="AC37" s="758"/>
    </row>
    <row r="38" spans="1:29" ht="15.75" thickBot="1">
      <c r="A38" s="485" t="s">
        <v>2725</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76" t="str">
        <f>A38</f>
        <v>比较价值（元/平方米）</v>
      </c>
      <c r="Q38" s="3176"/>
      <c r="R38" s="3234" t="e">
        <f>IF(F1="售价",ROUND(PRODUCT(R37,AA7:AA36),0),ROUND(PRODUCT(R37,AA7:AA36),1))</f>
        <v>#DIV/0!</v>
      </c>
      <c r="S38" s="3234"/>
      <c r="T38" s="3234" t="e">
        <f>IF(F1="售价",ROUND(PRODUCT(T37,AB7:AB36),0),ROUND(PRODUCT(T37,AB7:AB36),1))</f>
        <v>#DIV/0!</v>
      </c>
      <c r="U38" s="3234"/>
      <c r="V38" s="3234" t="e">
        <f>IF(F1="售价",ROUND(PRODUCT(V37,AC7:AC36),0),ROUND(PRODUCT(V37,AC7:AC36),1))</f>
        <v>#DIV/0!</v>
      </c>
      <c r="W38" s="3234"/>
      <c r="X38" s="758"/>
      <c r="Y38" s="758"/>
      <c r="Z38" s="758"/>
      <c r="AA38" s="758"/>
      <c r="AB38" s="758"/>
      <c r="AC38" s="758"/>
    </row>
    <row r="39" spans="1:29" ht="15.75" thickBot="1">
      <c r="A39" s="491" t="s">
        <v>2726</v>
      </c>
      <c r="B39" s="492"/>
      <c r="C39" s="1419" t="e">
        <f>R39</f>
        <v>#DIV/0!</v>
      </c>
      <c r="D39" s="1419"/>
      <c r="E39" s="1419"/>
      <c r="F39" s="1419"/>
      <c r="G39" s="1419"/>
      <c r="H39" s="1419"/>
      <c r="I39" s="1419"/>
      <c r="J39" s="1419"/>
      <c r="K39" s="620"/>
      <c r="L39" s="1145"/>
      <c r="M39" s="1146"/>
      <c r="N39" s="1146"/>
      <c r="O39" s="1146"/>
      <c r="P39" s="3196" t="str">
        <f>A39</f>
        <v>估价对象XX用房的比较价值（楼面单价，元/平方米）</v>
      </c>
      <c r="Q39" s="3197"/>
      <c r="R39" s="3233" t="e">
        <f>IF(F1="售价",ROUND(AVERAGE(R38:V38),0),ROUND(AVERAGE(R38:V38),1))</f>
        <v>#DIV/0!</v>
      </c>
      <c r="S39" s="3233"/>
      <c r="T39" s="3233"/>
      <c r="U39" s="3233"/>
      <c r="V39" s="3233"/>
      <c r="W39" s="3233"/>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2730</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2731</v>
      </c>
      <c r="B48" s="505"/>
      <c r="C48" s="1576" t="str">
        <f>YEAR(C7)&amp;"-"&amp;MONTH(C7)</f>
        <v>2018-3</v>
      </c>
      <c r="D48" s="1577">
        <f>EDATE(C48,-1)</f>
        <v>43132</v>
      </c>
      <c r="E48" s="1577">
        <f t="shared" ref="E48:O48" si="16">EDATE(D48,-1)</f>
        <v>43101</v>
      </c>
      <c r="F48" s="1577">
        <f t="shared" si="16"/>
        <v>43070</v>
      </c>
      <c r="G48" s="1577">
        <f t="shared" si="16"/>
        <v>43040</v>
      </c>
      <c r="H48" s="1577">
        <f t="shared" si="16"/>
        <v>43009</v>
      </c>
      <c r="I48" s="1577">
        <f t="shared" si="16"/>
        <v>42979</v>
      </c>
      <c r="J48" s="1577">
        <f t="shared" si="16"/>
        <v>42948</v>
      </c>
      <c r="K48" s="1577">
        <f t="shared" si="16"/>
        <v>42917</v>
      </c>
      <c r="L48" s="1577">
        <f t="shared" si="16"/>
        <v>42887</v>
      </c>
      <c r="M48" s="1577">
        <f t="shared" si="16"/>
        <v>42856</v>
      </c>
      <c r="N48" s="1577">
        <f t="shared" si="16"/>
        <v>42826</v>
      </c>
      <c r="O48" s="1577">
        <f t="shared" si="16"/>
        <v>42795</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2588</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2553</v>
      </c>
      <c r="B51" s="509"/>
      <c r="C51" s="521" t="s">
        <v>2655</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2591</v>
      </c>
      <c r="B53" s="527" t="s">
        <v>2557</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2560</v>
      </c>
      <c r="C55" s="538" t="s">
        <v>2592</v>
      </c>
      <c r="D55" s="538" t="s">
        <v>2593</v>
      </c>
      <c r="E55" s="538" t="s">
        <v>2594</v>
      </c>
      <c r="F55" s="538" t="s">
        <v>2595</v>
      </c>
      <c r="G55" s="538" t="s">
        <v>2596</v>
      </c>
      <c r="H55" s="538" t="s">
        <v>2597</v>
      </c>
      <c r="I55" s="538" t="s">
        <v>2598</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2562</v>
      </c>
      <c r="B63" s="527" t="s">
        <v>2605</v>
      </c>
      <c r="C63" s="572" t="s">
        <v>2600</v>
      </c>
      <c r="D63" s="572" t="s">
        <v>2601</v>
      </c>
      <c r="E63" s="572" t="s">
        <v>2602</v>
      </c>
      <c r="F63" s="572" t="s">
        <v>2603</v>
      </c>
      <c r="G63" s="572" t="s">
        <v>2604</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2606</v>
      </c>
      <c r="C65" s="577" t="s">
        <v>2600</v>
      </c>
      <c r="D65" s="577" t="s">
        <v>2601</v>
      </c>
      <c r="E65" s="577" t="s">
        <v>2602</v>
      </c>
      <c r="F65" s="577" t="s">
        <v>2603</v>
      </c>
      <c r="G65" s="577" t="s">
        <v>2604</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2692</v>
      </c>
      <c r="C67" s="659" t="s">
        <v>2678</v>
      </c>
      <c r="D67" s="659" t="s">
        <v>2679</v>
      </c>
      <c r="E67" s="659" t="s">
        <v>2680</v>
      </c>
      <c r="F67" s="659" t="s">
        <v>2681</v>
      </c>
      <c r="G67" s="659" t="s">
        <v>2682</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2612</v>
      </c>
      <c r="C69" s="577" t="s">
        <v>2600</v>
      </c>
      <c r="D69" s="577" t="s">
        <v>2601</v>
      </c>
      <c r="E69" s="577" t="s">
        <v>2602</v>
      </c>
      <c r="F69" s="577" t="s">
        <v>2603</v>
      </c>
      <c r="G69" s="577" t="s">
        <v>2604</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2732</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2566</v>
      </c>
      <c r="B79" s="527" t="s">
        <v>2733</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2734</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2619</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2736</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2738</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2739</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2710</v>
      </c>
      <c r="B1" s="1621"/>
      <c r="C1" s="1622" t="s">
        <v>2533</v>
      </c>
      <c r="D1" s="1623"/>
      <c r="E1" s="1632"/>
      <c r="F1" s="2585"/>
      <c r="G1" s="1633" t="s">
        <v>2646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2333</v>
      </c>
      <c r="B2" s="1420" t="e">
        <f ca="1">IF(C2="——",ROUND(C37*D3/10000,0),ROUND(C37*D3/10000,0)-D2)</f>
        <v>#DIV/0!</v>
      </c>
      <c r="C2" s="2587"/>
      <c r="D2" s="1126" t="e">
        <f ca="1">SUMIF(INDIRECT("'"&amp;F2&amp;"'"&amp;"!A:A"),"承租人权益价值",INDIRECT("'"&amp;F2&amp;"'"&amp;"!c:c"))</f>
        <v>#REF!</v>
      </c>
      <c r="E2" s="2588" t="s">
        <v>2334</v>
      </c>
      <c r="F2" s="2589"/>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2335</v>
      </c>
      <c r="B3" s="608" t="e">
        <f ca="1">IF(C2="——",C37,ROUND(B2*10000/D3,0))</f>
        <v>#DIV/0!</v>
      </c>
      <c r="C3" s="399" t="s">
        <v>2647</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2648</v>
      </c>
      <c r="B4" s="401"/>
      <c r="C4" s="3177" t="s">
        <v>2649</v>
      </c>
      <c r="D4" s="3178"/>
      <c r="E4" s="3179" t="s">
        <v>2650</v>
      </c>
      <c r="F4" s="3180"/>
      <c r="G4" s="3177" t="s">
        <v>2651</v>
      </c>
      <c r="H4" s="3178"/>
      <c r="I4" s="3177" t="s">
        <v>2652</v>
      </c>
      <c r="J4" s="3178"/>
      <c r="K4" s="609" t="s">
        <v>2653</v>
      </c>
      <c r="L4" s="1132"/>
      <c r="M4" s="1133"/>
      <c r="N4" s="1133"/>
      <c r="O4" s="1133"/>
      <c r="P4" s="3181" t="s">
        <v>2654</v>
      </c>
      <c r="Q4" s="3182"/>
      <c r="R4" s="3162" t="s">
        <v>2650</v>
      </c>
      <c r="S4" s="3163"/>
      <c r="T4" s="3162" t="s">
        <v>2651</v>
      </c>
      <c r="U4" s="3163"/>
      <c r="V4" s="3189" t="s">
        <v>2652</v>
      </c>
      <c r="W4" s="3189"/>
      <c r="X4" s="1815"/>
      <c r="Y4" s="3162" t="s">
        <v>2654</v>
      </c>
      <c r="Z4" s="3163"/>
      <c r="AA4" s="3157" t="s">
        <v>2650</v>
      </c>
      <c r="AB4" s="3158" t="s">
        <v>2651</v>
      </c>
      <c r="AC4" s="3157" t="s">
        <v>2652</v>
      </c>
    </row>
    <row r="5" spans="1:29" ht="15">
      <c r="A5" s="403"/>
      <c r="B5" s="404"/>
      <c r="C5" s="3168" t="s">
        <v>2545</v>
      </c>
      <c r="D5" s="3169"/>
      <c r="E5" s="3241" t="s">
        <v>2546</v>
      </c>
      <c r="F5" s="3242"/>
      <c r="G5" s="3168" t="s">
        <v>2547</v>
      </c>
      <c r="H5" s="3169"/>
      <c r="I5" s="3168" t="s">
        <v>2548</v>
      </c>
      <c r="J5" s="3169"/>
      <c r="K5" s="609"/>
      <c r="L5" s="1132"/>
      <c r="M5" s="1133"/>
      <c r="N5" s="1133"/>
      <c r="O5" s="1133"/>
      <c r="P5" s="3183"/>
      <c r="Q5" s="3184"/>
      <c r="R5" s="3164"/>
      <c r="S5" s="3165"/>
      <c r="T5" s="3164"/>
      <c r="U5" s="3165"/>
      <c r="V5" s="3189"/>
      <c r="W5" s="3189"/>
      <c r="X5" s="1815"/>
      <c r="Y5" s="3164"/>
      <c r="Z5" s="3165"/>
      <c r="AA5" s="3158"/>
      <c r="AB5" s="3158"/>
      <c r="AC5" s="3158"/>
    </row>
    <row r="6" spans="1:29" ht="15.75" thickBot="1">
      <c r="A6" s="405"/>
      <c r="B6" s="406"/>
      <c r="C6" s="3170" t="s">
        <v>2549</v>
      </c>
      <c r="D6" s="3171"/>
      <c r="E6" s="3243" t="s">
        <v>2549</v>
      </c>
      <c r="F6" s="3244"/>
      <c r="G6" s="3170" t="s">
        <v>2549</v>
      </c>
      <c r="H6" s="3171"/>
      <c r="I6" s="3170" t="s">
        <v>2549</v>
      </c>
      <c r="J6" s="3171"/>
      <c r="K6" s="609" t="s">
        <v>2550</v>
      </c>
      <c r="L6" s="1132"/>
      <c r="M6" s="1133"/>
      <c r="N6" s="1133"/>
      <c r="O6" s="1133"/>
      <c r="P6" s="3185"/>
      <c r="Q6" s="3186"/>
      <c r="R6" s="3164"/>
      <c r="S6" s="3165"/>
      <c r="T6" s="3187"/>
      <c r="U6" s="3188"/>
      <c r="V6" s="3189"/>
      <c r="W6" s="3189"/>
      <c r="X6" s="1815"/>
      <c r="Y6" s="3187"/>
      <c r="Z6" s="3188"/>
      <c r="AA6" s="3159"/>
      <c r="AB6" s="3159"/>
      <c r="AC6" s="3159"/>
    </row>
    <row r="7" spans="1:29" s="116" customFormat="1" ht="15.75" thickBot="1">
      <c r="A7" s="407" t="s">
        <v>2551</v>
      </c>
      <c r="B7" s="408"/>
      <c r="C7" s="409">
        <f>'数据-取费表'!B2</f>
        <v>43160</v>
      </c>
      <c r="D7" s="410">
        <v>100</v>
      </c>
      <c r="E7" s="411"/>
      <c r="F7" s="412">
        <f>SUMIF(46:46,YEAR(E7)&amp;"-"&amp;MONTH(E7),47:47)</f>
        <v>0</v>
      </c>
      <c r="G7" s="2697"/>
      <c r="H7" s="410">
        <f>SUMIF(46:46,YEAR(G7)&amp;"-"&amp;MONTH(G7),47:47)</f>
        <v>0</v>
      </c>
      <c r="I7" s="411"/>
      <c r="J7" s="410">
        <f>SUMIF(46:46,YEAR(I7)&amp;"-"&amp;MONTH(I7),47:47)</f>
        <v>0</v>
      </c>
      <c r="K7" s="610"/>
      <c r="L7" s="1134"/>
      <c r="M7" s="1135"/>
      <c r="N7" s="1135"/>
      <c r="O7" s="1135"/>
      <c r="P7" s="3160" t="s">
        <v>2552</v>
      </c>
      <c r="Q7" s="3190"/>
      <c r="R7" s="769" t="s">
        <v>17</v>
      </c>
      <c r="S7" s="770">
        <f t="shared" ref="S7:S14" si="0">F7</f>
        <v>0</v>
      </c>
      <c r="T7" s="769" t="s">
        <v>17</v>
      </c>
      <c r="U7" s="770">
        <f t="shared" ref="U7:U14" si="1">H7</f>
        <v>0</v>
      </c>
      <c r="V7" s="769" t="s">
        <v>17</v>
      </c>
      <c r="W7" s="770">
        <f t="shared" ref="W7:W14" si="2">J7</f>
        <v>0</v>
      </c>
      <c r="X7" s="771"/>
      <c r="Y7" s="3160" t="s">
        <v>2552</v>
      </c>
      <c r="Z7" s="3161"/>
      <c r="AA7" s="772" t="e">
        <f>D7/F7</f>
        <v>#DIV/0!</v>
      </c>
      <c r="AB7" s="772" t="e">
        <f>D7/H7</f>
        <v>#DIV/0!</v>
      </c>
      <c r="AC7" s="772" t="e">
        <f>D7/J7</f>
        <v>#DIV/0!</v>
      </c>
    </row>
    <row r="8" spans="1:29" s="116" customFormat="1" ht="15.75" thickBot="1">
      <c r="A8" s="407" t="s">
        <v>2553</v>
      </c>
      <c r="B8" s="408"/>
      <c r="C8" s="413" t="s">
        <v>2655</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60" t="s">
        <v>2555</v>
      </c>
      <c r="Q8" s="3161"/>
      <c r="R8" s="769" t="s">
        <v>17</v>
      </c>
      <c r="S8" s="770">
        <f t="shared" si="0"/>
        <v>0</v>
      </c>
      <c r="T8" s="769" t="s">
        <v>17</v>
      </c>
      <c r="U8" s="770">
        <f t="shared" si="1"/>
        <v>0</v>
      </c>
      <c r="V8" s="769" t="s">
        <v>17</v>
      </c>
      <c r="W8" s="770">
        <f t="shared" si="2"/>
        <v>0</v>
      </c>
      <c r="X8" s="771"/>
      <c r="Y8" s="3160" t="s">
        <v>2555</v>
      </c>
      <c r="Z8" s="3161"/>
      <c r="AA8" s="772" t="e">
        <f t="shared" ref="AA8:AA34" si="3">D8/F8</f>
        <v>#DIV/0!</v>
      </c>
      <c r="AB8" s="772" t="e">
        <f t="shared" ref="AB8:AB34" si="4">D8/H8</f>
        <v>#DIV/0!</v>
      </c>
      <c r="AC8" s="772" t="e">
        <f t="shared" ref="AC8:AC34" si="5">D8/J8</f>
        <v>#DIV/0!</v>
      </c>
    </row>
    <row r="9" spans="1:29" s="116" customFormat="1">
      <c r="A9" s="414" t="s">
        <v>2556</v>
      </c>
      <c r="B9" s="70" t="s">
        <v>2557</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76" t="s">
        <v>2558</v>
      </c>
      <c r="Q9" s="1797" t="str">
        <f t="shared" ref="Q9:Q14" si="6">B9</f>
        <v>用途</v>
      </c>
      <c r="R9" s="769" t="s">
        <v>17</v>
      </c>
      <c r="S9" s="770">
        <f t="shared" si="0"/>
        <v>100</v>
      </c>
      <c r="T9" s="769" t="s">
        <v>17</v>
      </c>
      <c r="U9" s="770">
        <f t="shared" si="1"/>
        <v>100</v>
      </c>
      <c r="V9" s="769" t="s">
        <v>17</v>
      </c>
      <c r="W9" s="770">
        <f t="shared" si="2"/>
        <v>100</v>
      </c>
      <c r="X9" s="771"/>
      <c r="Y9" s="3034" t="s">
        <v>2559</v>
      </c>
      <c r="Z9" s="54" t="str">
        <f t="shared" ref="Z9:Z14" si="7">Q9</f>
        <v>用途</v>
      </c>
      <c r="AA9" s="772">
        <f t="shared" si="3"/>
        <v>1</v>
      </c>
      <c r="AB9" s="772">
        <f t="shared" si="4"/>
        <v>1</v>
      </c>
      <c r="AC9" s="772">
        <f t="shared" si="5"/>
        <v>1</v>
      </c>
    </row>
    <row r="10" spans="1:29" s="426" customFormat="1" ht="27">
      <c r="A10" s="420"/>
      <c r="B10" s="421" t="s">
        <v>2560</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76"/>
      <c r="Q10" s="1797" t="str">
        <f t="shared" si="6"/>
        <v>土地使用年限（年）</v>
      </c>
      <c r="R10" s="769" t="s">
        <v>17</v>
      </c>
      <c r="S10" s="770">
        <f t="shared" si="0"/>
        <v>100</v>
      </c>
      <c r="T10" s="769" t="s">
        <v>17</v>
      </c>
      <c r="U10" s="770">
        <f t="shared" si="1"/>
        <v>100</v>
      </c>
      <c r="V10" s="769" t="s">
        <v>17</v>
      </c>
      <c r="W10" s="770">
        <f t="shared" si="2"/>
        <v>100</v>
      </c>
      <c r="X10" s="771"/>
      <c r="Y10" s="3034"/>
      <c r="Z10" s="54" t="str">
        <f t="shared" si="7"/>
        <v>土地使用年限（年）</v>
      </c>
      <c r="AA10" s="772">
        <f t="shared" si="3"/>
        <v>1</v>
      </c>
      <c r="AB10" s="772">
        <f t="shared" si="4"/>
        <v>1</v>
      </c>
      <c r="AC10" s="772">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76"/>
      <c r="Q11" s="1797">
        <f t="shared" si="6"/>
        <v>111</v>
      </c>
      <c r="R11" s="769" t="s">
        <v>17</v>
      </c>
      <c r="S11" s="770">
        <f t="shared" si="0"/>
        <v>100</v>
      </c>
      <c r="T11" s="769" t="s">
        <v>17</v>
      </c>
      <c r="U11" s="770">
        <f t="shared" si="1"/>
        <v>100</v>
      </c>
      <c r="V11" s="769" t="s">
        <v>17</v>
      </c>
      <c r="W11" s="770">
        <f t="shared" si="2"/>
        <v>100</v>
      </c>
      <c r="X11" s="771"/>
      <c r="Y11" s="3034"/>
      <c r="Z11" s="54">
        <f t="shared" si="7"/>
        <v>111</v>
      </c>
      <c r="AA11" s="772">
        <f t="shared" si="3"/>
        <v>1</v>
      </c>
      <c r="AB11" s="772">
        <f t="shared" si="4"/>
        <v>1</v>
      </c>
      <c r="AC11" s="772">
        <f t="shared" si="5"/>
        <v>1</v>
      </c>
    </row>
    <row r="12" spans="1:29" s="116"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76"/>
      <c r="Q12" s="1797">
        <f t="shared" si="6"/>
        <v>111</v>
      </c>
      <c r="R12" s="769" t="s">
        <v>17</v>
      </c>
      <c r="S12" s="770">
        <f t="shared" si="0"/>
        <v>100</v>
      </c>
      <c r="T12" s="769" t="s">
        <v>17</v>
      </c>
      <c r="U12" s="770">
        <f t="shared" si="1"/>
        <v>100</v>
      </c>
      <c r="V12" s="769" t="s">
        <v>17</v>
      </c>
      <c r="W12" s="770">
        <f t="shared" si="2"/>
        <v>100</v>
      </c>
      <c r="X12" s="771"/>
      <c r="Y12" s="3034"/>
      <c r="Z12" s="54">
        <f t="shared" si="7"/>
        <v>111</v>
      </c>
      <c r="AA12" s="772">
        <f>D12/F12</f>
        <v>1</v>
      </c>
      <c r="AB12" s="772">
        <f>D12/H12</f>
        <v>1</v>
      </c>
      <c r="AC12" s="772">
        <f>D12/J12</f>
        <v>1</v>
      </c>
    </row>
    <row r="13" spans="1:29" ht="15.75" thickBot="1">
      <c r="A13" s="427"/>
      <c r="B13" s="2601">
        <v>111</v>
      </c>
      <c r="C13" s="433"/>
      <c r="D13" s="434">
        <v>100</v>
      </c>
      <c r="E13" s="468"/>
      <c r="F13" s="424">
        <f>SUMIF(59:59,E13,60:60)-SUMIF(59:59,C13,60:60)+100</f>
        <v>100</v>
      </c>
      <c r="G13" s="2698"/>
      <c r="H13" s="437">
        <f>SUMIF(59:59,G13,60:60)-SUMIF(59:59,C13,60:60)+100</f>
        <v>100</v>
      </c>
      <c r="I13" s="468"/>
      <c r="J13" s="434">
        <f>SUMIF(59:59,I13,60:60)-SUMIF(59:59,C13,60:60)+100</f>
        <v>100</v>
      </c>
      <c r="K13" s="612"/>
      <c r="L13" s="1142"/>
      <c r="M13" s="1133"/>
      <c r="N13" s="1133"/>
      <c r="O13" s="1141"/>
      <c r="P13" s="3176"/>
      <c r="Q13" s="1797">
        <f t="shared" si="6"/>
        <v>111</v>
      </c>
      <c r="R13" s="769" t="s">
        <v>17</v>
      </c>
      <c r="S13" s="770">
        <f t="shared" si="0"/>
        <v>100</v>
      </c>
      <c r="T13" s="769" t="s">
        <v>17</v>
      </c>
      <c r="U13" s="770">
        <f t="shared" si="1"/>
        <v>100</v>
      </c>
      <c r="V13" s="769" t="s">
        <v>17</v>
      </c>
      <c r="W13" s="770">
        <f t="shared" si="2"/>
        <v>100</v>
      </c>
      <c r="X13" s="771"/>
      <c r="Y13" s="3034"/>
      <c r="Z13" s="54">
        <f t="shared" si="7"/>
        <v>111</v>
      </c>
      <c r="AA13" s="772">
        <f t="shared" si="3"/>
        <v>1</v>
      </c>
      <c r="AB13" s="772">
        <f t="shared" si="4"/>
        <v>1</v>
      </c>
      <c r="AC13" s="772">
        <f t="shared" si="5"/>
        <v>1</v>
      </c>
    </row>
    <row r="14" spans="1:29" ht="85.5">
      <c r="A14" s="439" t="s">
        <v>2562</v>
      </c>
      <c r="B14" s="68" t="s">
        <v>2712</v>
      </c>
      <c r="C14" s="2694"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91" t="s">
        <v>2563</v>
      </c>
      <c r="Q14" s="1812" t="str">
        <f t="shared" si="6"/>
        <v>交通便捷度</v>
      </c>
      <c r="R14" s="773" t="s">
        <v>17</v>
      </c>
      <c r="S14" s="774">
        <f t="shared" si="0"/>
        <v>100</v>
      </c>
      <c r="T14" s="773" t="s">
        <v>17</v>
      </c>
      <c r="U14" s="774">
        <f t="shared" si="1"/>
        <v>100</v>
      </c>
      <c r="V14" s="773" t="s">
        <v>17</v>
      </c>
      <c r="W14" s="774">
        <f t="shared" si="2"/>
        <v>100</v>
      </c>
      <c r="X14" s="1815"/>
      <c r="Y14" s="3191" t="s">
        <v>2563</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192"/>
      <c r="Q15" s="1812"/>
      <c r="R15" s="773"/>
      <c r="S15" s="774"/>
      <c r="T15" s="773"/>
      <c r="U15" s="774"/>
      <c r="V15" s="773"/>
      <c r="W15" s="774"/>
      <c r="X15" s="1815"/>
      <c r="Y15" s="3192"/>
      <c r="Z15" s="1816"/>
      <c r="AA15" s="1813">
        <v>1</v>
      </c>
      <c r="AB15" s="1813">
        <v>1</v>
      </c>
      <c r="AC15" s="1813">
        <v>1</v>
      </c>
    </row>
    <row r="16" spans="1:29" ht="42.75">
      <c r="A16" s="427"/>
      <c r="B16" s="450" t="s">
        <v>2691</v>
      </c>
      <c r="C16" s="2608"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92"/>
      <c r="Q16" s="1812" t="str">
        <f>B16</f>
        <v>公共配套设施</v>
      </c>
      <c r="R16" s="773" t="s">
        <v>17</v>
      </c>
      <c r="S16" s="774">
        <f>F16</f>
        <v>100</v>
      </c>
      <c r="T16" s="773" t="s">
        <v>17</v>
      </c>
      <c r="U16" s="774">
        <f>H16</f>
        <v>100</v>
      </c>
      <c r="V16" s="773" t="s">
        <v>17</v>
      </c>
      <c r="W16" s="774">
        <f>J16</f>
        <v>100</v>
      </c>
      <c r="X16" s="1815"/>
      <c r="Y16" s="3192"/>
      <c r="Z16" s="1816" t="str">
        <f>Q16</f>
        <v>公共配套设施</v>
      </c>
      <c r="AA16" s="1813">
        <f t="shared" si="3"/>
        <v>1</v>
      </c>
      <c r="AB16" s="1813">
        <f t="shared" si="4"/>
        <v>1</v>
      </c>
      <c r="AC16" s="1813">
        <f t="shared" si="5"/>
        <v>1</v>
      </c>
    </row>
    <row r="17" spans="1:29" ht="15">
      <c r="A17" s="427"/>
      <c r="B17" s="455"/>
      <c r="C17" s="2609"/>
      <c r="D17" s="447"/>
      <c r="E17" s="446"/>
      <c r="F17" s="448"/>
      <c r="G17" s="446"/>
      <c r="H17" s="447"/>
      <c r="I17" s="446"/>
      <c r="J17" s="447"/>
      <c r="K17" s="614"/>
      <c r="L17" s="1142"/>
      <c r="M17" s="1133"/>
      <c r="N17" s="1133"/>
      <c r="O17" s="1141"/>
      <c r="P17" s="3192"/>
      <c r="Q17" s="1812"/>
      <c r="R17" s="773"/>
      <c r="S17" s="774"/>
      <c r="T17" s="773"/>
      <c r="U17" s="774"/>
      <c r="V17" s="773"/>
      <c r="W17" s="774"/>
      <c r="X17" s="1815"/>
      <c r="Y17" s="3192"/>
      <c r="Z17" s="1816"/>
      <c r="AA17" s="1813">
        <v>1</v>
      </c>
      <c r="AB17" s="1813">
        <v>1</v>
      </c>
      <c r="AC17" s="1813">
        <v>1</v>
      </c>
    </row>
    <row r="18" spans="1:29" ht="28.5">
      <c r="A18" s="427"/>
      <c r="B18" s="1386" t="s">
        <v>2692</v>
      </c>
      <c r="C18" s="2608"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92"/>
      <c r="Q18" s="1812" t="str">
        <f>B18</f>
        <v>基础设施水平</v>
      </c>
      <c r="R18" s="773" t="s">
        <v>17</v>
      </c>
      <c r="S18" s="774">
        <f>F18</f>
        <v>100</v>
      </c>
      <c r="T18" s="773" t="s">
        <v>17</v>
      </c>
      <c r="U18" s="774">
        <f>H18</f>
        <v>100</v>
      </c>
      <c r="V18" s="773" t="s">
        <v>17</v>
      </c>
      <c r="W18" s="774">
        <f>J18</f>
        <v>100</v>
      </c>
      <c r="X18" s="1815"/>
      <c r="Y18" s="3192"/>
      <c r="Z18" s="1816" t="str">
        <f>Q18</f>
        <v>基础设施水平</v>
      </c>
      <c r="AA18" s="1813">
        <f t="shared" ref="AA18" si="8">D18/F18</f>
        <v>1</v>
      </c>
      <c r="AB18" s="1813">
        <f t="shared" ref="AB18" si="9">D18/H18</f>
        <v>1</v>
      </c>
      <c r="AC18" s="1813">
        <f t="shared" ref="AC18" si="10">D18/J18</f>
        <v>1</v>
      </c>
    </row>
    <row r="19" spans="1:29" ht="15">
      <c r="A19" s="427"/>
      <c r="B19" s="1386"/>
      <c r="C19" s="2609"/>
      <c r="D19" s="449"/>
      <c r="E19" s="2609"/>
      <c r="F19" s="452"/>
      <c r="G19" s="2609"/>
      <c r="H19" s="447"/>
      <c r="I19" s="446"/>
      <c r="J19" s="447"/>
      <c r="K19" s="1385"/>
      <c r="L19" s="1142"/>
      <c r="M19" s="1133"/>
      <c r="N19" s="1133"/>
      <c r="O19" s="1141"/>
      <c r="P19" s="3192"/>
      <c r="Q19" s="1812"/>
      <c r="R19" s="773"/>
      <c r="S19" s="774"/>
      <c r="T19" s="773"/>
      <c r="U19" s="774"/>
      <c r="V19" s="773"/>
      <c r="W19" s="774"/>
      <c r="X19" s="1815"/>
      <c r="Y19" s="3192"/>
      <c r="Z19" s="1816"/>
      <c r="AA19" s="1813">
        <v>1</v>
      </c>
      <c r="AB19" s="1813">
        <v>1</v>
      </c>
      <c r="AC19" s="1813">
        <v>1</v>
      </c>
    </row>
    <row r="20" spans="1:29" ht="57">
      <c r="A20" s="427"/>
      <c r="B20" s="450" t="s">
        <v>2713</v>
      </c>
      <c r="C20" s="2608"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92"/>
      <c r="Q20" s="1812" t="str">
        <f>B20</f>
        <v>自然及人文环境</v>
      </c>
      <c r="R20" s="773" t="s">
        <v>17</v>
      </c>
      <c r="S20" s="774">
        <f>F20</f>
        <v>100</v>
      </c>
      <c r="T20" s="773" t="s">
        <v>17</v>
      </c>
      <c r="U20" s="774">
        <f>H20</f>
        <v>100</v>
      </c>
      <c r="V20" s="773" t="s">
        <v>17</v>
      </c>
      <c r="W20" s="774">
        <f>J20</f>
        <v>100</v>
      </c>
      <c r="X20" s="1815"/>
      <c r="Y20" s="3192"/>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192"/>
      <c r="Q21" s="1812"/>
      <c r="R21" s="773"/>
      <c r="S21" s="774"/>
      <c r="T21" s="773"/>
      <c r="U21" s="774"/>
      <c r="V21" s="773"/>
      <c r="W21" s="774"/>
      <c r="X21" s="1815"/>
      <c r="Y21" s="3192"/>
      <c r="Z21" s="1816"/>
      <c r="AA21" s="1813">
        <v>1</v>
      </c>
      <c r="AB21" s="1813">
        <v>1</v>
      </c>
      <c r="AC21" s="1813">
        <v>1</v>
      </c>
    </row>
    <row r="22" spans="1:29" ht="15">
      <c r="A22" s="427"/>
      <c r="B22" s="450" t="s">
        <v>2714</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92"/>
      <c r="Q22" s="1812" t="str">
        <f>B22</f>
        <v>楼层</v>
      </c>
      <c r="R22" s="773" t="s">
        <v>17</v>
      </c>
      <c r="S22" s="774">
        <f>F22</f>
        <v>100</v>
      </c>
      <c r="T22" s="773" t="s">
        <v>17</v>
      </c>
      <c r="U22" s="774">
        <f>H22</f>
        <v>100</v>
      </c>
      <c r="V22" s="773" t="s">
        <v>17</v>
      </c>
      <c r="W22" s="774">
        <f>J22</f>
        <v>100</v>
      </c>
      <c r="X22" s="1815"/>
      <c r="Y22" s="3192"/>
      <c r="Z22" s="1816" t="str">
        <f>Q22</f>
        <v>楼层</v>
      </c>
      <c r="AA22" s="1813">
        <f t="shared" si="3"/>
        <v>1</v>
      </c>
      <c r="AB22" s="1813">
        <f t="shared" si="4"/>
        <v>1</v>
      </c>
      <c r="AC22" s="1813">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92"/>
      <c r="Q23" s="1812">
        <f>B23</f>
        <v>111</v>
      </c>
      <c r="R23" s="773" t="s">
        <v>17</v>
      </c>
      <c r="S23" s="774">
        <f>F23</f>
        <v>100</v>
      </c>
      <c r="T23" s="773" t="s">
        <v>17</v>
      </c>
      <c r="U23" s="774">
        <f>H23</f>
        <v>100</v>
      </c>
      <c r="V23" s="773" t="s">
        <v>17</v>
      </c>
      <c r="W23" s="774">
        <f>J23</f>
        <v>100</v>
      </c>
      <c r="X23" s="1815"/>
      <c r="Y23" s="3192"/>
      <c r="Z23" s="1816">
        <f>Q23</f>
        <v>111</v>
      </c>
      <c r="AA23" s="1813">
        <f t="shared" si="3"/>
        <v>1</v>
      </c>
      <c r="AB23" s="1813">
        <f t="shared" si="4"/>
        <v>1</v>
      </c>
      <c r="AC23" s="1813">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92"/>
      <c r="Q24" s="1812">
        <f t="shared" ref="Q24:Q34" si="11">B24</f>
        <v>111</v>
      </c>
      <c r="R24" s="773" t="s">
        <v>17</v>
      </c>
      <c r="S24" s="774">
        <f>F24</f>
        <v>100</v>
      </c>
      <c r="T24" s="773" t="s">
        <v>17</v>
      </c>
      <c r="U24" s="774">
        <f>H24</f>
        <v>100</v>
      </c>
      <c r="V24" s="773" t="s">
        <v>17</v>
      </c>
      <c r="W24" s="774">
        <f>J24</f>
        <v>100</v>
      </c>
      <c r="X24" s="1815"/>
      <c r="Y24" s="3192"/>
      <c r="Z24" s="1816">
        <f>Q24</f>
        <v>111</v>
      </c>
      <c r="AA24" s="1813">
        <f t="shared" si="3"/>
        <v>1</v>
      </c>
      <c r="AB24" s="1813">
        <f t="shared" si="4"/>
        <v>1</v>
      </c>
      <c r="AC24" s="1813">
        <f t="shared" si="5"/>
        <v>1</v>
      </c>
    </row>
    <row r="25" spans="1:29" s="116" customFormat="1" ht="15.75" thickBot="1">
      <c r="A25" s="430"/>
      <c r="B25" s="2601">
        <v>111</v>
      </c>
      <c r="C25" s="2699"/>
      <c r="D25" s="664">
        <v>100</v>
      </c>
      <c r="E25" s="2699"/>
      <c r="F25" s="665">
        <f>SUMIF(75:75,E25,76:76)-SUMIF(75:75,C25,76:76)+100</f>
        <v>100</v>
      </c>
      <c r="G25" s="2699"/>
      <c r="H25" s="664">
        <f>SUMIF(75:75,G25,76:76)-SUMIF(75:75,C25,76:76)+100</f>
        <v>100</v>
      </c>
      <c r="I25" s="2699"/>
      <c r="J25" s="664">
        <f>SUMIF(75:75,I25,76:76)-SUMIF(75:75,C25,76:76)+100</f>
        <v>100</v>
      </c>
      <c r="K25" s="612"/>
      <c r="L25" s="1134"/>
      <c r="M25" s="1135"/>
      <c r="N25" s="1135"/>
      <c r="O25" s="1136"/>
      <c r="P25" s="3192"/>
      <c r="Q25" s="1797">
        <f t="shared" si="11"/>
        <v>111</v>
      </c>
      <c r="R25" s="769" t="s">
        <v>17</v>
      </c>
      <c r="S25" s="770">
        <f>F25</f>
        <v>100</v>
      </c>
      <c r="T25" s="769" t="s">
        <v>17</v>
      </c>
      <c r="U25" s="770">
        <f>H25</f>
        <v>100</v>
      </c>
      <c r="V25" s="769" t="s">
        <v>17</v>
      </c>
      <c r="W25" s="770">
        <f>J25</f>
        <v>100</v>
      </c>
      <c r="X25" s="771"/>
      <c r="Y25" s="3192"/>
      <c r="Z25" s="54">
        <f>Q25</f>
        <v>111</v>
      </c>
      <c r="AA25" s="1813">
        <f>D25/F25</f>
        <v>1</v>
      </c>
      <c r="AB25" s="1813">
        <f>D25/H25</f>
        <v>1</v>
      </c>
      <c r="AC25" s="1813">
        <f>D25/J25</f>
        <v>1</v>
      </c>
    </row>
    <row r="26" spans="1:29" ht="15">
      <c r="A26" s="465" t="s">
        <v>2566</v>
      </c>
      <c r="B26" s="70" t="s">
        <v>2717</v>
      </c>
      <c r="C26" s="2680"/>
      <c r="D26" s="466">
        <v>100</v>
      </c>
      <c r="E26" s="2680"/>
      <c r="F26" s="666">
        <f>SUMIF(77:77,E26,78:78)-SUMIF(77:77,C26,78:78)+100</f>
        <v>100</v>
      </c>
      <c r="G26" s="2680"/>
      <c r="H26" s="466">
        <f>SUMIF(77:77,G26,78:78)-SUMIF(77:77,C26,78:78)+100</f>
        <v>100</v>
      </c>
      <c r="I26" s="2680"/>
      <c r="J26" s="466">
        <f>SUMIF(77:77,I26,78:78)-SUMIF(77:77,C26,78:78)+100</f>
        <v>100</v>
      </c>
      <c r="K26" s="611"/>
      <c r="L26" s="1142"/>
      <c r="M26" s="1133"/>
      <c r="N26" s="1133"/>
      <c r="O26" s="1141"/>
      <c r="P26" s="3193" t="s">
        <v>2568</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94" t="s">
        <v>2568</v>
      </c>
      <c r="Z26" s="1816" t="str">
        <f t="shared" ref="Z26:Z34" si="15">Q26</f>
        <v>公共部分装修</v>
      </c>
      <c r="AA26" s="1813">
        <f t="shared" si="3"/>
        <v>1</v>
      </c>
      <c r="AB26" s="1813">
        <f t="shared" si="4"/>
        <v>1</v>
      </c>
      <c r="AC26" s="1813">
        <f t="shared" si="5"/>
        <v>1</v>
      </c>
    </row>
    <row r="27" spans="1:29" s="470" customFormat="1" ht="15">
      <c r="A27" s="467"/>
      <c r="B27" s="421" t="s">
        <v>2718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94"/>
      <c r="Q27" s="775" t="str">
        <f t="shared" si="11"/>
        <v>成新率</v>
      </c>
      <c r="R27" s="776" t="s">
        <v>17</v>
      </c>
      <c r="S27" s="777" t="e">
        <f t="shared" si="12"/>
        <v>#N/A</v>
      </c>
      <c r="T27" s="776" t="s">
        <v>17</v>
      </c>
      <c r="U27" s="777" t="e">
        <f t="shared" si="13"/>
        <v>#N/A</v>
      </c>
      <c r="V27" s="776" t="s">
        <v>17</v>
      </c>
      <c r="W27" s="777" t="e">
        <f t="shared" si="14"/>
        <v>#N/A</v>
      </c>
      <c r="X27" s="778"/>
      <c r="Y27" s="3194"/>
      <c r="Z27" s="779" t="str">
        <f t="shared" si="15"/>
        <v>成新率</v>
      </c>
      <c r="AA27" s="1813" t="e">
        <f t="shared" si="3"/>
        <v>#N/A</v>
      </c>
      <c r="AB27" s="1813" t="e">
        <f t="shared" si="4"/>
        <v>#N/A</v>
      </c>
      <c r="AC27" s="1813" t="e">
        <f t="shared" si="5"/>
        <v>#N/A</v>
      </c>
    </row>
    <row r="28" spans="1:29" ht="15">
      <c r="A28" s="471"/>
      <c r="B28" s="421" t="s">
        <v>2719</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94"/>
      <c r="Q28" s="1812" t="str">
        <f t="shared" si="11"/>
        <v>物业等级</v>
      </c>
      <c r="R28" s="773" t="s">
        <v>17</v>
      </c>
      <c r="S28" s="774">
        <f t="shared" si="12"/>
        <v>100</v>
      </c>
      <c r="T28" s="773" t="s">
        <v>17</v>
      </c>
      <c r="U28" s="774">
        <f t="shared" si="13"/>
        <v>100</v>
      </c>
      <c r="V28" s="773" t="s">
        <v>17</v>
      </c>
      <c r="W28" s="774">
        <f t="shared" si="14"/>
        <v>100</v>
      </c>
      <c r="X28" s="1815"/>
      <c r="Y28" s="3194"/>
      <c r="Z28" s="1816" t="str">
        <f t="shared" si="15"/>
        <v>物业等级</v>
      </c>
      <c r="AA28" s="1813">
        <f t="shared" si="3"/>
        <v>1</v>
      </c>
      <c r="AB28" s="1813">
        <f t="shared" si="4"/>
        <v>1</v>
      </c>
      <c r="AC28" s="1813">
        <f t="shared" si="5"/>
        <v>1</v>
      </c>
    </row>
    <row r="29" spans="1:29" ht="15">
      <c r="A29" s="471"/>
      <c r="B29" s="421" t="s">
        <v>2740</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94"/>
      <c r="Q29" s="1812" t="str">
        <f t="shared" si="11"/>
        <v>有无电梯</v>
      </c>
      <c r="R29" s="773" t="s">
        <v>17</v>
      </c>
      <c r="S29" s="774">
        <f t="shared" si="12"/>
        <v>100</v>
      </c>
      <c r="T29" s="773" t="s">
        <v>17</v>
      </c>
      <c r="U29" s="774">
        <f t="shared" si="13"/>
        <v>100</v>
      </c>
      <c r="V29" s="773" t="s">
        <v>17</v>
      </c>
      <c r="W29" s="774">
        <f t="shared" si="14"/>
        <v>100</v>
      </c>
      <c r="X29" s="1815"/>
      <c r="Y29" s="3194"/>
      <c r="Z29" s="1816" t="str">
        <f t="shared" si="15"/>
        <v>有无电梯</v>
      </c>
      <c r="AA29" s="1813">
        <f t="shared" si="3"/>
        <v>1</v>
      </c>
      <c r="AB29" s="1813">
        <f t="shared" si="4"/>
        <v>1</v>
      </c>
      <c r="AC29" s="1813">
        <f t="shared" si="5"/>
        <v>1</v>
      </c>
    </row>
    <row r="30" spans="1:29" ht="15">
      <c r="A30" s="471"/>
      <c r="B30" s="421" t="s">
        <v>2741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94"/>
      <c r="Q30" s="1812" t="str">
        <f t="shared" si="11"/>
        <v>建筑面积</v>
      </c>
      <c r="R30" s="773" t="s">
        <v>17</v>
      </c>
      <c r="S30" s="774" t="e">
        <f t="shared" si="12"/>
        <v>#N/A</v>
      </c>
      <c r="T30" s="773" t="s">
        <v>17</v>
      </c>
      <c r="U30" s="774" t="e">
        <f t="shared" si="13"/>
        <v>#N/A</v>
      </c>
      <c r="V30" s="773" t="s">
        <v>17</v>
      </c>
      <c r="W30" s="774" t="e">
        <f t="shared" si="14"/>
        <v>#N/A</v>
      </c>
      <c r="X30" s="1815"/>
      <c r="Y30" s="3194"/>
      <c r="Z30" s="1816" t="str">
        <f t="shared" si="15"/>
        <v>建筑面积</v>
      </c>
      <c r="AA30" s="1813" t="e">
        <f t="shared" si="3"/>
        <v>#N/A</v>
      </c>
      <c r="AB30" s="1813" t="e">
        <f t="shared" si="4"/>
        <v>#N/A</v>
      </c>
      <c r="AC30" s="1813" t="e">
        <f t="shared" si="5"/>
        <v>#N/A</v>
      </c>
    </row>
    <row r="31" spans="1:29" s="116" customFormat="1" ht="15">
      <c r="A31" s="472"/>
      <c r="B31" s="421" t="s">
        <v>2742</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94"/>
      <c r="Q31" s="1797" t="str">
        <f t="shared" si="11"/>
        <v>是否封闭</v>
      </c>
      <c r="R31" s="769" t="s">
        <v>17</v>
      </c>
      <c r="S31" s="770">
        <f t="shared" si="12"/>
        <v>100</v>
      </c>
      <c r="T31" s="769" t="s">
        <v>17</v>
      </c>
      <c r="U31" s="770">
        <f t="shared" si="13"/>
        <v>100</v>
      </c>
      <c r="V31" s="769" t="s">
        <v>17</v>
      </c>
      <c r="W31" s="770">
        <f t="shared" si="14"/>
        <v>100</v>
      </c>
      <c r="X31" s="771"/>
      <c r="Y31" s="3194"/>
      <c r="Z31" s="54" t="str">
        <f t="shared" si="15"/>
        <v>是否封闭</v>
      </c>
      <c r="AA31" s="772">
        <f t="shared" si="3"/>
        <v>1</v>
      </c>
      <c r="AB31" s="772">
        <f t="shared" si="4"/>
        <v>1</v>
      </c>
      <c r="AC31" s="772">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94" t="s">
        <v>2568</v>
      </c>
      <c r="Q32" s="1812">
        <f t="shared" si="11"/>
        <v>111</v>
      </c>
      <c r="R32" s="773" t="s">
        <v>17</v>
      </c>
      <c r="S32" s="774">
        <f t="shared" si="12"/>
        <v>100</v>
      </c>
      <c r="T32" s="773" t="s">
        <v>17</v>
      </c>
      <c r="U32" s="774">
        <f t="shared" si="13"/>
        <v>100</v>
      </c>
      <c r="V32" s="773" t="s">
        <v>17</v>
      </c>
      <c r="W32" s="774">
        <f t="shared" si="14"/>
        <v>100</v>
      </c>
      <c r="X32" s="1815"/>
      <c r="Y32" s="3194" t="s">
        <v>2568</v>
      </c>
      <c r="Z32" s="1816">
        <f t="shared" si="15"/>
        <v>111</v>
      </c>
      <c r="AA32" s="1813">
        <f t="shared" si="3"/>
        <v>1</v>
      </c>
      <c r="AB32" s="1813">
        <f t="shared" si="4"/>
        <v>1</v>
      </c>
      <c r="AC32" s="1813">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94"/>
      <c r="Q33" s="1812">
        <f t="shared" si="11"/>
        <v>111</v>
      </c>
      <c r="R33" s="773" t="s">
        <v>17</v>
      </c>
      <c r="S33" s="774">
        <f t="shared" si="12"/>
        <v>100</v>
      </c>
      <c r="T33" s="773" t="s">
        <v>17</v>
      </c>
      <c r="U33" s="774">
        <f t="shared" si="13"/>
        <v>100</v>
      </c>
      <c r="V33" s="773" t="s">
        <v>17</v>
      </c>
      <c r="W33" s="774">
        <f t="shared" si="14"/>
        <v>100</v>
      </c>
      <c r="X33" s="1815"/>
      <c r="Y33" s="3194"/>
      <c r="Z33" s="1816">
        <f t="shared" si="15"/>
        <v>111</v>
      </c>
      <c r="AA33" s="1813">
        <f t="shared" si="3"/>
        <v>1</v>
      </c>
      <c r="AB33" s="1813">
        <f t="shared" si="4"/>
        <v>1</v>
      </c>
      <c r="AC33" s="1813">
        <f t="shared" si="5"/>
        <v>1</v>
      </c>
    </row>
    <row r="34" spans="1:29" ht="15.75" thickBot="1">
      <c r="A34" s="477"/>
      <c r="B34" s="2603">
        <v>111</v>
      </c>
      <c r="C34" s="436"/>
      <c r="D34" s="437">
        <v>100</v>
      </c>
      <c r="E34" s="2698"/>
      <c r="F34" s="438">
        <f>SUMIF(95:95,E34,96:96)-SUMIF(95:95,C34,96:96)+100</f>
        <v>100</v>
      </c>
      <c r="G34" s="2698"/>
      <c r="H34" s="437">
        <f>SUMIF(95:95,G34,96:96)-SUMIF(95:95,C34,96:96)+100</f>
        <v>100</v>
      </c>
      <c r="I34" s="2698"/>
      <c r="J34" s="437">
        <f>SUMIF(95:95,I34,96:96)-SUMIF(95:95,C34,96:96)+100</f>
        <v>100</v>
      </c>
      <c r="K34" s="612"/>
      <c r="L34" s="1142"/>
      <c r="M34" s="1133"/>
      <c r="N34" s="1133"/>
      <c r="O34" s="1141"/>
      <c r="P34" s="3194"/>
      <c r="Q34" s="1812">
        <f t="shared" si="11"/>
        <v>111</v>
      </c>
      <c r="R34" s="773" t="s">
        <v>17</v>
      </c>
      <c r="S34" s="774">
        <f t="shared" si="12"/>
        <v>100</v>
      </c>
      <c r="T34" s="773" t="s">
        <v>17</v>
      </c>
      <c r="U34" s="774">
        <f t="shared" si="13"/>
        <v>100</v>
      </c>
      <c r="V34" s="773" t="s">
        <v>17</v>
      </c>
      <c r="W34" s="774">
        <f t="shared" si="14"/>
        <v>100</v>
      </c>
      <c r="X34" s="1815"/>
      <c r="Y34" s="3194"/>
      <c r="Z34" s="1816">
        <f t="shared" si="15"/>
        <v>111</v>
      </c>
      <c r="AA34" s="1813">
        <f t="shared" si="3"/>
        <v>1</v>
      </c>
      <c r="AB34" s="1813">
        <f t="shared" si="4"/>
        <v>1</v>
      </c>
      <c r="AC34" s="1813">
        <f t="shared" si="5"/>
        <v>1</v>
      </c>
    </row>
    <row r="35" spans="1:29" ht="15">
      <c r="A35" s="478" t="s">
        <v>2580</v>
      </c>
      <c r="B35" s="479"/>
      <c r="C35" s="1409" t="s">
        <v>1</v>
      </c>
      <c r="D35" s="1410"/>
      <c r="E35" s="1411"/>
      <c r="F35" s="1412"/>
      <c r="G35" s="1413"/>
      <c r="H35" s="1414"/>
      <c r="I35" s="1411"/>
      <c r="J35" s="1414"/>
      <c r="K35" s="782"/>
      <c r="L35" s="1145"/>
      <c r="M35" s="1146"/>
      <c r="N35" s="1133"/>
      <c r="O35" s="1146"/>
      <c r="P35" s="3176" t="str">
        <f>A35</f>
        <v>成交单价（元/平方米）</v>
      </c>
      <c r="Q35" s="3176"/>
      <c r="R35" s="3234">
        <f>E35</f>
        <v>0</v>
      </c>
      <c r="S35" s="3234"/>
      <c r="T35" s="3234">
        <f>G35</f>
        <v>0</v>
      </c>
      <c r="U35" s="3234"/>
      <c r="V35" s="3234">
        <f>I35</f>
        <v>0</v>
      </c>
      <c r="W35" s="3234"/>
      <c r="X35" s="758"/>
      <c r="Y35" s="780"/>
      <c r="Z35" s="758"/>
      <c r="AA35" s="758"/>
      <c r="AB35" s="758"/>
      <c r="AC35" s="758"/>
    </row>
    <row r="36" spans="1:29" ht="15.75" thickBot="1">
      <c r="A36" s="485" t="s">
        <v>2672</v>
      </c>
      <c r="B36" s="486"/>
      <c r="C36" s="1415" t="e">
        <f>R37</f>
        <v>#DIV/0!</v>
      </c>
      <c r="D36" s="1416"/>
      <c r="E36" s="1417" t="e">
        <f>R36</f>
        <v>#DIV/0!</v>
      </c>
      <c r="F36" s="1417"/>
      <c r="G36" s="1415" t="e">
        <f>T36</f>
        <v>#DIV/0!</v>
      </c>
      <c r="H36" s="1416"/>
      <c r="I36" s="1417" t="e">
        <f>V36</f>
        <v>#DIV/0!</v>
      </c>
      <c r="J36" s="1416"/>
      <c r="K36" s="783"/>
      <c r="L36" s="1145"/>
      <c r="M36" s="1146"/>
      <c r="N36" s="1133"/>
      <c r="O36" s="1146"/>
      <c r="P36" s="3176" t="str">
        <f>A36</f>
        <v>比较价值（元/平方米）</v>
      </c>
      <c r="Q36" s="3176"/>
      <c r="R36" s="3234" t="e">
        <f>IF(F1="售价",ROUND(PRODUCT(R35,AA7:AA34),0),ROUND(PRODUCT(R35,AA7:AA34),1))</f>
        <v>#DIV/0!</v>
      </c>
      <c r="S36" s="3234"/>
      <c r="T36" s="3234" t="e">
        <f>IF(F1="售价",ROUND(PRODUCT(T35,AB7:AB34),0),ROUND(PRODUCT(T35,AB7:AB34),1))</f>
        <v>#DIV/0!</v>
      </c>
      <c r="U36" s="3234"/>
      <c r="V36" s="3234" t="e">
        <f>IF(F1="售价",ROUND(PRODUCT(V35,AC7:AC34),0),ROUND(PRODUCT(V35,AC7:AC34),1))</f>
        <v>#DIV/0!</v>
      </c>
      <c r="W36" s="3234"/>
      <c r="X36" s="758"/>
      <c r="Y36" s="758"/>
      <c r="Z36" s="758"/>
      <c r="AA36" s="758"/>
      <c r="AB36" s="758"/>
      <c r="AC36" s="758"/>
    </row>
    <row r="37" spans="1:29" ht="15.75" thickBot="1">
      <c r="A37" s="491" t="s">
        <v>2673</v>
      </c>
      <c r="B37" s="492"/>
      <c r="C37" s="1419" t="e">
        <f>R37</f>
        <v>#DIV/0!</v>
      </c>
      <c r="D37" s="1419"/>
      <c r="E37" s="1419"/>
      <c r="F37" s="1419"/>
      <c r="G37" s="1419"/>
      <c r="H37" s="1419"/>
      <c r="I37" s="1419"/>
      <c r="J37" s="1419"/>
      <c r="K37" s="784"/>
      <c r="L37" s="1145"/>
      <c r="M37" s="1146"/>
      <c r="N37" s="1146"/>
      <c r="O37" s="1146"/>
      <c r="P37" s="3196" t="str">
        <f>A37</f>
        <v>估价对象XX用房的比较价值（楼面单价，元/平方米）</v>
      </c>
      <c r="Q37" s="3197"/>
      <c r="R37" s="3233" t="e">
        <f>IF(F1="售价",ROUND(AVERAGE(R36:V36),0),ROUND(AVERAGE(R36:V36),1))</f>
        <v>#DIV/0!</v>
      </c>
      <c r="S37" s="3233"/>
      <c r="T37" s="3233"/>
      <c r="U37" s="3233"/>
      <c r="V37" s="3233"/>
      <c r="W37" s="3233"/>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2677</v>
      </c>
      <c r="B45" s="758"/>
      <c r="C45" s="763"/>
      <c r="D45" s="763"/>
      <c r="E45" s="763"/>
      <c r="F45" s="764"/>
      <c r="G45" s="764"/>
      <c r="H45" s="763"/>
      <c r="I45" s="763"/>
      <c r="J45" s="763"/>
      <c r="K45" s="765"/>
      <c r="L45" s="766"/>
      <c r="M45" s="763"/>
      <c r="N45" s="763"/>
      <c r="O45" s="763"/>
      <c r="P45" s="502"/>
      <c r="Q45" s="503"/>
    </row>
    <row r="46" spans="1:29" s="507" customFormat="1" ht="15">
      <c r="A46" s="504" t="s">
        <v>2551</v>
      </c>
      <c r="B46" s="505"/>
      <c r="C46" s="1576" t="str">
        <f>YEAR(C7)&amp;"-"&amp;MONTH(C7)</f>
        <v>2018-3</v>
      </c>
      <c r="D46" s="1577">
        <f>EDATE(C46,-1)</f>
        <v>43132</v>
      </c>
      <c r="E46" s="1577">
        <f t="shared" ref="E46:O46" si="16">EDATE(D46,-1)</f>
        <v>43101</v>
      </c>
      <c r="F46" s="1577">
        <f t="shared" si="16"/>
        <v>43070</v>
      </c>
      <c r="G46" s="1577">
        <f t="shared" si="16"/>
        <v>43040</v>
      </c>
      <c r="H46" s="1577">
        <f t="shared" si="16"/>
        <v>43009</v>
      </c>
      <c r="I46" s="1577">
        <f t="shared" si="16"/>
        <v>42979</v>
      </c>
      <c r="J46" s="1577">
        <f t="shared" si="16"/>
        <v>42948</v>
      </c>
      <c r="K46" s="1577">
        <f t="shared" si="16"/>
        <v>42917</v>
      </c>
      <c r="L46" s="1577">
        <f t="shared" si="16"/>
        <v>42887</v>
      </c>
      <c r="M46" s="1577">
        <f t="shared" si="16"/>
        <v>42856</v>
      </c>
      <c r="N46" s="1577">
        <f t="shared" si="16"/>
        <v>42826</v>
      </c>
      <c r="O46" s="1577">
        <f t="shared" si="16"/>
        <v>42795</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2588</v>
      </c>
      <c r="B48" s="515"/>
      <c r="C48" s="516"/>
      <c r="D48" s="517"/>
      <c r="E48" s="517"/>
      <c r="F48" s="517"/>
      <c r="G48" s="517"/>
      <c r="H48" s="517"/>
      <c r="I48" s="517"/>
      <c r="J48" s="517"/>
      <c r="K48" s="517"/>
      <c r="L48" s="517"/>
      <c r="M48" s="518"/>
      <c r="N48" s="517"/>
      <c r="O48" s="519"/>
      <c r="P48" s="503"/>
      <c r="Q48" s="503"/>
    </row>
    <row r="49" spans="1:17" s="116" customFormat="1" ht="15">
      <c r="A49" s="520" t="s">
        <v>2553</v>
      </c>
      <c r="B49" s="509"/>
      <c r="C49" s="521" t="s">
        <v>2655</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2591</v>
      </c>
      <c r="B51" s="527" t="s">
        <v>2557</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2560</v>
      </c>
      <c r="C53" s="538" t="s">
        <v>2592</v>
      </c>
      <c r="D53" s="538" t="s">
        <v>2593</v>
      </c>
      <c r="E53" s="538" t="s">
        <v>2594</v>
      </c>
      <c r="F53" s="538" t="s">
        <v>2595</v>
      </c>
      <c r="G53" s="538" t="s">
        <v>2596</v>
      </c>
      <c r="H53" s="538" t="s">
        <v>2597</v>
      </c>
      <c r="I53" s="538" t="s">
        <v>2598</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2562</v>
      </c>
      <c r="B61" s="527" t="s">
        <v>2605</v>
      </c>
      <c r="C61" s="572" t="s">
        <v>2600</v>
      </c>
      <c r="D61" s="572" t="s">
        <v>2601</v>
      </c>
      <c r="E61" s="572" t="s">
        <v>2602</v>
      </c>
      <c r="F61" s="572" t="s">
        <v>2603</v>
      </c>
      <c r="G61" s="572" t="s">
        <v>2604</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2743</v>
      </c>
      <c r="C63" s="577" t="s">
        <v>2600</v>
      </c>
      <c r="D63" s="577" t="s">
        <v>2601</v>
      </c>
      <c r="E63" s="577" t="s">
        <v>2602</v>
      </c>
      <c r="F63" s="577" t="s">
        <v>2603</v>
      </c>
      <c r="G63" s="577" t="s">
        <v>2604</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2692</v>
      </c>
      <c r="C65" s="659" t="s">
        <v>2678</v>
      </c>
      <c r="D65" s="659" t="s">
        <v>2679</v>
      </c>
      <c r="E65" s="659" t="s">
        <v>2680</v>
      </c>
      <c r="F65" s="659" t="s">
        <v>2681</v>
      </c>
      <c r="G65" s="659" t="s">
        <v>2682</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2612</v>
      </c>
      <c r="C67" s="577" t="s">
        <v>2600</v>
      </c>
      <c r="D67" s="577" t="s">
        <v>2601</v>
      </c>
      <c r="E67" s="577" t="s">
        <v>2602</v>
      </c>
      <c r="F67" s="577" t="s">
        <v>2603</v>
      </c>
      <c r="G67" s="577" t="s">
        <v>2604</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2732</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6" customFormat="1" ht="15.75" thickTop="1">
      <c r="A71" s="578"/>
      <c r="B71" s="537">
        <f>B23</f>
        <v>111</v>
      </c>
      <c r="C71" s="548"/>
      <c r="D71" s="548"/>
      <c r="E71" s="548"/>
      <c r="F71" s="548"/>
      <c r="G71" s="553"/>
      <c r="H71" s="553"/>
      <c r="I71" s="553"/>
      <c r="J71" s="553"/>
      <c r="K71" s="553"/>
      <c r="L71" s="579"/>
      <c r="M71" s="580"/>
      <c r="N71" s="1153"/>
      <c r="O71" s="1153"/>
      <c r="P71" s="45"/>
      <c r="Q71" s="503"/>
    </row>
    <row r="72" spans="1:17" s="116" customFormat="1" ht="15.75" thickBot="1">
      <c r="A72" s="578"/>
      <c r="B72" s="542"/>
      <c r="C72" s="559"/>
      <c r="D72" s="535"/>
      <c r="E72" s="535"/>
      <c r="F72" s="535"/>
      <c r="G72" s="535"/>
      <c r="H72" s="535"/>
      <c r="I72" s="535"/>
      <c r="J72" s="535"/>
      <c r="K72" s="535"/>
      <c r="L72" s="535"/>
      <c r="M72" s="536"/>
      <c r="N72" s="1155"/>
      <c r="O72" s="1155"/>
      <c r="P72" s="45"/>
      <c r="Q72" s="503"/>
    </row>
    <row r="73" spans="1:17" s="116" customFormat="1" ht="15.75" thickTop="1">
      <c r="A73" s="578"/>
      <c r="B73" s="537">
        <f>B24</f>
        <v>111</v>
      </c>
      <c r="C73" s="548"/>
      <c r="D73" s="548"/>
      <c r="E73" s="548"/>
      <c r="F73" s="548"/>
      <c r="G73" s="553"/>
      <c r="H73" s="553"/>
      <c r="I73" s="553"/>
      <c r="J73" s="553"/>
      <c r="K73" s="553"/>
      <c r="L73" s="553"/>
      <c r="M73" s="580"/>
      <c r="N73" s="1153"/>
      <c r="O73" s="1153"/>
      <c r="P73" s="45"/>
      <c r="Q73" s="503"/>
    </row>
    <row r="74" spans="1:17" s="116"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2566</v>
      </c>
      <c r="B77" s="527" t="s">
        <v>2619</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2736</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2744</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2746</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2747</v>
      </c>
      <c r="B1" s="394"/>
      <c r="C1" s="395" t="s">
        <v>2798</v>
      </c>
      <c r="D1" s="754"/>
      <c r="E1" s="754"/>
      <c r="F1" s="753" t="s">
        <v>2646</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2333</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2335</v>
      </c>
      <c r="B3" s="608" t="e">
        <f>ROUND(IF(D3="",B2*10000/'数据-汇总表'!E3,B2*10000/D3),0)</f>
        <v>#DIV/0!</v>
      </c>
      <c r="C3" s="246" t="s">
        <v>2749</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2648</v>
      </c>
      <c r="B4" s="401"/>
      <c r="C4" s="3177" t="s">
        <v>2649</v>
      </c>
      <c r="D4" s="3178"/>
      <c r="E4" s="3179" t="s">
        <v>2650</v>
      </c>
      <c r="F4" s="3180"/>
      <c r="G4" s="3177" t="s">
        <v>2651</v>
      </c>
      <c r="H4" s="3178"/>
      <c r="I4" s="3177" t="s">
        <v>2652</v>
      </c>
      <c r="J4" s="3178"/>
      <c r="K4" s="609" t="s">
        <v>2653</v>
      </c>
      <c r="L4" s="1132"/>
      <c r="M4" s="1133"/>
      <c r="N4" s="1133"/>
      <c r="O4" s="1133"/>
      <c r="P4" s="3181" t="s">
        <v>2654</v>
      </c>
      <c r="Q4" s="3182"/>
      <c r="R4" s="3162" t="s">
        <v>2650</v>
      </c>
      <c r="S4" s="3163"/>
      <c r="T4" s="3162" t="s">
        <v>2651</v>
      </c>
      <c r="U4" s="3163"/>
      <c r="V4" s="3189" t="s">
        <v>2652</v>
      </c>
      <c r="W4" s="3189"/>
      <c r="X4" s="1815"/>
      <c r="Y4" s="3162" t="s">
        <v>2654</v>
      </c>
      <c r="Z4" s="3163"/>
      <c r="AA4" s="3157" t="s">
        <v>2650</v>
      </c>
      <c r="AB4" s="3158" t="s">
        <v>2651</v>
      </c>
      <c r="AC4" s="3157" t="s">
        <v>2652</v>
      </c>
    </row>
    <row r="5" spans="1:29" ht="15">
      <c r="A5" s="403"/>
      <c r="B5" s="404"/>
      <c r="C5" s="3168" t="s">
        <v>2545</v>
      </c>
      <c r="D5" s="3169"/>
      <c r="E5" s="3241" t="s">
        <v>2546</v>
      </c>
      <c r="F5" s="3242"/>
      <c r="G5" s="3168" t="s">
        <v>2547</v>
      </c>
      <c r="H5" s="3169"/>
      <c r="I5" s="3168" t="s">
        <v>2548</v>
      </c>
      <c r="J5" s="3169"/>
      <c r="K5" s="609"/>
      <c r="L5" s="1132"/>
      <c r="M5" s="1133"/>
      <c r="N5" s="1133"/>
      <c r="O5" s="1133"/>
      <c r="P5" s="3183"/>
      <c r="Q5" s="3184"/>
      <c r="R5" s="3164"/>
      <c r="S5" s="3165"/>
      <c r="T5" s="3164"/>
      <c r="U5" s="3165"/>
      <c r="V5" s="3189"/>
      <c r="W5" s="3189"/>
      <c r="X5" s="1815"/>
      <c r="Y5" s="3164"/>
      <c r="Z5" s="3165"/>
      <c r="AA5" s="3158"/>
      <c r="AB5" s="3158"/>
      <c r="AC5" s="3158"/>
    </row>
    <row r="6" spans="1:29" ht="15.75" thickBot="1">
      <c r="A6" s="405"/>
      <c r="B6" s="406"/>
      <c r="C6" s="3260" t="s">
        <v>2799</v>
      </c>
      <c r="D6" s="3175"/>
      <c r="E6" s="3261" t="s">
        <v>2799</v>
      </c>
      <c r="F6" s="3232"/>
      <c r="G6" s="3260" t="s">
        <v>2799</v>
      </c>
      <c r="H6" s="3175"/>
      <c r="I6" s="3260" t="s">
        <v>2799</v>
      </c>
      <c r="J6" s="3175"/>
      <c r="K6" s="609" t="s">
        <v>2550</v>
      </c>
      <c r="L6" s="1132"/>
      <c r="M6" s="1133"/>
      <c r="N6" s="1133"/>
      <c r="O6" s="1133"/>
      <c r="P6" s="3185"/>
      <c r="Q6" s="3186"/>
      <c r="R6" s="3164"/>
      <c r="S6" s="3165"/>
      <c r="T6" s="3187"/>
      <c r="U6" s="3188"/>
      <c r="V6" s="3189"/>
      <c r="W6" s="3189"/>
      <c r="X6" s="1815"/>
      <c r="Y6" s="3187"/>
      <c r="Z6" s="3188"/>
      <c r="AA6" s="3159"/>
      <c r="AB6" s="3159"/>
      <c r="AC6" s="3159"/>
    </row>
    <row r="7" spans="1:29" s="116" customFormat="1" ht="15.75" thickBot="1">
      <c r="A7" s="407" t="s">
        <v>2551</v>
      </c>
      <c r="B7" s="408"/>
      <c r="C7" s="409">
        <f>'数据-取费表'!B2</f>
        <v>43160</v>
      </c>
      <c r="D7" s="410">
        <v>100</v>
      </c>
      <c r="E7" s="411"/>
      <c r="F7" s="412">
        <f>SUMIF(65:65,YEAR(E7)&amp;"-"&amp;INT((MONTH(E7)+2)/3),66:66)</f>
        <v>0</v>
      </c>
      <c r="G7" s="2697"/>
      <c r="H7" s="410">
        <f>SUMIF(65:65,YEAR(G7)&amp;"-"&amp;INT((MONTH(G7)+2)/3),66:66)</f>
        <v>0</v>
      </c>
      <c r="I7" s="2697"/>
      <c r="J7" s="410">
        <f>SUMIF(65:65,YEAR(I7)&amp;"-"&amp;INT((MONTH(I7)+2)/3),66:66)</f>
        <v>0</v>
      </c>
      <c r="K7" s="610"/>
      <c r="L7" s="1134"/>
      <c r="M7" s="1135"/>
      <c r="N7" s="1135"/>
      <c r="O7" s="1135"/>
      <c r="P7" s="3160" t="s">
        <v>2552</v>
      </c>
      <c r="Q7" s="3190"/>
      <c r="R7" s="769" t="s">
        <v>17</v>
      </c>
      <c r="S7" s="770">
        <f t="shared" ref="S7:S15" si="0">F7</f>
        <v>0</v>
      </c>
      <c r="T7" s="769" t="s">
        <v>17</v>
      </c>
      <c r="U7" s="770">
        <f t="shared" ref="U7:U15" si="1">H7</f>
        <v>0</v>
      </c>
      <c r="V7" s="769" t="s">
        <v>17</v>
      </c>
      <c r="W7" s="770">
        <f t="shared" ref="W7:W15" si="2">J7</f>
        <v>0</v>
      </c>
      <c r="X7" s="771"/>
      <c r="Y7" s="3160" t="s">
        <v>2552</v>
      </c>
      <c r="Z7" s="3161"/>
      <c r="AA7" s="772" t="e">
        <f>D7/F7</f>
        <v>#DIV/0!</v>
      </c>
      <c r="AB7" s="772" t="e">
        <f>D7/H7</f>
        <v>#DIV/0!</v>
      </c>
      <c r="AC7" s="772" t="e">
        <f>D7/J7</f>
        <v>#DIV/0!</v>
      </c>
    </row>
    <row r="8" spans="1:29" s="116" customFormat="1" ht="15.75" thickBot="1">
      <c r="A8" s="407" t="s">
        <v>2553</v>
      </c>
      <c r="B8" s="408"/>
      <c r="C8" s="413" t="s">
        <v>2554</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60" t="s">
        <v>2555</v>
      </c>
      <c r="Q8" s="3161"/>
      <c r="R8" s="769" t="s">
        <v>17</v>
      </c>
      <c r="S8" s="770">
        <f t="shared" si="0"/>
        <v>0</v>
      </c>
      <c r="T8" s="769" t="s">
        <v>17</v>
      </c>
      <c r="U8" s="770">
        <f t="shared" si="1"/>
        <v>0</v>
      </c>
      <c r="V8" s="769" t="s">
        <v>17</v>
      </c>
      <c r="W8" s="770">
        <f t="shared" si="2"/>
        <v>0</v>
      </c>
      <c r="X8" s="771"/>
      <c r="Y8" s="3160" t="s">
        <v>2555</v>
      </c>
      <c r="Z8" s="3161"/>
      <c r="AA8" s="772" t="e">
        <f t="shared" ref="AA8:AA40" si="3">D8/F8</f>
        <v>#DIV/0!</v>
      </c>
      <c r="AB8" s="772" t="e">
        <f t="shared" ref="AB8:AB40" si="4">D8/H8</f>
        <v>#DIV/0!</v>
      </c>
      <c r="AC8" s="772" t="e">
        <f t="shared" ref="AC8:AC40" si="5">D8/J8</f>
        <v>#DIV/0!</v>
      </c>
    </row>
    <row r="9" spans="1:29" s="116" customFormat="1">
      <c r="A9" s="414" t="s">
        <v>2556</v>
      </c>
      <c r="B9" s="70" t="s">
        <v>2557</v>
      </c>
      <c r="C9" s="2700"/>
      <c r="D9" s="134">
        <v>100</v>
      </c>
      <c r="E9" s="2700"/>
      <c r="F9" s="134">
        <f>SUMIF(70:70,E9,71:71)-SUMIF(70:70,C9,71:71)+100</f>
        <v>100</v>
      </c>
      <c r="G9" s="2700"/>
      <c r="H9" s="134">
        <f>SUMIF(70:70,G9,71:71)-SUMIF(70:70,C9,71:71)+100</f>
        <v>100</v>
      </c>
      <c r="I9" s="2700"/>
      <c r="J9" s="134">
        <f>SUMIF(70:70,I9,71:71)-SUMIF(70:70,C9,71:71)+100</f>
        <v>100</v>
      </c>
      <c r="K9" s="610"/>
      <c r="L9" s="1134"/>
      <c r="M9" s="1135"/>
      <c r="N9" s="1135"/>
      <c r="O9" s="1136"/>
      <c r="P9" s="3176" t="s">
        <v>2558</v>
      </c>
      <c r="Q9" s="1797" t="str">
        <f t="shared" ref="Q9:Q15" si="6">B9</f>
        <v>用途</v>
      </c>
      <c r="R9" s="769" t="s">
        <v>17</v>
      </c>
      <c r="S9" s="770">
        <f t="shared" si="0"/>
        <v>100</v>
      </c>
      <c r="T9" s="769" t="s">
        <v>17</v>
      </c>
      <c r="U9" s="770">
        <f t="shared" si="1"/>
        <v>100</v>
      </c>
      <c r="V9" s="769" t="s">
        <v>17</v>
      </c>
      <c r="W9" s="770">
        <f t="shared" si="2"/>
        <v>100</v>
      </c>
      <c r="X9" s="771"/>
      <c r="Y9" s="3034" t="s">
        <v>2559</v>
      </c>
      <c r="Z9" s="54" t="str">
        <f t="shared" ref="Z9:Z15" si="7">Q9</f>
        <v>用途</v>
      </c>
      <c r="AA9" s="772">
        <f t="shared" si="3"/>
        <v>1</v>
      </c>
      <c r="AB9" s="772">
        <f t="shared" si="4"/>
        <v>1</v>
      </c>
      <c r="AC9" s="772">
        <f t="shared" si="5"/>
        <v>1</v>
      </c>
    </row>
    <row r="10" spans="1:29" s="426" customFormat="1" ht="27">
      <c r="A10" s="420"/>
      <c r="B10" s="421" t="s">
        <v>2560</v>
      </c>
      <c r="C10" s="431"/>
      <c r="D10" s="135">
        <v>100</v>
      </c>
      <c r="E10" s="431"/>
      <c r="F10" s="135">
        <f>ROUND(100/'数据-取费表'!G16,0)</f>
        <v>128</v>
      </c>
      <c r="G10" s="431"/>
      <c r="H10" s="135">
        <f>ROUND(100/'数据-取费表'!G16,0)</f>
        <v>128</v>
      </c>
      <c r="I10" s="431"/>
      <c r="J10" s="135">
        <f>ROUND(100/'数据-取费表'!G16,0)</f>
        <v>128</v>
      </c>
      <c r="K10" s="671"/>
      <c r="L10" s="1137"/>
      <c r="M10" s="1138"/>
      <c r="N10" s="1138"/>
      <c r="O10" s="1139"/>
      <c r="P10" s="3176"/>
      <c r="Q10" s="1797" t="str">
        <f t="shared" si="6"/>
        <v>土地使用年限（年）</v>
      </c>
      <c r="R10" s="769" t="s">
        <v>17</v>
      </c>
      <c r="S10" s="770">
        <f t="shared" si="0"/>
        <v>128</v>
      </c>
      <c r="T10" s="769" t="s">
        <v>17</v>
      </c>
      <c r="U10" s="770">
        <f t="shared" si="1"/>
        <v>128</v>
      </c>
      <c r="V10" s="769" t="s">
        <v>17</v>
      </c>
      <c r="W10" s="770">
        <f t="shared" si="2"/>
        <v>128</v>
      </c>
      <c r="X10" s="771"/>
      <c r="Y10" s="3034"/>
      <c r="Z10" s="54" t="str">
        <f t="shared" si="7"/>
        <v>土地使用年限（年）</v>
      </c>
      <c r="AA10" s="772">
        <f t="shared" si="3"/>
        <v>0.78125</v>
      </c>
      <c r="AB10" s="772">
        <f t="shared" si="4"/>
        <v>0.78125</v>
      </c>
      <c r="AC10" s="772">
        <f t="shared" si="5"/>
        <v>0.78125</v>
      </c>
    </row>
    <row r="11" spans="1:29" ht="15">
      <c r="A11" s="427"/>
      <c r="B11" s="421" t="s">
        <v>2561</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76"/>
      <c r="Q11" s="1797" t="str">
        <f t="shared" si="6"/>
        <v>容积率</v>
      </c>
      <c r="R11" s="769" t="s">
        <v>17</v>
      </c>
      <c r="S11" s="770" t="e">
        <f t="shared" si="0"/>
        <v>#N/A</v>
      </c>
      <c r="T11" s="769" t="s">
        <v>17</v>
      </c>
      <c r="U11" s="770" t="e">
        <f t="shared" si="1"/>
        <v>#N/A</v>
      </c>
      <c r="V11" s="769" t="s">
        <v>17</v>
      </c>
      <c r="W11" s="770" t="e">
        <f t="shared" si="2"/>
        <v>#N/A</v>
      </c>
      <c r="X11" s="771"/>
      <c r="Y11" s="3034"/>
      <c r="Z11" s="54" t="str">
        <f t="shared" si="7"/>
        <v>容积率</v>
      </c>
      <c r="AA11" s="772" t="e">
        <f t="shared" si="3"/>
        <v>#N/A</v>
      </c>
      <c r="AB11" s="772" t="e">
        <f t="shared" si="4"/>
        <v>#N/A</v>
      </c>
      <c r="AC11" s="772" t="e">
        <f t="shared" si="5"/>
        <v>#N/A</v>
      </c>
    </row>
    <row r="12" spans="1:29" s="116" customFormat="1" ht="15">
      <c r="A12" s="430"/>
      <c r="B12" s="2601">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76"/>
      <c r="Q12" s="1797">
        <f t="shared" si="6"/>
        <v>111</v>
      </c>
      <c r="R12" s="769" t="s">
        <v>17</v>
      </c>
      <c r="S12" s="770">
        <f t="shared" si="0"/>
        <v>100</v>
      </c>
      <c r="T12" s="769" t="s">
        <v>17</v>
      </c>
      <c r="U12" s="770">
        <f t="shared" si="1"/>
        <v>100</v>
      </c>
      <c r="V12" s="769" t="s">
        <v>17</v>
      </c>
      <c r="W12" s="770">
        <f t="shared" si="2"/>
        <v>100</v>
      </c>
      <c r="X12" s="771"/>
      <c r="Y12" s="3034"/>
      <c r="Z12" s="54">
        <f t="shared" si="7"/>
        <v>111</v>
      </c>
      <c r="AA12" s="772">
        <f>D12/F12</f>
        <v>1</v>
      </c>
      <c r="AB12" s="772">
        <f>D12/H12</f>
        <v>1</v>
      </c>
      <c r="AC12" s="772">
        <f>D12/J12</f>
        <v>1</v>
      </c>
    </row>
    <row r="13" spans="1:29" ht="15">
      <c r="A13" s="427"/>
      <c r="B13" s="2601">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76"/>
      <c r="Q13" s="1797">
        <f t="shared" si="6"/>
        <v>111</v>
      </c>
      <c r="R13" s="769" t="s">
        <v>17</v>
      </c>
      <c r="S13" s="770">
        <f t="shared" si="0"/>
        <v>100</v>
      </c>
      <c r="T13" s="769" t="s">
        <v>17</v>
      </c>
      <c r="U13" s="770">
        <f t="shared" si="1"/>
        <v>100</v>
      </c>
      <c r="V13" s="769" t="s">
        <v>17</v>
      </c>
      <c r="W13" s="770">
        <f t="shared" si="2"/>
        <v>100</v>
      </c>
      <c r="X13" s="771"/>
      <c r="Y13" s="3034"/>
      <c r="Z13" s="54">
        <f t="shared" si="7"/>
        <v>111</v>
      </c>
      <c r="AA13" s="772">
        <f t="shared" si="3"/>
        <v>1</v>
      </c>
      <c r="AB13" s="772">
        <f t="shared" si="4"/>
        <v>1</v>
      </c>
      <c r="AC13" s="772">
        <f t="shared" si="5"/>
        <v>1</v>
      </c>
    </row>
    <row r="14" spans="1:29" ht="15.75" thickBot="1">
      <c r="A14" s="435"/>
      <c r="B14" s="2603">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76"/>
      <c r="Q14" s="1797">
        <f t="shared" si="6"/>
        <v>111</v>
      </c>
      <c r="R14" s="769" t="s">
        <v>17</v>
      </c>
      <c r="S14" s="770">
        <f t="shared" si="0"/>
        <v>100</v>
      </c>
      <c r="T14" s="769" t="s">
        <v>17</v>
      </c>
      <c r="U14" s="770">
        <f t="shared" si="1"/>
        <v>100</v>
      </c>
      <c r="V14" s="769" t="s">
        <v>17</v>
      </c>
      <c r="W14" s="770">
        <f t="shared" si="2"/>
        <v>100</v>
      </c>
      <c r="X14" s="771"/>
      <c r="Y14" s="3034"/>
      <c r="Z14" s="54">
        <f t="shared" si="7"/>
        <v>111</v>
      </c>
      <c r="AA14" s="772">
        <f t="shared" si="3"/>
        <v>1</v>
      </c>
      <c r="AB14" s="772">
        <f t="shared" si="4"/>
        <v>1</v>
      </c>
      <c r="AC14" s="772">
        <f t="shared" si="5"/>
        <v>1</v>
      </c>
    </row>
    <row r="15" spans="1:29" ht="57">
      <c r="A15" s="439" t="s">
        <v>2562</v>
      </c>
      <c r="B15" s="628" t="s">
        <v>2800</v>
      </c>
      <c r="C15" s="269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91" t="s">
        <v>2563</v>
      </c>
      <c r="Q15" s="1812" t="str">
        <f t="shared" si="6"/>
        <v>产业集聚程度</v>
      </c>
      <c r="R15" s="773" t="s">
        <v>17</v>
      </c>
      <c r="S15" s="774">
        <f t="shared" si="0"/>
        <v>100</v>
      </c>
      <c r="T15" s="773" t="s">
        <v>17</v>
      </c>
      <c r="U15" s="774">
        <f t="shared" si="1"/>
        <v>100</v>
      </c>
      <c r="V15" s="773" t="s">
        <v>17</v>
      </c>
      <c r="W15" s="774">
        <f t="shared" si="2"/>
        <v>100</v>
      </c>
      <c r="X15" s="1815"/>
      <c r="Y15" s="3191" t="s">
        <v>2563</v>
      </c>
      <c r="Z15" s="1816" t="str">
        <f t="shared" si="7"/>
        <v>产业集聚程度</v>
      </c>
      <c r="AA15" s="1813">
        <f t="shared" si="3"/>
        <v>1</v>
      </c>
      <c r="AB15" s="1813">
        <f t="shared" si="4"/>
        <v>1</v>
      </c>
      <c r="AC15" s="1813">
        <f t="shared" si="5"/>
        <v>1</v>
      </c>
    </row>
    <row r="16" spans="1:29" ht="15">
      <c r="A16" s="427"/>
      <c r="B16" s="629"/>
      <c r="C16" s="446"/>
      <c r="D16" s="447"/>
      <c r="E16" s="2612"/>
      <c r="F16" s="447"/>
      <c r="G16" s="2612"/>
      <c r="H16" s="449"/>
      <c r="I16" s="2612"/>
      <c r="J16" s="447"/>
      <c r="K16" s="671"/>
      <c r="L16" s="1142"/>
      <c r="M16" s="1133"/>
      <c r="N16" s="1133"/>
      <c r="O16" s="1141"/>
      <c r="P16" s="3192"/>
      <c r="Q16" s="1812"/>
      <c r="R16" s="773"/>
      <c r="S16" s="774"/>
      <c r="T16" s="773"/>
      <c r="U16" s="774"/>
      <c r="V16" s="773"/>
      <c r="W16" s="774"/>
      <c r="X16" s="1815"/>
      <c r="Y16" s="3192"/>
      <c r="Z16" s="1816"/>
      <c r="AA16" s="1813">
        <v>1</v>
      </c>
      <c r="AB16" s="1813">
        <v>1</v>
      </c>
      <c r="AC16" s="1813">
        <v>1</v>
      </c>
    </row>
    <row r="17" spans="1:29" ht="85.5">
      <c r="A17" s="427"/>
      <c r="B17" s="630" t="s">
        <v>2712</v>
      </c>
      <c r="C17" s="260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92"/>
      <c r="Q17" s="1812" t="str">
        <f>B17</f>
        <v>交通便捷度</v>
      </c>
      <c r="R17" s="773" t="s">
        <v>17</v>
      </c>
      <c r="S17" s="774">
        <f>F17</f>
        <v>100</v>
      </c>
      <c r="T17" s="773" t="s">
        <v>17</v>
      </c>
      <c r="U17" s="774">
        <f>H17</f>
        <v>100</v>
      </c>
      <c r="V17" s="773" t="s">
        <v>17</v>
      </c>
      <c r="W17" s="774">
        <f>J17</f>
        <v>100</v>
      </c>
      <c r="X17" s="1815"/>
      <c r="Y17" s="3192"/>
      <c r="Z17" s="1816" t="str">
        <f>Q17</f>
        <v>交通便捷度</v>
      </c>
      <c r="AA17" s="1813">
        <f t="shared" si="3"/>
        <v>1</v>
      </c>
      <c r="AB17" s="1813">
        <f t="shared" si="4"/>
        <v>1</v>
      </c>
      <c r="AC17" s="1813">
        <f t="shared" si="5"/>
        <v>1</v>
      </c>
    </row>
    <row r="18" spans="1:29" ht="15">
      <c r="A18" s="427"/>
      <c r="B18" s="631"/>
      <c r="C18" s="446"/>
      <c r="D18" s="447"/>
      <c r="E18" s="2606"/>
      <c r="F18" s="447"/>
      <c r="G18" s="2606"/>
      <c r="H18" s="447"/>
      <c r="I18" s="2605"/>
      <c r="J18" s="447"/>
      <c r="K18" s="671"/>
      <c r="L18" s="1142"/>
      <c r="M18" s="1133"/>
      <c r="N18" s="1133"/>
      <c r="O18" s="1141"/>
      <c r="P18" s="3192"/>
      <c r="Q18" s="1812"/>
      <c r="R18" s="773"/>
      <c r="S18" s="774"/>
      <c r="T18" s="773"/>
      <c r="U18" s="774"/>
      <c r="V18" s="773"/>
      <c r="W18" s="774"/>
      <c r="X18" s="1815"/>
      <c r="Y18" s="3192"/>
      <c r="Z18" s="1816"/>
      <c r="AA18" s="1813">
        <v>1</v>
      </c>
      <c r="AB18" s="1813">
        <v>1</v>
      </c>
      <c r="AC18" s="1813">
        <v>1</v>
      </c>
    </row>
    <row r="19" spans="1:29" ht="15">
      <c r="A19" s="427"/>
      <c r="B19" s="630" t="s">
        <v>2750</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92"/>
      <c r="Q19" s="1812" t="str">
        <f t="shared" ref="Q19:Q33" si="8">B19</f>
        <v>区域土地利用方向</v>
      </c>
      <c r="R19" s="773" t="s">
        <v>17</v>
      </c>
      <c r="S19" s="774">
        <f>F19</f>
        <v>100</v>
      </c>
      <c r="T19" s="773" t="s">
        <v>17</v>
      </c>
      <c r="U19" s="774">
        <f>H19</f>
        <v>100</v>
      </c>
      <c r="V19" s="773" t="s">
        <v>17</v>
      </c>
      <c r="W19" s="774">
        <f>J19</f>
        <v>100</v>
      </c>
      <c r="X19" s="1815"/>
      <c r="Y19" s="3192"/>
      <c r="Z19" s="1816" t="str">
        <f>Q19</f>
        <v>区域土地利用方向</v>
      </c>
      <c r="AA19" s="1813">
        <f t="shared" si="3"/>
        <v>1</v>
      </c>
      <c r="AB19" s="1813">
        <f t="shared" si="4"/>
        <v>1</v>
      </c>
      <c r="AC19" s="1813">
        <f t="shared" si="5"/>
        <v>1</v>
      </c>
    </row>
    <row r="20" spans="1:29" ht="15">
      <c r="A20" s="403"/>
      <c r="B20" s="631"/>
      <c r="C20" s="446"/>
      <c r="D20" s="447"/>
      <c r="E20" s="2606"/>
      <c r="F20" s="447"/>
      <c r="G20" s="2606"/>
      <c r="H20" s="447"/>
      <c r="I20" s="2606"/>
      <c r="J20" s="447"/>
      <c r="K20" s="811"/>
      <c r="L20" s="1142"/>
      <c r="M20" s="1133"/>
      <c r="N20" s="1133"/>
      <c r="O20" s="1141"/>
      <c r="P20" s="3192"/>
      <c r="Q20" s="1812"/>
      <c r="R20" s="773"/>
      <c r="S20" s="774"/>
      <c r="T20" s="773"/>
      <c r="U20" s="774"/>
      <c r="V20" s="773"/>
      <c r="W20" s="774"/>
      <c r="X20" s="1815"/>
      <c r="Y20" s="3192"/>
      <c r="Z20" s="1816"/>
      <c r="AA20" s="1813"/>
      <c r="AB20" s="1813"/>
      <c r="AC20" s="1813"/>
    </row>
    <row r="21" spans="1:29" ht="71.25">
      <c r="A21" s="403"/>
      <c r="B21" s="630" t="s">
        <v>2801</v>
      </c>
      <c r="C21" s="260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92"/>
      <c r="Q21" s="1812" t="str">
        <f t="shared" si="8"/>
        <v>环境状况</v>
      </c>
      <c r="R21" s="773" t="s">
        <v>17</v>
      </c>
      <c r="S21" s="774">
        <f>F21</f>
        <v>100</v>
      </c>
      <c r="T21" s="773" t="s">
        <v>17</v>
      </c>
      <c r="U21" s="774">
        <f>H21</f>
        <v>100</v>
      </c>
      <c r="V21" s="773" t="s">
        <v>17</v>
      </c>
      <c r="W21" s="774">
        <f>J21</f>
        <v>100</v>
      </c>
      <c r="X21" s="1815"/>
      <c r="Y21" s="3192"/>
      <c r="Z21" s="1816" t="str">
        <f>Q21</f>
        <v>环境状况</v>
      </c>
      <c r="AA21" s="1813">
        <f t="shared" si="3"/>
        <v>1</v>
      </c>
      <c r="AB21" s="1813">
        <f t="shared" si="4"/>
        <v>1</v>
      </c>
      <c r="AC21" s="1813">
        <f t="shared" si="5"/>
        <v>1</v>
      </c>
    </row>
    <row r="22" spans="1:29" ht="15">
      <c r="A22" s="403"/>
      <c r="B22" s="631"/>
      <c r="C22" s="446"/>
      <c r="D22" s="447"/>
      <c r="E22" s="2612"/>
      <c r="F22" s="447"/>
      <c r="G22" s="2612"/>
      <c r="H22" s="447"/>
      <c r="I22" s="446"/>
      <c r="J22" s="447"/>
      <c r="K22" s="671"/>
      <c r="L22" s="1142"/>
      <c r="M22" s="1133"/>
      <c r="N22" s="1133"/>
      <c r="O22" s="1141"/>
      <c r="P22" s="3192"/>
      <c r="Q22" s="1812"/>
      <c r="R22" s="773"/>
      <c r="S22" s="774"/>
      <c r="T22" s="773"/>
      <c r="U22" s="774"/>
      <c r="V22" s="773"/>
      <c r="W22" s="774"/>
      <c r="X22" s="1815"/>
      <c r="Y22" s="3192"/>
      <c r="Z22" s="1816"/>
      <c r="AA22" s="1813">
        <v>1</v>
      </c>
      <c r="AB22" s="1813">
        <v>1</v>
      </c>
      <c r="AC22" s="1813">
        <v>1</v>
      </c>
    </row>
    <row r="23" spans="1:29" s="116" customFormat="1" ht="42.75">
      <c r="A23" s="648"/>
      <c r="B23" s="632" t="s">
        <v>2657</v>
      </c>
      <c r="C23" s="260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92"/>
      <c r="Q23" s="1797" t="str">
        <f t="shared" si="8"/>
        <v>公共配套设施</v>
      </c>
      <c r="R23" s="769" t="s">
        <v>17</v>
      </c>
      <c r="S23" s="770">
        <f>F23</f>
        <v>100</v>
      </c>
      <c r="T23" s="769" t="s">
        <v>17</v>
      </c>
      <c r="U23" s="770">
        <f>H23</f>
        <v>100</v>
      </c>
      <c r="V23" s="769" t="s">
        <v>17</v>
      </c>
      <c r="W23" s="770">
        <f>J23</f>
        <v>100</v>
      </c>
      <c r="X23" s="771"/>
      <c r="Y23" s="3192"/>
      <c r="Z23" s="54" t="str">
        <f>Q23</f>
        <v>公共配套设施</v>
      </c>
      <c r="AA23" s="1813">
        <f>D23/F23</f>
        <v>1</v>
      </c>
      <c r="AB23" s="1813">
        <f>D23/H23</f>
        <v>1</v>
      </c>
      <c r="AC23" s="1813">
        <f>D23/J23</f>
        <v>1</v>
      </c>
    </row>
    <row r="24" spans="1:29" s="116" customFormat="1" ht="15">
      <c r="A24" s="648"/>
      <c r="B24" s="631"/>
      <c r="C24" s="2701"/>
      <c r="D24" s="447"/>
      <c r="E24" s="2612"/>
      <c r="F24" s="447"/>
      <c r="G24" s="2612"/>
      <c r="H24" s="447"/>
      <c r="I24" s="446"/>
      <c r="J24" s="447"/>
      <c r="K24" s="671"/>
      <c r="L24" s="1134"/>
      <c r="M24" s="1135"/>
      <c r="N24" s="1135"/>
      <c r="O24" s="1136"/>
      <c r="P24" s="3192"/>
      <c r="Q24" s="1797"/>
      <c r="R24" s="769"/>
      <c r="S24" s="770"/>
      <c r="T24" s="769"/>
      <c r="U24" s="770"/>
      <c r="V24" s="769"/>
      <c r="W24" s="770"/>
      <c r="X24" s="771"/>
      <c r="Y24" s="3192"/>
      <c r="Z24" s="54"/>
      <c r="AA24" s="772">
        <v>1</v>
      </c>
      <c r="AB24" s="772">
        <v>1</v>
      </c>
      <c r="AC24" s="772">
        <v>1</v>
      </c>
    </row>
    <row r="25" spans="1:29" s="116" customFormat="1" ht="28.5">
      <c r="A25" s="648"/>
      <c r="B25" s="632" t="s">
        <v>2658</v>
      </c>
      <c r="C25" s="260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92"/>
      <c r="Q25" s="1797" t="str">
        <f t="shared" ref="Q25" si="9">B25</f>
        <v>基础设施水平</v>
      </c>
      <c r="R25" s="769" t="s">
        <v>17</v>
      </c>
      <c r="S25" s="770">
        <f>F25</f>
        <v>100</v>
      </c>
      <c r="T25" s="769" t="s">
        <v>17</v>
      </c>
      <c r="U25" s="770">
        <f>H25</f>
        <v>100</v>
      </c>
      <c r="V25" s="769" t="s">
        <v>17</v>
      </c>
      <c r="W25" s="770">
        <f>J25</f>
        <v>100</v>
      </c>
      <c r="X25" s="771"/>
      <c r="Y25" s="3192"/>
      <c r="Z25" s="54" t="str">
        <f>Q25</f>
        <v>基础设施水平</v>
      </c>
      <c r="AA25" s="1813">
        <f>D25/F25</f>
        <v>1</v>
      </c>
      <c r="AB25" s="1813">
        <f>D25/H25</f>
        <v>1</v>
      </c>
      <c r="AC25" s="1813">
        <f>D25/J25</f>
        <v>1</v>
      </c>
    </row>
    <row r="26" spans="1:29" s="116" customFormat="1" ht="15">
      <c r="A26" s="648"/>
      <c r="B26" s="631"/>
      <c r="C26" s="2701"/>
      <c r="D26" s="447"/>
      <c r="E26" s="2702"/>
      <c r="F26" s="447"/>
      <c r="G26" s="2702"/>
      <c r="H26" s="447"/>
      <c r="I26" s="2702"/>
      <c r="J26" s="447"/>
      <c r="K26" s="671"/>
      <c r="L26" s="1134"/>
      <c r="M26" s="1135"/>
      <c r="N26" s="1135"/>
      <c r="O26" s="1136"/>
      <c r="P26" s="3192"/>
      <c r="Q26" s="1797"/>
      <c r="R26" s="769"/>
      <c r="S26" s="770"/>
      <c r="T26" s="769"/>
      <c r="U26" s="770"/>
      <c r="V26" s="769"/>
      <c r="W26" s="770"/>
      <c r="X26" s="771"/>
      <c r="Y26" s="3192"/>
      <c r="Z26" s="54"/>
      <c r="AA26" s="772">
        <v>1</v>
      </c>
      <c r="AB26" s="772">
        <v>1</v>
      </c>
      <c r="AC26" s="772">
        <v>1</v>
      </c>
    </row>
    <row r="27" spans="1:29" ht="15">
      <c r="A27" s="427"/>
      <c r="B27" s="631" t="s">
        <v>2659</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92"/>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92"/>
      <c r="Z27" s="1816" t="str">
        <f t="shared" ref="Z27:Z40" si="13">Q27</f>
        <v>临街状况</v>
      </c>
      <c r="AA27" s="1813">
        <f t="shared" si="3"/>
        <v>1</v>
      </c>
      <c r="AB27" s="1813">
        <f t="shared" si="4"/>
        <v>1</v>
      </c>
      <c r="AC27" s="1813">
        <f t="shared" si="5"/>
        <v>1</v>
      </c>
    </row>
    <row r="28" spans="1:29" ht="27">
      <c r="A28" s="427"/>
      <c r="B28" s="632" t="s">
        <v>2694</v>
      </c>
      <c r="C28" s="271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92"/>
      <c r="Q28" s="1812" t="str">
        <f t="shared" si="8"/>
        <v>毗邻道路的类型与等级</v>
      </c>
      <c r="R28" s="773" t="s">
        <v>17</v>
      </c>
      <c r="S28" s="774">
        <f t="shared" si="10"/>
        <v>100</v>
      </c>
      <c r="T28" s="773" t="s">
        <v>17</v>
      </c>
      <c r="U28" s="774">
        <f t="shared" si="11"/>
        <v>100</v>
      </c>
      <c r="V28" s="773" t="s">
        <v>17</v>
      </c>
      <c r="W28" s="774">
        <f t="shared" si="12"/>
        <v>100</v>
      </c>
      <c r="X28" s="1815"/>
      <c r="Y28" s="3192"/>
      <c r="Z28" s="1816" t="str">
        <f t="shared" si="13"/>
        <v>毗邻道路的类型与等级</v>
      </c>
      <c r="AA28" s="1813">
        <f t="shared" si="3"/>
        <v>1</v>
      </c>
      <c r="AB28" s="1813">
        <f t="shared" si="4"/>
        <v>1</v>
      </c>
      <c r="AC28" s="1813">
        <f t="shared" si="5"/>
        <v>1</v>
      </c>
    </row>
    <row r="29" spans="1:29" ht="15">
      <c r="A29" s="427"/>
      <c r="B29" s="631"/>
      <c r="C29" s="446"/>
      <c r="D29" s="447"/>
      <c r="E29" s="2612"/>
      <c r="F29" s="447"/>
      <c r="G29" s="2612"/>
      <c r="H29" s="447"/>
      <c r="I29" s="2612"/>
      <c r="J29" s="447"/>
      <c r="K29" s="612"/>
      <c r="L29" s="1142"/>
      <c r="M29" s="1133"/>
      <c r="N29" s="1133"/>
      <c r="O29" s="1141"/>
      <c r="P29" s="3192"/>
      <c r="Q29" s="1812"/>
      <c r="R29" s="773"/>
      <c r="S29" s="774"/>
      <c r="T29" s="773"/>
      <c r="U29" s="774"/>
      <c r="V29" s="773"/>
      <c r="W29" s="774"/>
      <c r="X29" s="1815"/>
      <c r="Y29" s="3192"/>
      <c r="Z29" s="1816"/>
      <c r="AA29" s="1813">
        <v>1</v>
      </c>
      <c r="AB29" s="1813">
        <v>1</v>
      </c>
      <c r="AC29" s="1813">
        <v>1</v>
      </c>
    </row>
    <row r="30" spans="1:29" ht="15">
      <c r="A30" s="427"/>
      <c r="B30" s="653" t="s">
        <v>2752</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92"/>
      <c r="Q30" s="1812" t="str">
        <f t="shared" si="8"/>
        <v>土地级别</v>
      </c>
      <c r="R30" s="773" t="s">
        <v>17</v>
      </c>
      <c r="S30" s="774">
        <f t="shared" si="10"/>
        <v>100</v>
      </c>
      <c r="T30" s="773" t="s">
        <v>17</v>
      </c>
      <c r="U30" s="774">
        <f t="shared" si="11"/>
        <v>100</v>
      </c>
      <c r="V30" s="773" t="s">
        <v>17</v>
      </c>
      <c r="W30" s="774">
        <f t="shared" si="12"/>
        <v>100</v>
      </c>
      <c r="X30" s="1815"/>
      <c r="Y30" s="3192"/>
      <c r="Z30" s="1816" t="str">
        <f t="shared" si="13"/>
        <v>土地级别</v>
      </c>
      <c r="AA30" s="1813">
        <f t="shared" si="3"/>
        <v>1</v>
      </c>
      <c r="AB30" s="1813">
        <f t="shared" si="4"/>
        <v>1</v>
      </c>
      <c r="AC30" s="1813">
        <f t="shared" si="5"/>
        <v>1</v>
      </c>
    </row>
    <row r="31" spans="1:29" ht="15">
      <c r="A31" s="403"/>
      <c r="B31" s="267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92"/>
      <c r="Q31" s="1812">
        <f t="shared" si="8"/>
        <v>111</v>
      </c>
      <c r="R31" s="773" t="s">
        <v>17</v>
      </c>
      <c r="S31" s="774">
        <f t="shared" si="10"/>
        <v>100</v>
      </c>
      <c r="T31" s="773" t="s">
        <v>17</v>
      </c>
      <c r="U31" s="774">
        <f t="shared" si="11"/>
        <v>100</v>
      </c>
      <c r="V31" s="773" t="s">
        <v>17</v>
      </c>
      <c r="W31" s="774">
        <f t="shared" si="12"/>
        <v>100</v>
      </c>
      <c r="X31" s="1815"/>
      <c r="Y31" s="3192"/>
      <c r="Z31" s="1816">
        <f t="shared" si="13"/>
        <v>111</v>
      </c>
      <c r="AA31" s="1813">
        <f t="shared" si="3"/>
        <v>1</v>
      </c>
      <c r="AB31" s="1813">
        <f t="shared" si="4"/>
        <v>1</v>
      </c>
      <c r="AC31" s="1813">
        <f t="shared" si="5"/>
        <v>1</v>
      </c>
    </row>
    <row r="32" spans="1:29" ht="15">
      <c r="A32" s="674"/>
      <c r="B32" s="271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93" t="s">
        <v>2568</v>
      </c>
      <c r="Q32" s="1812">
        <f t="shared" si="8"/>
        <v>111</v>
      </c>
      <c r="R32" s="773" t="s">
        <v>17</v>
      </c>
      <c r="S32" s="774">
        <f t="shared" si="10"/>
        <v>100</v>
      </c>
      <c r="T32" s="773" t="s">
        <v>17</v>
      </c>
      <c r="U32" s="774">
        <f t="shared" si="11"/>
        <v>100</v>
      </c>
      <c r="V32" s="773" t="s">
        <v>17</v>
      </c>
      <c r="W32" s="774">
        <f t="shared" si="12"/>
        <v>100</v>
      </c>
      <c r="X32" s="1815"/>
      <c r="Y32" s="3194" t="s">
        <v>2568</v>
      </c>
      <c r="Z32" s="1816">
        <f t="shared" si="13"/>
        <v>111</v>
      </c>
      <c r="AA32" s="1813">
        <f t="shared" si="3"/>
        <v>1</v>
      </c>
      <c r="AB32" s="1813">
        <f t="shared" si="4"/>
        <v>1</v>
      </c>
      <c r="AC32" s="1813">
        <f t="shared" si="5"/>
        <v>1</v>
      </c>
    </row>
    <row r="33" spans="1:29" s="470" customFormat="1" ht="15.75" thickBot="1">
      <c r="A33" s="675"/>
      <c r="B33" s="271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94"/>
      <c r="Q33" s="1812">
        <f t="shared" si="8"/>
        <v>111</v>
      </c>
      <c r="R33" s="776" t="s">
        <v>17</v>
      </c>
      <c r="S33" s="777">
        <f t="shared" si="10"/>
        <v>100</v>
      </c>
      <c r="T33" s="776" t="s">
        <v>17</v>
      </c>
      <c r="U33" s="777">
        <f t="shared" si="11"/>
        <v>100</v>
      </c>
      <c r="V33" s="776" t="s">
        <v>17</v>
      </c>
      <c r="W33" s="777">
        <f t="shared" si="12"/>
        <v>100</v>
      </c>
      <c r="X33" s="778"/>
      <c r="Y33" s="3194"/>
      <c r="Z33" s="779">
        <f t="shared" si="13"/>
        <v>111</v>
      </c>
      <c r="AA33" s="1813">
        <f t="shared" si="3"/>
        <v>1</v>
      </c>
      <c r="AB33" s="1813">
        <f t="shared" si="4"/>
        <v>1</v>
      </c>
      <c r="AC33" s="1813">
        <f t="shared" si="5"/>
        <v>1</v>
      </c>
    </row>
    <row r="34" spans="1:29" ht="15">
      <c r="A34" s="439" t="s">
        <v>2566</v>
      </c>
      <c r="B34" s="455" t="s">
        <v>2753</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94"/>
      <c r="Q34" s="1812" t="str">
        <f>B34</f>
        <v>宗地面积</v>
      </c>
      <c r="R34" s="773" t="s">
        <v>17</v>
      </c>
      <c r="S34" s="774" t="e">
        <f t="shared" si="10"/>
        <v>#N/A</v>
      </c>
      <c r="T34" s="773" t="s">
        <v>17</v>
      </c>
      <c r="U34" s="774" t="e">
        <f t="shared" si="11"/>
        <v>#N/A</v>
      </c>
      <c r="V34" s="773" t="s">
        <v>17</v>
      </c>
      <c r="W34" s="774" t="e">
        <f t="shared" si="12"/>
        <v>#N/A</v>
      </c>
      <c r="X34" s="1815"/>
      <c r="Y34" s="3194"/>
      <c r="Z34" s="1816" t="str">
        <f t="shared" si="13"/>
        <v>宗地面积</v>
      </c>
      <c r="AA34" s="1813" t="e">
        <f t="shared" si="3"/>
        <v>#N/A</v>
      </c>
      <c r="AB34" s="1813" t="e">
        <f t="shared" si="4"/>
        <v>#N/A</v>
      </c>
      <c r="AC34" s="1813" t="e">
        <f t="shared" si="5"/>
        <v>#N/A</v>
      </c>
    </row>
    <row r="35" spans="1:29" ht="15">
      <c r="A35" s="471"/>
      <c r="B35" s="421" t="s">
        <v>2754</v>
      </c>
      <c r="C35" s="2614"/>
      <c r="D35" s="434">
        <v>100</v>
      </c>
      <c r="E35" s="2614"/>
      <c r="F35" s="434">
        <f>SUMIF(110:110,E35,111:111)-SUMIF(110:110,C35,111:111)+100</f>
        <v>100</v>
      </c>
      <c r="G35" s="2614"/>
      <c r="H35" s="434">
        <f>SUMIF(110:110,G35,111:111)-SUMIF(110:110,C35,111:111)+100</f>
        <v>100</v>
      </c>
      <c r="I35" s="2614"/>
      <c r="J35" s="434">
        <f>SUMIF(110:110,I35,111:111)-SUMIF(110:110,C35,111:111)+100</f>
        <v>100</v>
      </c>
      <c r="K35" s="611"/>
      <c r="L35" s="1142"/>
      <c r="M35" s="1133"/>
      <c r="N35" s="1133"/>
      <c r="O35" s="1141"/>
      <c r="P35" s="3194"/>
      <c r="Q35" s="1812" t="str">
        <f t="shared" ref="Q35:Q40" si="14">B35</f>
        <v>宗地形状</v>
      </c>
      <c r="R35" s="773" t="s">
        <v>17</v>
      </c>
      <c r="S35" s="774">
        <f t="shared" si="10"/>
        <v>100</v>
      </c>
      <c r="T35" s="773" t="s">
        <v>17</v>
      </c>
      <c r="U35" s="774">
        <f t="shared" si="11"/>
        <v>100</v>
      </c>
      <c r="V35" s="773" t="s">
        <v>17</v>
      </c>
      <c r="W35" s="774">
        <f t="shared" si="12"/>
        <v>100</v>
      </c>
      <c r="X35" s="1815"/>
      <c r="Y35" s="3194"/>
      <c r="Z35" s="1816" t="str">
        <f t="shared" si="13"/>
        <v>宗地形状</v>
      </c>
      <c r="AA35" s="1813">
        <f t="shared" si="3"/>
        <v>1</v>
      </c>
      <c r="AB35" s="1813">
        <f t="shared" si="4"/>
        <v>1</v>
      </c>
      <c r="AC35" s="1813">
        <f t="shared" si="5"/>
        <v>1</v>
      </c>
    </row>
    <row r="36" spans="1:29" s="116" customFormat="1" ht="15">
      <c r="A36" s="472"/>
      <c r="B36" s="421" t="s">
        <v>2756</v>
      </c>
      <c r="C36" s="2703"/>
      <c r="D36" s="135">
        <v>100</v>
      </c>
      <c r="E36" s="2703"/>
      <c r="F36" s="434">
        <f>SUMIF(112:112,E36,113:113)-SUMIF(112:112,C36,113:113)+100</f>
        <v>100</v>
      </c>
      <c r="G36" s="2703"/>
      <c r="H36" s="434">
        <f>SUMIF(112:112,G36,113:113)-SUMIF(112:112,C36,113:113)+100</f>
        <v>100</v>
      </c>
      <c r="I36" s="2703"/>
      <c r="J36" s="434">
        <f>SUMIF(112:112,I36,113:113)-SUMIF(112:112,C36,113:113)+100</f>
        <v>100</v>
      </c>
      <c r="K36" s="611"/>
      <c r="L36" s="1134"/>
      <c r="M36" s="1135"/>
      <c r="N36" s="1135"/>
      <c r="O36" s="1136"/>
      <c r="P36" s="3194"/>
      <c r="Q36" s="1812" t="str">
        <f t="shared" si="14"/>
        <v>宗地开发程度</v>
      </c>
      <c r="R36" s="769" t="s">
        <v>17</v>
      </c>
      <c r="S36" s="770">
        <f t="shared" si="10"/>
        <v>100</v>
      </c>
      <c r="T36" s="769" t="s">
        <v>17</v>
      </c>
      <c r="U36" s="770">
        <f t="shared" si="11"/>
        <v>100</v>
      </c>
      <c r="V36" s="769" t="s">
        <v>17</v>
      </c>
      <c r="W36" s="770">
        <f t="shared" si="12"/>
        <v>100</v>
      </c>
      <c r="X36" s="771"/>
      <c r="Y36" s="3194"/>
      <c r="Z36" s="54" t="str">
        <f t="shared" si="13"/>
        <v>宗地开发程度</v>
      </c>
      <c r="AA36" s="772">
        <f t="shared" si="3"/>
        <v>1</v>
      </c>
      <c r="AB36" s="772">
        <f t="shared" si="4"/>
        <v>1</v>
      </c>
      <c r="AC36" s="772">
        <f t="shared" si="5"/>
        <v>1</v>
      </c>
    </row>
    <row r="37" spans="1:29" ht="15">
      <c r="A37" s="471"/>
      <c r="B37" s="421" t="s">
        <v>2757</v>
      </c>
      <c r="C37" s="2614"/>
      <c r="D37" s="434">
        <v>100</v>
      </c>
      <c r="E37" s="2614"/>
      <c r="F37" s="434">
        <f>SUMIF(114:114,E37,115:115)-SUMIF(114:114,C37,115:115)+100</f>
        <v>100</v>
      </c>
      <c r="G37" s="2614"/>
      <c r="H37" s="434">
        <f>SUMIF(114:114,G37,115:115)-SUMIF(114:114,C37,115:115)+100</f>
        <v>100</v>
      </c>
      <c r="I37" s="2614"/>
      <c r="J37" s="434">
        <f>SUMIF(114:114,I37,115:115)-SUMIF(114:114,C37,115:115)+100</f>
        <v>100</v>
      </c>
      <c r="K37" s="611"/>
      <c r="L37" s="1142"/>
      <c r="M37" s="1133"/>
      <c r="N37" s="1133"/>
      <c r="O37" s="1141"/>
      <c r="P37" s="3194" t="s">
        <v>2568</v>
      </c>
      <c r="Q37" s="1812" t="str">
        <f t="shared" si="14"/>
        <v>工程地质条件</v>
      </c>
      <c r="R37" s="773" t="s">
        <v>17</v>
      </c>
      <c r="S37" s="774">
        <f t="shared" si="10"/>
        <v>100</v>
      </c>
      <c r="T37" s="773" t="s">
        <v>17</v>
      </c>
      <c r="U37" s="774">
        <f t="shared" si="11"/>
        <v>100</v>
      </c>
      <c r="V37" s="773" t="s">
        <v>17</v>
      </c>
      <c r="W37" s="774">
        <f t="shared" si="12"/>
        <v>100</v>
      </c>
      <c r="X37" s="1815"/>
      <c r="Y37" s="3194" t="s">
        <v>2568</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94"/>
      <c r="Q38" s="1812">
        <f t="shared" si="14"/>
        <v>111</v>
      </c>
      <c r="R38" s="773" t="s">
        <v>17</v>
      </c>
      <c r="S38" s="774">
        <f t="shared" si="10"/>
        <v>100</v>
      </c>
      <c r="T38" s="773" t="s">
        <v>17</v>
      </c>
      <c r="U38" s="774">
        <f t="shared" si="11"/>
        <v>100</v>
      </c>
      <c r="V38" s="773" t="s">
        <v>17</v>
      </c>
      <c r="W38" s="774">
        <f t="shared" si="12"/>
        <v>100</v>
      </c>
      <c r="X38" s="1815"/>
      <c r="Y38" s="3194"/>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94"/>
      <c r="Q39" s="1812">
        <f t="shared" si="14"/>
        <v>111</v>
      </c>
      <c r="R39" s="773" t="s">
        <v>17</v>
      </c>
      <c r="S39" s="774">
        <f t="shared" si="10"/>
        <v>100</v>
      </c>
      <c r="T39" s="773" t="s">
        <v>17</v>
      </c>
      <c r="U39" s="774">
        <f t="shared" si="11"/>
        <v>100</v>
      </c>
      <c r="V39" s="773" t="s">
        <v>17</v>
      </c>
      <c r="W39" s="774">
        <f t="shared" si="12"/>
        <v>100</v>
      </c>
      <c r="X39" s="1815"/>
      <c r="Y39" s="3194"/>
      <c r="Z39" s="1816">
        <f t="shared" si="13"/>
        <v>111</v>
      </c>
      <c r="AA39" s="1813">
        <f t="shared" si="3"/>
        <v>1</v>
      </c>
      <c r="AB39" s="1813">
        <f t="shared" si="4"/>
        <v>1</v>
      </c>
      <c r="AC39" s="1813">
        <f t="shared" si="5"/>
        <v>1</v>
      </c>
    </row>
    <row r="40" spans="1:29" s="470" customFormat="1" ht="15.75" thickBot="1">
      <c r="A40" s="467"/>
      <c r="B40" s="1389">
        <v>111</v>
      </c>
      <c r="C40" s="2704"/>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94"/>
      <c r="Q40" s="1812">
        <f t="shared" si="14"/>
        <v>111</v>
      </c>
      <c r="R40" s="776" t="s">
        <v>17</v>
      </c>
      <c r="S40" s="777">
        <f t="shared" si="10"/>
        <v>100</v>
      </c>
      <c r="T40" s="776" t="s">
        <v>17</v>
      </c>
      <c r="U40" s="777">
        <f t="shared" si="11"/>
        <v>100</v>
      </c>
      <c r="V40" s="776" t="s">
        <v>17</v>
      </c>
      <c r="W40" s="777">
        <f t="shared" si="12"/>
        <v>100</v>
      </c>
      <c r="X40" s="778"/>
      <c r="Y40" s="3194"/>
      <c r="Z40" s="779">
        <f t="shared" si="13"/>
        <v>111</v>
      </c>
      <c r="AA40" s="1813">
        <f t="shared" si="3"/>
        <v>1</v>
      </c>
      <c r="AB40" s="1813">
        <f t="shared" si="4"/>
        <v>1</v>
      </c>
      <c r="AC40" s="1813">
        <f t="shared" si="5"/>
        <v>1</v>
      </c>
    </row>
    <row r="41" spans="1:29" ht="15">
      <c r="A41" s="478" t="s">
        <v>2723</v>
      </c>
      <c r="B41" s="2705" t="s">
        <v>2802</v>
      </c>
      <c r="C41" s="681" t="s">
        <v>1</v>
      </c>
      <c r="D41" s="480"/>
      <c r="E41" s="481"/>
      <c r="F41" s="482"/>
      <c r="G41" s="483"/>
      <c r="H41" s="484"/>
      <c r="I41" s="481"/>
      <c r="J41" s="484"/>
      <c r="K41" s="782"/>
      <c r="L41" s="1145"/>
      <c r="M41" s="1133"/>
      <c r="N41" s="1133"/>
      <c r="O41" s="1146"/>
      <c r="P41" s="3176" t="str">
        <f>A41</f>
        <v>成交单价</v>
      </c>
      <c r="Q41" s="3176"/>
      <c r="R41" s="3189">
        <f>E41</f>
        <v>0</v>
      </c>
      <c r="S41" s="3189"/>
      <c r="T41" s="3189">
        <f>G41</f>
        <v>0</v>
      </c>
      <c r="U41" s="3189"/>
      <c r="V41" s="3189">
        <f>I41</f>
        <v>0</v>
      </c>
      <c r="W41" s="3189"/>
      <c r="X41" s="758"/>
      <c r="Y41" s="780"/>
      <c r="Z41" s="758"/>
      <c r="AA41" s="758"/>
      <c r="AB41" s="758"/>
      <c r="AC41" s="758"/>
    </row>
    <row r="42" spans="1:29" ht="15.75" thickBot="1">
      <c r="A42" s="485" t="s">
        <v>2672</v>
      </c>
      <c r="B42" s="682"/>
      <c r="C42" s="489" t="e">
        <f>R43</f>
        <v>#DIV/0!</v>
      </c>
      <c r="D42" s="488"/>
      <c r="E42" s="489" t="e">
        <f>R42</f>
        <v>#DIV/0!</v>
      </c>
      <c r="F42" s="490"/>
      <c r="G42" s="487" t="e">
        <f>T42</f>
        <v>#DIV/0!</v>
      </c>
      <c r="H42" s="488"/>
      <c r="I42" s="489" t="e">
        <f>V42</f>
        <v>#DIV/0!</v>
      </c>
      <c r="J42" s="488"/>
      <c r="K42" s="783"/>
      <c r="L42" s="1145"/>
      <c r="M42" s="1133"/>
      <c r="N42" s="1133"/>
      <c r="O42" s="1146"/>
      <c r="P42" s="3176" t="str">
        <f>A42</f>
        <v>比较价值（元/平方米）</v>
      </c>
      <c r="Q42" s="3176"/>
      <c r="R42" s="3195" t="e">
        <f>ROUND(PRODUCT(R41,AA7:AA40),0)</f>
        <v>#DIV/0!</v>
      </c>
      <c r="S42" s="3195"/>
      <c r="T42" s="3195" t="e">
        <f>ROUND(PRODUCT(T41,AB7:AB40),0)</f>
        <v>#DIV/0!</v>
      </c>
      <c r="U42" s="3195"/>
      <c r="V42" s="3195" t="e">
        <f>ROUND(PRODUCT(V41,AC7:AC40),0)</f>
        <v>#DIV/0!</v>
      </c>
      <c r="W42" s="3195"/>
      <c r="X42" s="758"/>
      <c r="Y42" s="758"/>
      <c r="Z42" s="758"/>
      <c r="AA42" s="758"/>
      <c r="AB42" s="758"/>
      <c r="AC42" s="758"/>
    </row>
    <row r="43" spans="1:29" ht="15.75" thickBot="1">
      <c r="A43" s="491" t="s">
        <v>2673</v>
      </c>
      <c r="B43" s="492"/>
      <c r="C43" s="493" t="e">
        <f>R43</f>
        <v>#DIV/0!</v>
      </c>
      <c r="D43" s="493"/>
      <c r="E43" s="493"/>
      <c r="F43" s="493"/>
      <c r="G43" s="493"/>
      <c r="H43" s="493"/>
      <c r="I43" s="493"/>
      <c r="J43" s="493"/>
      <c r="K43" s="784"/>
      <c r="L43" s="1145"/>
      <c r="M43" s="1133"/>
      <c r="N43" s="1133"/>
      <c r="O43" s="1146"/>
      <c r="P43" s="3196" t="str">
        <f>A43</f>
        <v>估价对象XX用房的比较价值（楼面单价，元/平方米）</v>
      </c>
      <c r="Q43" s="3197"/>
      <c r="R43" s="3198" t="e">
        <f>ROUND(AVERAGE(R42:V42),0)</f>
        <v>#DIV/0!</v>
      </c>
      <c r="S43" s="3198"/>
      <c r="T43" s="3198"/>
      <c r="U43" s="3198"/>
      <c r="V43" s="3198"/>
      <c r="W43" s="3198"/>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2760</v>
      </c>
      <c r="B50" s="684" t="s">
        <v>2761</v>
      </c>
      <c r="C50" s="2706" t="s">
        <v>2762</v>
      </c>
      <c r="D50" s="2707" t="s">
        <v>2763</v>
      </c>
      <c r="E50" s="685" t="s">
        <v>2764</v>
      </c>
      <c r="F50" s="686" t="s">
        <v>2765</v>
      </c>
      <c r="G50" s="3177" t="s">
        <v>2766</v>
      </c>
      <c r="H50" s="3199"/>
      <c r="I50" s="1816" t="s">
        <v>2803</v>
      </c>
      <c r="J50" s="1816" t="str">
        <f>项目基本情况!F35</f>
        <v>青岛市</v>
      </c>
      <c r="K50" s="2709" t="s">
        <v>2768</v>
      </c>
      <c r="L50" s="1108"/>
      <c r="M50" s="1146"/>
      <c r="N50" s="1146"/>
      <c r="O50" s="1146"/>
    </row>
    <row r="51" spans="1:17" s="691" customFormat="1">
      <c r="A51" s="687" t="s">
        <v>2769</v>
      </c>
      <c r="B51" s="688" t="e">
        <f>C43</f>
        <v>#DIV/0!</v>
      </c>
      <c r="C51" s="689">
        <v>1</v>
      </c>
      <c r="D51" s="1165">
        <v>1</v>
      </c>
      <c r="E51" s="689">
        <f>'数据-汇总表'!E8+'数据-汇总表'!E9</f>
        <v>24809.760000000002</v>
      </c>
      <c r="F51" s="690" t="e">
        <f t="shared" ref="F51:F60" si="15">ROUND(B51*E51/10000,0)</f>
        <v>#DIV/0!</v>
      </c>
      <c r="G51" s="3200"/>
      <c r="H51" s="3176"/>
      <c r="I51" s="944">
        <v>1</v>
      </c>
      <c r="J51" s="944">
        <v>1</v>
      </c>
      <c r="K51" s="1147"/>
      <c r="L51" s="943"/>
      <c r="M51" s="943"/>
      <c r="N51" s="943"/>
      <c r="O51" s="943"/>
    </row>
    <row r="52" spans="1:17" s="691" customFormat="1">
      <c r="A52" s="692" t="s">
        <v>2770</v>
      </c>
      <c r="B52" s="261" t="e">
        <f>ROUND($C$43*C52*D52,0)</f>
        <v>#DIV/0!</v>
      </c>
      <c r="C52" s="199">
        <f t="shared" ref="C52:C60" si="16">IF($C$50="北京市系数",I52,J52)</f>
        <v>0</v>
      </c>
      <c r="D52" s="1166">
        <v>0.25</v>
      </c>
      <c r="E52" s="693"/>
      <c r="F52" s="690" t="e">
        <f t="shared" si="15"/>
        <v>#DIV/0!</v>
      </c>
      <c r="G52" s="3201" t="s">
        <v>2771</v>
      </c>
      <c r="H52" s="1106">
        <f>项目基本情况!B37</f>
        <v>0</v>
      </c>
      <c r="I52" s="944">
        <f>SUMIF(修正!A45:A56,H52,修正!B45:B56)</f>
        <v>0</v>
      </c>
      <c r="J52" s="945"/>
      <c r="K52" s="1146"/>
      <c r="L52" s="943"/>
      <c r="M52" s="943"/>
      <c r="N52" s="943"/>
      <c r="O52" s="943"/>
    </row>
    <row r="53" spans="1:17" s="691" customFormat="1">
      <c r="A53" s="692" t="s">
        <v>2772</v>
      </c>
      <c r="B53" s="261" t="e">
        <f t="shared" ref="B53:B60" si="17">ROUND($C$43*C53*D53,0)</f>
        <v>#DIV/0!</v>
      </c>
      <c r="C53" s="199">
        <f t="shared" si="16"/>
        <v>0</v>
      </c>
      <c r="D53" s="1166">
        <v>0.25</v>
      </c>
      <c r="E53" s="693"/>
      <c r="F53" s="690" t="e">
        <f t="shared" si="15"/>
        <v>#DIV/0!</v>
      </c>
      <c r="G53" s="3201"/>
      <c r="H53" s="1106">
        <f>项目基本情况!B37</f>
        <v>0</v>
      </c>
      <c r="I53" s="944">
        <f>SUMIF(修正!A45:A56,H53,修正!C45:C56)</f>
        <v>0</v>
      </c>
      <c r="J53" s="945"/>
      <c r="K53" s="1147"/>
      <c r="L53" s="943"/>
      <c r="M53" s="943"/>
      <c r="N53" s="943"/>
      <c r="O53" s="943"/>
    </row>
    <row r="54" spans="1:17" s="691" customFormat="1">
      <c r="A54" s="692" t="s">
        <v>2773</v>
      </c>
      <c r="B54" s="261" t="e">
        <f t="shared" si="17"/>
        <v>#DIV/0!</v>
      </c>
      <c r="C54" s="199">
        <f t="shared" si="16"/>
        <v>0</v>
      </c>
      <c r="D54" s="1166">
        <v>0.25</v>
      </c>
      <c r="E54" s="693"/>
      <c r="F54" s="690" t="e">
        <f t="shared" si="15"/>
        <v>#DIV/0!</v>
      </c>
      <c r="G54" s="3201"/>
      <c r="H54" s="1106">
        <f>项目基本情况!B37</f>
        <v>0</v>
      </c>
      <c r="I54" s="944">
        <f>SUMIF(修正!A45:A56,H54,修正!D45:D56)</f>
        <v>0</v>
      </c>
      <c r="J54" s="945"/>
      <c r="K54" s="1146"/>
      <c r="L54" s="943"/>
      <c r="M54" s="943"/>
      <c r="N54" s="943"/>
      <c r="O54" s="943"/>
    </row>
    <row r="55" spans="1:17" s="691" customFormat="1">
      <c r="A55" s="692" t="s">
        <v>2774</v>
      </c>
      <c r="B55" s="261" t="e">
        <f t="shared" si="17"/>
        <v>#DIV/0!</v>
      </c>
      <c r="C55" s="199">
        <f t="shared" si="16"/>
        <v>0</v>
      </c>
      <c r="D55" s="1166">
        <v>0.25</v>
      </c>
      <c r="E55" s="693"/>
      <c r="F55" s="690" t="e">
        <f t="shared" si="15"/>
        <v>#DIV/0!</v>
      </c>
      <c r="G55" s="3201"/>
      <c r="H55" s="1106">
        <f>项目基本情况!B37</f>
        <v>0</v>
      </c>
      <c r="I55" s="944">
        <f>SUMIF(修正!A45:A56,H55,修正!E45:E56)</f>
        <v>0</v>
      </c>
      <c r="J55" s="945"/>
      <c r="K55" s="1147"/>
      <c r="L55" s="943"/>
      <c r="M55" s="943"/>
      <c r="N55" s="943"/>
      <c r="O55" s="943"/>
    </row>
    <row r="56" spans="1:17" s="691" customFormat="1">
      <c r="A56" s="692" t="s">
        <v>2775</v>
      </c>
      <c r="B56" s="261" t="e">
        <f t="shared" si="17"/>
        <v>#DIV/0!</v>
      </c>
      <c r="C56" s="199">
        <f t="shared" si="16"/>
        <v>0</v>
      </c>
      <c r="D56" s="1166">
        <v>0.25</v>
      </c>
      <c r="E56" s="260">
        <f>'数据-汇总表'!E11</f>
        <v>109.34</v>
      </c>
      <c r="F56" s="690" t="e">
        <f t="shared" si="15"/>
        <v>#DIV/0!</v>
      </c>
      <c r="G56" s="2710" t="s">
        <v>2776</v>
      </c>
      <c r="H56" s="1106">
        <f>项目基本情况!C37</f>
        <v>0</v>
      </c>
      <c r="I56" s="944">
        <f>SUMIF(修正!A45:A56,H56,修正!F45:F56)</f>
        <v>0</v>
      </c>
      <c r="J56" s="945"/>
      <c r="K56" s="1146"/>
      <c r="L56" s="943"/>
      <c r="M56" s="943"/>
      <c r="N56" s="943"/>
      <c r="O56" s="943"/>
    </row>
    <row r="57" spans="1:17" s="691" customFormat="1">
      <c r="A57" s="692" t="s">
        <v>2777</v>
      </c>
      <c r="B57" s="261" t="e">
        <f t="shared" si="17"/>
        <v>#DIV/0!</v>
      </c>
      <c r="C57" s="199">
        <f t="shared" si="16"/>
        <v>0</v>
      </c>
      <c r="D57" s="1166">
        <v>0.25</v>
      </c>
      <c r="E57" s="260">
        <f>'数据-汇总表'!E12</f>
        <v>0</v>
      </c>
      <c r="F57" s="690" t="e">
        <f t="shared" si="15"/>
        <v>#DIV/0!</v>
      </c>
      <c r="G57" s="1111" t="s">
        <v>2778</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2779</v>
      </c>
      <c r="B58" s="261" t="e">
        <f t="shared" si="17"/>
        <v>#DIV/0!</v>
      </c>
      <c r="C58" s="199">
        <f t="shared" si="16"/>
        <v>0</v>
      </c>
      <c r="D58" s="1166">
        <v>0.25</v>
      </c>
      <c r="E58" s="260">
        <f>'数据-汇总表'!E13</f>
        <v>0</v>
      </c>
      <c r="F58" s="690" t="e">
        <f t="shared" si="15"/>
        <v>#DIV/0!</v>
      </c>
      <c r="G58" s="1111" t="s">
        <v>2780</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2781</v>
      </c>
      <c r="B59" s="261" t="e">
        <f t="shared" si="17"/>
        <v>#DIV/0!</v>
      </c>
      <c r="C59" s="199">
        <f t="shared" si="16"/>
        <v>0</v>
      </c>
      <c r="D59" s="1166">
        <v>0.25</v>
      </c>
      <c r="E59" s="260">
        <f>'数据-汇总表'!E14</f>
        <v>0</v>
      </c>
      <c r="F59" s="690" t="e">
        <f t="shared" si="15"/>
        <v>#DIV/0!</v>
      </c>
      <c r="G59" s="2710" t="s">
        <v>2771</v>
      </c>
      <c r="H59" s="1106">
        <f>项目基本情况!B37</f>
        <v>0</v>
      </c>
      <c r="I59" s="944">
        <f>SUMIF(修正!A45:A56,H59,修正!H45:H56)</f>
        <v>0</v>
      </c>
      <c r="J59" s="945"/>
      <c r="K59" s="1147"/>
      <c r="L59" s="943"/>
      <c r="M59" s="943"/>
      <c r="N59" s="943"/>
      <c r="O59" s="943"/>
    </row>
    <row r="60" spans="1:17" s="691" customFormat="1" ht="15" thickBot="1">
      <c r="A60" s="692" t="s">
        <v>2782</v>
      </c>
      <c r="B60" s="261" t="e">
        <f t="shared" si="17"/>
        <v>#DIV/0!</v>
      </c>
      <c r="C60" s="199">
        <f t="shared" si="16"/>
        <v>0</v>
      </c>
      <c r="D60" s="1166">
        <v>0.25</v>
      </c>
      <c r="E60" s="260">
        <f>'数据-汇总表'!E15</f>
        <v>0</v>
      </c>
      <c r="F60" s="690" t="e">
        <f t="shared" si="15"/>
        <v>#DIV/0!</v>
      </c>
      <c r="G60" s="2711" t="s">
        <v>2776</v>
      </c>
      <c r="H60" s="1116">
        <f>项目基本情况!C37</f>
        <v>0</v>
      </c>
      <c r="I60" s="944">
        <f>SUMIF(修正!A45:A56,H60,修正!H45:H56)</f>
        <v>0</v>
      </c>
      <c r="J60" s="945"/>
      <c r="K60" s="1146"/>
      <c r="L60" s="943"/>
      <c r="M60" s="943"/>
      <c r="N60" s="943"/>
      <c r="O60" s="943"/>
    </row>
    <row r="61" spans="1:17" s="691" customFormat="1" ht="15" thickBot="1">
      <c r="A61" s="694" t="s">
        <v>2783</v>
      </c>
      <c r="B61" s="695" t="s">
        <v>28</v>
      </c>
      <c r="C61" s="695" t="s">
        <v>29</v>
      </c>
      <c r="D61" s="695" t="s">
        <v>1029</v>
      </c>
      <c r="E61" s="695">
        <f>IF(B41="楼面地价",SUM(E51:E60),'数据-汇总表'!D3)</f>
        <v>5780</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2018-3-1</v>
      </c>
      <c r="D63" s="760">
        <f>EDATE(C63,-3)</f>
        <v>43070</v>
      </c>
      <c r="E63" s="760">
        <f>EDATE(D63,-3)</f>
        <v>42979</v>
      </c>
      <c r="F63" s="760">
        <f t="shared" ref="F63:O63" si="18">EDATE(E63,-3)</f>
        <v>42887</v>
      </c>
      <c r="G63" s="760">
        <f t="shared" si="18"/>
        <v>42795</v>
      </c>
      <c r="H63" s="760">
        <f t="shared" si="18"/>
        <v>42705</v>
      </c>
      <c r="I63" s="760">
        <f t="shared" si="18"/>
        <v>42614</v>
      </c>
      <c r="J63" s="760">
        <f t="shared" si="18"/>
        <v>42522</v>
      </c>
      <c r="K63" s="760">
        <f t="shared" si="18"/>
        <v>42430</v>
      </c>
      <c r="L63" s="760">
        <f t="shared" si="18"/>
        <v>42339</v>
      </c>
      <c r="M63" s="760">
        <f t="shared" si="18"/>
        <v>42248</v>
      </c>
      <c r="N63" s="760">
        <f t="shared" si="18"/>
        <v>42156</v>
      </c>
      <c r="O63" s="760">
        <f t="shared" si="18"/>
        <v>42064</v>
      </c>
    </row>
    <row r="64" spans="1:17" ht="21.75" thickBot="1">
      <c r="A64" s="762" t="s">
        <v>2677</v>
      </c>
      <c r="B64" s="758"/>
      <c r="C64" s="763"/>
      <c r="D64" s="763"/>
      <c r="E64" s="763"/>
      <c r="F64" s="764"/>
      <c r="G64" s="764"/>
      <c r="H64" s="763"/>
      <c r="I64" s="763"/>
      <c r="J64" s="763"/>
      <c r="K64" s="765"/>
      <c r="L64" s="766"/>
      <c r="M64" s="763"/>
      <c r="N64" s="763"/>
      <c r="O64" s="1161"/>
      <c r="P64" s="502"/>
      <c r="Q64" s="503"/>
    </row>
    <row r="65" spans="1:17" s="507" customFormat="1" ht="15">
      <c r="A65" s="2712" t="s">
        <v>2784</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6"/>
    </row>
    <row r="66" spans="1:17" s="116" customFormat="1" ht="30.75" customHeight="1">
      <c r="A66" s="2717" t="s">
        <v>2804</v>
      </c>
      <c r="B66" s="331" t="str">
        <f>"北京市平均增长率"&amp;TEXT(基准地价修正!P24,"0.00%")</f>
        <v>北京市平均增长率1.31%</v>
      </c>
      <c r="C66" s="602">
        <v>100</v>
      </c>
      <c r="D66" s="594"/>
      <c r="E66" s="594"/>
      <c r="F66" s="594"/>
      <c r="G66" s="594"/>
      <c r="H66" s="594"/>
      <c r="I66" s="594"/>
      <c r="J66" s="594"/>
      <c r="K66" s="594"/>
      <c r="L66" s="594"/>
      <c r="M66" s="1569"/>
      <c r="N66" s="1569"/>
      <c r="O66" s="1571"/>
      <c r="P66" s="503"/>
    </row>
    <row r="67" spans="1:17" s="116" customFormat="1" ht="15.75" thickBot="1">
      <c r="A67" s="514" t="s">
        <v>2588</v>
      </c>
      <c r="B67" s="515"/>
      <c r="C67" s="516"/>
      <c r="D67" s="517"/>
      <c r="E67" s="517"/>
      <c r="F67" s="517"/>
      <c r="G67" s="517"/>
      <c r="H67" s="517"/>
      <c r="I67" s="517"/>
      <c r="J67" s="517"/>
      <c r="K67" s="517"/>
      <c r="L67" s="517"/>
      <c r="M67" s="518"/>
      <c r="N67" s="518"/>
      <c r="O67" s="519"/>
      <c r="P67" s="503"/>
      <c r="Q67" s="503"/>
    </row>
    <row r="68" spans="1:17" s="116" customFormat="1" ht="15">
      <c r="A68" s="520" t="s">
        <v>2553</v>
      </c>
      <c r="B68" s="509"/>
      <c r="C68" s="521" t="s">
        <v>2655</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2591</v>
      </c>
      <c r="B70" s="527" t="s">
        <v>2557</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2560</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2561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2562</v>
      </c>
      <c r="B83" s="527" t="s">
        <v>2708</v>
      </c>
      <c r="C83" s="572" t="s">
        <v>2600</v>
      </c>
      <c r="D83" s="572" t="s">
        <v>2601</v>
      </c>
      <c r="E83" s="572" t="s">
        <v>2602</v>
      </c>
      <c r="F83" s="572" t="s">
        <v>2603</v>
      </c>
      <c r="G83" s="572" t="s">
        <v>2604</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2605</v>
      </c>
      <c r="C85" s="577" t="s">
        <v>2600</v>
      </c>
      <c r="D85" s="577" t="s">
        <v>2601</v>
      </c>
      <c r="E85" s="577" t="s">
        <v>2602</v>
      </c>
      <c r="F85" s="577" t="s">
        <v>2603</v>
      </c>
      <c r="G85" s="577" t="s">
        <v>2604</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6" customFormat="1" ht="15.75" thickTop="1">
      <c r="A87" s="578"/>
      <c r="B87" s="537" t="s">
        <v>2787</v>
      </c>
      <c r="C87" s="572" t="s">
        <v>2600</v>
      </c>
      <c r="D87" s="572" t="s">
        <v>2601</v>
      </c>
      <c r="E87" s="572" t="s">
        <v>2602</v>
      </c>
      <c r="F87" s="572" t="s">
        <v>2603</v>
      </c>
      <c r="G87" s="572" t="s">
        <v>2604</v>
      </c>
      <c r="H87" s="577"/>
      <c r="I87" s="577"/>
      <c r="J87" s="577"/>
      <c r="K87" s="577"/>
      <c r="L87" s="697"/>
      <c r="M87" s="621"/>
      <c r="N87" s="1153"/>
      <c r="O87" s="1153"/>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6" customFormat="1" ht="27.75" thickTop="1">
      <c r="A89" s="578"/>
      <c r="B89" s="537" t="s">
        <v>2788</v>
      </c>
      <c r="C89" s="572" t="s">
        <v>2600</v>
      </c>
      <c r="D89" s="572" t="s">
        <v>2601</v>
      </c>
      <c r="E89" s="572" t="s">
        <v>2602</v>
      </c>
      <c r="F89" s="572" t="s">
        <v>2603</v>
      </c>
      <c r="G89" s="572" t="s">
        <v>2604</v>
      </c>
      <c r="H89" s="577"/>
      <c r="I89" s="577"/>
      <c r="J89" s="577"/>
      <c r="K89" s="577"/>
      <c r="L89" s="577"/>
      <c r="M89" s="621"/>
      <c r="N89" s="1153"/>
      <c r="O89" s="1153"/>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2657</v>
      </c>
      <c r="C91" s="572" t="s">
        <v>2600</v>
      </c>
      <c r="D91" s="572" t="s">
        <v>2601</v>
      </c>
      <c r="E91" s="572" t="s">
        <v>2602</v>
      </c>
      <c r="F91" s="572" t="s">
        <v>2603</v>
      </c>
      <c r="G91" s="572" t="s">
        <v>2604</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2805</v>
      </c>
      <c r="C93" s="659" t="s">
        <v>2678</v>
      </c>
      <c r="D93" s="659" t="s">
        <v>2679</v>
      </c>
      <c r="E93" s="659" t="s">
        <v>2680</v>
      </c>
      <c r="F93" s="659" t="s">
        <v>2681</v>
      </c>
      <c r="G93" s="659" t="s">
        <v>2682</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2789</v>
      </c>
      <c r="D95" s="538" t="s">
        <v>2790</v>
      </c>
      <c r="E95" s="538" t="s">
        <v>2791</v>
      </c>
      <c r="F95" s="538" t="s">
        <v>2792</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2694</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2752</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2566</v>
      </c>
      <c r="B107" s="527" t="s">
        <v>2793</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2794</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2796</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2797</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4" customWidth="1"/>
    <col min="33" max="36" width="9.375" style="2797" customWidth="1"/>
    <col min="37" max="38" width="9.375" style="2721" customWidth="1"/>
    <col min="39" max="16384" width="12" style="2721"/>
  </cols>
  <sheetData>
    <row r="1" spans="1:36" ht="28.5">
      <c r="A1" s="239" t="s">
        <v>2806</v>
      </c>
      <c r="B1" s="240"/>
      <c r="C1" s="244" t="s">
        <v>2807</v>
      </c>
      <c r="D1" s="387">
        <f>SUM(D29:D30,D33:D39)</f>
        <v>0</v>
      </c>
      <c r="E1" s="2718"/>
      <c r="F1" s="2718"/>
      <c r="G1" s="2718"/>
      <c r="H1" s="2718"/>
      <c r="I1" s="2718"/>
      <c r="J1" s="2718"/>
      <c r="K1" s="1372"/>
      <c r="L1" s="2719" t="s">
        <v>2808</v>
      </c>
      <c r="M1" s="1082">
        <f>SUMPRODUCT((区片价!B5:B9=I2)*(区片价!C3:F3=E2)*(区片价!C5:F9))</f>
        <v>0</v>
      </c>
      <c r="N1" s="1085">
        <f>SUMPRODUCT((因素修正幅度!B5:B9=I2)*(因素修正幅度!C3:F3=E2)*(因素修正幅度!C5:F9))</f>
        <v>0</v>
      </c>
      <c r="O1" s="2720"/>
      <c r="P1" s="2720"/>
      <c r="Q1" s="1372"/>
      <c r="R1" s="1604" t="s">
        <v>2809</v>
      </c>
      <c r="S1" s="1604" t="s">
        <v>2810</v>
      </c>
      <c r="T1" s="1604" t="s">
        <v>2811</v>
      </c>
      <c r="U1" s="1604" t="s">
        <v>2812</v>
      </c>
      <c r="V1" s="1604" t="s">
        <v>2813</v>
      </c>
      <c r="W1" s="1608"/>
      <c r="X1" s="1608"/>
      <c r="Y1" s="1608"/>
      <c r="Z1" s="1608"/>
      <c r="AA1" s="1608"/>
      <c r="AB1" s="1608"/>
      <c r="AC1" s="1609"/>
      <c r="AD1" s="1610"/>
      <c r="AE1" s="1610"/>
      <c r="AF1" s="1610"/>
      <c r="AG1" s="1610"/>
      <c r="AH1" s="1610"/>
      <c r="AI1" s="1610"/>
      <c r="AJ1" s="1611"/>
    </row>
    <row r="2" spans="1:36" ht="15.75">
      <c r="A2" s="244" t="s">
        <v>2814</v>
      </c>
      <c r="B2" s="247" t="e">
        <f>C26</f>
        <v>#DIV/0!</v>
      </c>
      <c r="C2" s="2722" t="s">
        <v>2815</v>
      </c>
      <c r="D2" s="2723" t="s">
        <v>2816</v>
      </c>
      <c r="E2" s="2724"/>
      <c r="F2" s="2723" t="s">
        <v>2817</v>
      </c>
      <c r="G2" s="2725">
        <f>IF(E2="商业",项目基本情况!B37,IF(E2="办公",项目基本情况!C37,IF(E2="住宅",项目基本情况!D37,项目基本情况!E37)))</f>
        <v>0</v>
      </c>
      <c r="H2" s="2723" t="s">
        <v>2818</v>
      </c>
      <c r="I2" s="2725">
        <f>IF(E2="商业",项目基本情况!B38,IF(E2="办公",项目基本情况!C38,IF(E2="住宅",项目基本情况!D38,项目基本情况!E38)))</f>
        <v>0</v>
      </c>
      <c r="J2" s="2726"/>
      <c r="K2" s="1372"/>
      <c r="L2" s="2727" t="s">
        <v>2819</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2820</v>
      </c>
      <c r="B3" s="247" t="e">
        <f>ROUND(B2*10000/D1,0)</f>
        <v>#DIV/0!</v>
      </c>
      <c r="C3" s="2722" t="s">
        <v>2821</v>
      </c>
      <c r="D3" s="2723" t="s">
        <v>2822</v>
      </c>
      <c r="E3" s="2728"/>
      <c r="F3" s="2729" t="s">
        <v>2823</v>
      </c>
      <c r="G3" s="915">
        <f>IF(F3="宗地容积率",'数据-汇总表'!I4,IF(F3="估价对象容积率",'数据-汇总表'!I6,'数据-汇总表'!I7))</f>
        <v>4.29</v>
      </c>
      <c r="H3" s="197" t="s">
        <v>2824</v>
      </c>
      <c r="I3" s="946"/>
      <c r="J3" s="2726" t="s">
        <v>2825</v>
      </c>
      <c r="K3" s="1372"/>
      <c r="L3" s="2727" t="s">
        <v>2826</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76"/>
      <c r="B4" s="3277"/>
      <c r="C4" s="3277"/>
      <c r="D4" s="3278"/>
      <c r="E4" s="3278"/>
      <c r="F4" s="3278"/>
      <c r="G4" s="3278"/>
      <c r="H4" s="3278"/>
      <c r="I4" s="3278"/>
      <c r="J4" s="3279"/>
      <c r="K4" s="1372"/>
      <c r="L4" s="2727" t="s">
        <v>2827</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9" customFormat="1" ht="15.75" thickBot="1">
      <c r="A5" s="2730" t="s">
        <v>807</v>
      </c>
      <c r="B5" s="2731" t="s">
        <v>2828</v>
      </c>
      <c r="C5" s="916" t="e">
        <f>ROUND(IF(E2="商业",IF(F16="增加",C6*C7+C16,C6*C7-C16),IF(E2="住宅",IF(F16="增加",C6*C12+C16,C6*C12-C16),IF(F16="增加",C6+C16,C6-C16))),0)</f>
        <v>#DIV/0!</v>
      </c>
      <c r="D5" s="1789">
        <f>ROUND(IF(E2="商业",IF(F16="增加",C6+C16,C6-C16)),0)</f>
        <v>0</v>
      </c>
      <c r="E5" s="2732"/>
      <c r="F5" s="2732"/>
      <c r="G5" s="2733"/>
      <c r="H5" s="2733"/>
      <c r="I5" s="2733"/>
      <c r="J5" s="2734"/>
      <c r="K5" s="2735"/>
      <c r="L5" s="2727" t="s">
        <v>2829</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6"/>
      <c r="AD5" s="2737"/>
      <c r="AE5" s="2737"/>
      <c r="AF5" s="2737"/>
      <c r="AG5" s="2737"/>
      <c r="AH5" s="2737"/>
      <c r="AI5" s="2737"/>
      <c r="AJ5" s="2738"/>
    </row>
    <row r="6" spans="1:36" ht="15.75" thickBot="1">
      <c r="A6" s="2740" t="s">
        <v>2830</v>
      </c>
      <c r="B6" s="2741" t="s">
        <v>2831</v>
      </c>
      <c r="C6" s="917">
        <f>SUMIF(L1:L12,G2,M1:M12)</f>
        <v>0</v>
      </c>
      <c r="D6" s="2742" t="s">
        <v>2832</v>
      </c>
      <c r="E6" s="2743"/>
      <c r="F6" s="2743"/>
      <c r="G6" s="2744"/>
      <c r="H6" s="2744"/>
      <c r="I6" s="2744"/>
      <c r="J6" s="2745"/>
      <c r="K6" s="1844"/>
      <c r="L6" s="2727" t="s">
        <v>2833</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6"/>
      <c r="AD6" s="2737"/>
      <c r="AE6" s="2737"/>
      <c r="AF6" s="2737"/>
      <c r="AG6" s="2737"/>
      <c r="AH6" s="2737"/>
      <c r="AI6" s="2737"/>
      <c r="AJ6" s="2738"/>
    </row>
    <row r="7" spans="1:36" ht="24">
      <c r="A7" s="3262" t="str">
        <f>IF(E2="商业",IF(C8="不临58条商业街","",2),"")</f>
        <v/>
      </c>
      <c r="B7" s="2746" t="s">
        <v>2834</v>
      </c>
      <c r="C7" s="918" t="e">
        <f>IF(C8="不临58条商业街",1,ROUND(1+(1.6*E8+1.2*E9+0.8*E10+0.4*E11)*C9,4))</f>
        <v>#DIV/0!</v>
      </c>
      <c r="D7" s="2747" t="s">
        <v>2835</v>
      </c>
      <c r="E7" s="947"/>
      <c r="F7" s="2748"/>
      <c r="G7" s="2749"/>
      <c r="H7" s="2749"/>
      <c r="I7" s="2749"/>
      <c r="J7" s="2750"/>
      <c r="K7" s="1844"/>
      <c r="L7" s="2727" t="s">
        <v>2836</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2837</v>
      </c>
      <c r="X7" s="1606">
        <f>G2</f>
        <v>0</v>
      </c>
      <c r="Y7" s="1606" t="s">
        <v>2838</v>
      </c>
      <c r="Z7" s="1607">
        <f>G3</f>
        <v>4.29</v>
      </c>
      <c r="AA7" s="1608"/>
      <c r="AB7" s="1608"/>
      <c r="AC7" s="1609"/>
      <c r="AD7" s="1610"/>
      <c r="AE7" s="1610"/>
      <c r="AF7" s="1610"/>
      <c r="AG7" s="1610"/>
      <c r="AH7" s="1610"/>
      <c r="AI7" s="1610"/>
      <c r="AJ7" s="1611"/>
    </row>
    <row r="8" spans="1:36" ht="15">
      <c r="A8" s="3263"/>
      <c r="B8" s="197" t="s">
        <v>2839</v>
      </c>
      <c r="C8" s="2751"/>
      <c r="D8" s="919" t="s">
        <v>139</v>
      </c>
      <c r="E8" s="920" t="e">
        <f>ROUND(C11/E7,4)</f>
        <v>#DIV/0!</v>
      </c>
      <c r="F8" s="2752" t="s">
        <v>2840</v>
      </c>
      <c r="G8" s="2753"/>
      <c r="H8" s="2753"/>
      <c r="I8" s="2753"/>
      <c r="J8" s="2754"/>
      <c r="K8" s="1372"/>
      <c r="L8" s="2727" t="s">
        <v>2841</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73" t="s">
        <v>2842</v>
      </c>
      <c r="X8" s="3274"/>
      <c r="Y8" s="1612" t="s">
        <v>2843</v>
      </c>
      <c r="Z8" s="1612" t="s">
        <v>2844</v>
      </c>
      <c r="AA8" s="1612" t="s">
        <v>2845</v>
      </c>
      <c r="AB8" s="1612" t="s">
        <v>2846</v>
      </c>
      <c r="AC8" s="1612" t="s">
        <v>2847</v>
      </c>
      <c r="AD8" s="1612" t="s">
        <v>2848</v>
      </c>
      <c r="AE8" s="1612" t="s">
        <v>2849</v>
      </c>
      <c r="AF8" s="1612" t="s">
        <v>2850</v>
      </c>
      <c r="AG8" s="1612" t="s">
        <v>2851</v>
      </c>
      <c r="AH8" s="1612" t="s">
        <v>2852</v>
      </c>
      <c r="AI8" s="1612" t="s">
        <v>2853</v>
      </c>
      <c r="AJ8" s="1612" t="s">
        <v>2854</v>
      </c>
    </row>
    <row r="9" spans="1:36" ht="15">
      <c r="A9" s="3263"/>
      <c r="B9" s="197" t="s">
        <v>2855</v>
      </c>
      <c r="C9" s="921">
        <f>SUMIF(修正!C59:C119,C8,修正!E59:E119)</f>
        <v>0</v>
      </c>
      <c r="D9" s="199" t="s">
        <v>140</v>
      </c>
      <c r="E9" s="199" t="e">
        <f>ROUND(C11/E7,4)</f>
        <v>#DIV/0!</v>
      </c>
      <c r="F9" s="2752" t="s">
        <v>2856</v>
      </c>
      <c r="G9" s="2753"/>
      <c r="H9" s="2753"/>
      <c r="I9" s="2753"/>
      <c r="J9" s="2754"/>
      <c r="K9" s="1372"/>
      <c r="L9" s="2727" t="s">
        <v>2857</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75" t="s">
        <v>2858</v>
      </c>
      <c r="X9" s="1613" t="s">
        <v>2859</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3"/>
      <c r="B10" s="197" t="s">
        <v>2860</v>
      </c>
      <c r="C10" s="199">
        <f>SUMIF(修正!C59:C119,C8,修正!F59:F119)</f>
        <v>0</v>
      </c>
      <c r="D10" s="199" t="s">
        <v>141</v>
      </c>
      <c r="E10" s="199" t="e">
        <f>ROUND(C11/E7,4)</f>
        <v>#DIV/0!</v>
      </c>
      <c r="F10" s="2752" t="s">
        <v>2861</v>
      </c>
      <c r="G10" s="2753"/>
      <c r="H10" s="2753"/>
      <c r="I10" s="2753"/>
      <c r="J10" s="2754"/>
      <c r="K10" s="1372"/>
      <c r="L10" s="2727" t="s">
        <v>2862</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75"/>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3"/>
      <c r="B11" s="2755" t="s">
        <v>2863</v>
      </c>
      <c r="C11" s="922">
        <f>C10/4</f>
        <v>0</v>
      </c>
      <c r="D11" s="922" t="s">
        <v>142</v>
      </c>
      <c r="E11" s="922" t="e">
        <f>ROUND(C11/E7,4)</f>
        <v>#DIV/0!</v>
      </c>
      <c r="F11" s="2756" t="s">
        <v>2864</v>
      </c>
      <c r="G11" s="2757"/>
      <c r="H11" s="2757"/>
      <c r="I11" s="2757"/>
      <c r="J11" s="2758"/>
      <c r="K11" s="1372"/>
      <c r="L11" s="2727" t="s">
        <v>2865</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75" t="s">
        <v>2866</v>
      </c>
      <c r="X11" s="1616" t="s">
        <v>2867</v>
      </c>
      <c r="Y11" s="1617">
        <f>$G$3</f>
        <v>4.29</v>
      </c>
      <c r="Z11" s="1617">
        <f t="shared" ref="Z11:AJ11" si="3">$G$3</f>
        <v>4.29</v>
      </c>
      <c r="AA11" s="1617">
        <f t="shared" si="3"/>
        <v>4.29</v>
      </c>
      <c r="AB11" s="1617">
        <f t="shared" si="3"/>
        <v>4.29</v>
      </c>
      <c r="AC11" s="1617">
        <f t="shared" si="3"/>
        <v>4.29</v>
      </c>
      <c r="AD11" s="1617">
        <f t="shared" si="3"/>
        <v>4.29</v>
      </c>
      <c r="AE11" s="1617">
        <f t="shared" si="3"/>
        <v>4.29</v>
      </c>
      <c r="AF11" s="1617">
        <f t="shared" si="3"/>
        <v>4.29</v>
      </c>
      <c r="AG11" s="1617">
        <f t="shared" si="3"/>
        <v>4.29</v>
      </c>
      <c r="AH11" s="1617">
        <f t="shared" si="3"/>
        <v>4.29</v>
      </c>
      <c r="AI11" s="1617">
        <f t="shared" si="3"/>
        <v>4.29</v>
      </c>
      <c r="AJ11" s="1617">
        <f t="shared" si="3"/>
        <v>4.29</v>
      </c>
    </row>
    <row r="12" spans="1:36" ht="25.5" thickBot="1">
      <c r="A12" s="3262" t="s">
        <v>2868</v>
      </c>
      <c r="B12" s="2759" t="s">
        <v>2869</v>
      </c>
      <c r="C12" s="918">
        <f>ROUND(C15*D15*E15*F15*G15*H15*I15*J15,4)</f>
        <v>1</v>
      </c>
      <c r="D12" s="2760" t="s">
        <v>2870</v>
      </c>
      <c r="E12" s="2761"/>
      <c r="F12" s="2761"/>
      <c r="G12" s="2762"/>
      <c r="H12" s="2762"/>
      <c r="I12" s="2762"/>
      <c r="J12" s="2763"/>
      <c r="K12" s="1372"/>
      <c r="L12" s="2764" t="s">
        <v>2871</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75"/>
      <c r="X12" s="1618" t="s">
        <v>2872</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0"/>
      <c r="B13" s="2765" t="s">
        <v>2873</v>
      </c>
      <c r="C13" s="2766" t="s">
        <v>2874</v>
      </c>
      <c r="D13" s="1810" t="s">
        <v>2875</v>
      </c>
      <c r="E13" s="1810" t="s">
        <v>2876</v>
      </c>
      <c r="F13" s="30" t="s">
        <v>2877</v>
      </c>
      <c r="G13" s="2767" t="s">
        <v>2878</v>
      </c>
      <c r="H13" s="2767" t="s">
        <v>2878</v>
      </c>
      <c r="I13" s="2767" t="s">
        <v>2878</v>
      </c>
      <c r="J13" s="2768" t="s">
        <v>2878</v>
      </c>
      <c r="K13" s="1372"/>
      <c r="L13" s="1372"/>
      <c r="M13" s="1372"/>
      <c r="N13" s="1372"/>
      <c r="O13" s="1372"/>
      <c r="P13" s="1372"/>
      <c r="Q13" s="1372"/>
      <c r="R13" s="1604">
        <v>12</v>
      </c>
      <c r="S13" s="1605"/>
      <c r="T13" s="1604" t="e">
        <f t="shared" si="0"/>
        <v>#DIV/0!</v>
      </c>
      <c r="U13" s="1605"/>
      <c r="V13" s="1604" t="e">
        <f t="shared" si="1"/>
        <v>#DIV/0!</v>
      </c>
      <c r="W13" s="3275"/>
      <c r="X13" s="1618"/>
      <c r="Y13" s="1615">
        <f>(-0.163*(Y12^2)-0.59*Y12+7617)*(10^(-4))/Y11</f>
        <v>0.17755244755244756</v>
      </c>
      <c r="Z13" s="1615">
        <f t="shared" ref="Z13:AJ13" si="5">(-0.163*(Z12^2)-0.59*Z12+7617)*(10^(-4))/Z11</f>
        <v>0.17755244755244756</v>
      </c>
      <c r="AA13" s="1615">
        <f t="shared" si="5"/>
        <v>0.17755244755244756</v>
      </c>
      <c r="AB13" s="1615">
        <f t="shared" si="5"/>
        <v>0.17755244755244756</v>
      </c>
      <c r="AC13" s="1615">
        <f t="shared" si="5"/>
        <v>0.17755244755244756</v>
      </c>
      <c r="AD13" s="1615">
        <f t="shared" si="5"/>
        <v>0.17755244755244756</v>
      </c>
      <c r="AE13" s="1615">
        <f t="shared" si="5"/>
        <v>0.17755244755244756</v>
      </c>
      <c r="AF13" s="1615">
        <f t="shared" si="5"/>
        <v>0.17755244755244756</v>
      </c>
      <c r="AG13" s="1615">
        <f t="shared" si="5"/>
        <v>0.17755244755244756</v>
      </c>
      <c r="AH13" s="1615">
        <f t="shared" si="5"/>
        <v>0.17755244755244756</v>
      </c>
      <c r="AI13" s="1615">
        <f t="shared" si="5"/>
        <v>0.17755244755244756</v>
      </c>
      <c r="AJ13" s="1615">
        <f t="shared" si="5"/>
        <v>0.17755244755244756</v>
      </c>
    </row>
    <row r="14" spans="1:36" ht="15">
      <c r="A14" s="3280"/>
      <c r="B14" s="2769"/>
      <c r="C14" s="2770"/>
      <c r="D14" s="2771"/>
      <c r="E14" s="2771"/>
      <c r="F14" s="2772"/>
      <c r="G14" s="2773" t="s">
        <v>2879</v>
      </c>
      <c r="H14" s="2774"/>
      <c r="I14" s="2775"/>
      <c r="J14" s="2776"/>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81"/>
      <c r="B15" s="2777" t="s">
        <v>2880</v>
      </c>
      <c r="C15" s="228">
        <f>IF(C14="有",1.1,1)</f>
        <v>1</v>
      </c>
      <c r="D15" s="228">
        <f>IF(D14="有",1.1,1)</f>
        <v>1</v>
      </c>
      <c r="E15" s="228">
        <f>IF(E14="有",1.1,1)</f>
        <v>1</v>
      </c>
      <c r="F15" s="228">
        <f>IF(F14="500米范围内",1.2,IF(F14="500-1000米",1.1,1))</f>
        <v>1</v>
      </c>
      <c r="G15" s="948">
        <v>1</v>
      </c>
      <c r="H15" s="948">
        <v>1</v>
      </c>
      <c r="I15" s="948">
        <v>1</v>
      </c>
      <c r="J15" s="949">
        <v>1</v>
      </c>
      <c r="K15" s="1372"/>
      <c r="L15" s="2778" t="s">
        <v>2816</v>
      </c>
      <c r="M15" s="919" t="s">
        <v>2881</v>
      </c>
      <c r="N15" s="919" t="s">
        <v>2882</v>
      </c>
      <c r="O15" s="919" t="s">
        <v>2883</v>
      </c>
      <c r="P15" s="2779" t="s">
        <v>2884</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2" t="s">
        <v>2885</v>
      </c>
      <c r="B16" s="2746" t="s">
        <v>2886</v>
      </c>
      <c r="C16" s="1803" t="e">
        <f>ROUND(SUM(G17:J17)/C17,0)</f>
        <v>#DIV/0!</v>
      </c>
      <c r="D16" s="2780" t="s">
        <v>2887</v>
      </c>
      <c r="E16" s="2781"/>
      <c r="F16" s="2782"/>
      <c r="G16" s="2783"/>
      <c r="H16" s="2783"/>
      <c r="I16" s="2783"/>
      <c r="J16" s="2784"/>
      <c r="K16" s="1372"/>
      <c r="L16" s="2785" t="s">
        <v>2888</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3"/>
      <c r="B17" s="2786" t="s">
        <v>2889</v>
      </c>
      <c r="C17" s="923">
        <f>SUMPRODUCT((修正!A2:A5=E2)*(修正!B1:M1=G2)*(修正!B2:M5))</f>
        <v>0</v>
      </c>
      <c r="D17" s="2787" t="s">
        <v>2890</v>
      </c>
      <c r="E17" s="922" t="str">
        <f>IF(OR(G2="八级",G2="九级",G2="十级",G2="十一级",G2="十二级"),"五通一平","七通一平")</f>
        <v>七通一平</v>
      </c>
      <c r="F17" s="923" t="s">
        <v>2891</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8" t="s">
        <v>2892</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9"/>
      <c r="AF17" s="2789"/>
      <c r="AG17" s="2721"/>
      <c r="AH17" s="2721"/>
      <c r="AI17" s="2721"/>
      <c r="AJ17" s="2721"/>
    </row>
    <row r="18" spans="1:37" s="2739" customFormat="1" ht="15.75" thickBot="1">
      <c r="A18" s="2790" t="s">
        <v>808</v>
      </c>
      <c r="B18" s="2791" t="s">
        <v>2893</v>
      </c>
      <c r="C18" s="925">
        <f>SUMIF(修正!C18:C39,E3,修正!E18:E39)</f>
        <v>0</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7.75" thickBot="1">
      <c r="A19" s="2790" t="s">
        <v>809</v>
      </c>
      <c r="B19" s="2791" t="s">
        <v>2894</v>
      </c>
      <c r="C19" s="926" t="e">
        <f>ROUND(IF(H19="按公示增长率计算",SUMPRODUCT((地价!A3:A21=YEAR(G19)&amp;"-"&amp;ROUNDUP(MONTH(G19)/3,0))*(地价!X2:AB2=E2)*(地价!X3:AB21)),IF(H19="地价指数",M20/M19,(1+I19)^O19)),4)</f>
        <v>#DIV/0!</v>
      </c>
      <c r="D19" s="2798" t="s">
        <v>2895</v>
      </c>
      <c r="E19" s="927">
        <v>41640</v>
      </c>
      <c r="F19" s="2798" t="s">
        <v>2896</v>
      </c>
      <c r="G19" s="928">
        <f>'数据-取费表'!B2</f>
        <v>43160</v>
      </c>
      <c r="H19" s="2799" t="s">
        <v>2897</v>
      </c>
      <c r="I19" s="929" t="str">
        <f>IF(H19="季度增幅（自定义）",SUMIF(N21:N24,E2,O21:O24),"")</f>
        <v/>
      </c>
      <c r="J19" s="2796"/>
      <c r="K19" s="1379"/>
      <c r="L19" s="2800" t="s">
        <v>2898</v>
      </c>
      <c r="M19" s="1736">
        <f>ROUND(SUMIF(地价!B2:F2,E2,地价!B21:F21),0)</f>
        <v>0</v>
      </c>
      <c r="N19" s="2801" t="s">
        <v>2899</v>
      </c>
      <c r="O19" s="930">
        <f>ROUNDDOWN(DATEDIF(E19,G19,"M")/3,0)</f>
        <v>16</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7.75" thickBot="1">
      <c r="A20" s="2805" t="s">
        <v>810</v>
      </c>
      <c r="B20" s="2806" t="s">
        <v>2900</v>
      </c>
      <c r="C20" s="931" t="e">
        <f>ROUND(POWER(1+G20,J20-I20)*(POWER(1+G20,I20)-1)/(POWER(1+G20,J20)-1),4)</f>
        <v>#DIV/0!</v>
      </c>
      <c r="D20" s="2807" t="s">
        <v>2901</v>
      </c>
      <c r="E20" s="1770">
        <f ca="1">存贷款利率!D4/100</f>
        <v>4.3499999999999997E-2</v>
      </c>
      <c r="F20" s="2807" t="s">
        <v>2892</v>
      </c>
      <c r="G20" s="936">
        <f>SUMIF(M15:P15,E2,M17:P17)</f>
        <v>0</v>
      </c>
      <c r="H20" s="2807" t="s">
        <v>2902</v>
      </c>
      <c r="I20" s="937" t="e">
        <f>SUMIF('数据-取费表'!C6:C15,E2,'数据-取费表'!F6:F15)/COUNTIF('数据-取费表'!C6:C15,E2)</f>
        <v>#DIV/0!</v>
      </c>
      <c r="J20" s="938">
        <f>IF(E2="住宅",70,IF(E2="商业",40,50))</f>
        <v>50</v>
      </c>
      <c r="K20" s="1379"/>
      <c r="L20" s="2808" t="s">
        <v>2903</v>
      </c>
      <c r="M20" s="1737">
        <f>ROUND(SUMPRODUCT((地价!A4:A21=YEAR(G19)&amp;"-"&amp;ROUNDUP(MONTH(G19)/3,0))*(地价!B2:F2=E2)*(地价!B4:F21)),0)</f>
        <v>0</v>
      </c>
      <c r="N20" s="2809" t="s">
        <v>2904</v>
      </c>
      <c r="O20" s="2810" t="s">
        <v>2905</v>
      </c>
      <c r="P20" s="2811" t="s">
        <v>2906</v>
      </c>
      <c r="R20" s="1378"/>
      <c r="S20" s="1378"/>
      <c r="T20" s="1373"/>
      <c r="U20" s="1373"/>
      <c r="V20" s="1373"/>
      <c r="W20" s="1372"/>
      <c r="X20" s="1372"/>
      <c r="Y20" s="1372"/>
      <c r="Z20" s="1379"/>
      <c r="AA20" s="1380"/>
      <c r="AB20" s="1380"/>
      <c r="AC20" s="1380"/>
      <c r="AD20" s="1380"/>
      <c r="AE20" s="1380"/>
      <c r="AF20" s="1380"/>
    </row>
    <row r="21" spans="1:37" s="2739" customFormat="1" ht="15">
      <c r="A21" s="2812" t="s">
        <v>811</v>
      </c>
      <c r="B21" s="2813" t="s">
        <v>2907</v>
      </c>
      <c r="C21" s="939">
        <f>IF(B21="容积率修正",IF(G3&lt;=10,D22,J22),C23)</f>
        <v>0</v>
      </c>
      <c r="D21" s="2814"/>
      <c r="E21" s="2814"/>
      <c r="F21" s="2814"/>
      <c r="G21" s="2814"/>
      <c r="H21" s="2814"/>
      <c r="I21" s="2814"/>
      <c r="J21" s="2815"/>
      <c r="K21" s="1379"/>
      <c r="N21" s="2816" t="s">
        <v>2908</v>
      </c>
      <c r="O21" s="1563"/>
      <c r="P21" s="1564">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39" customFormat="1" ht="14.25">
      <c r="A22" s="2665" t="s">
        <v>2909</v>
      </c>
      <c r="B22" s="2817" t="s">
        <v>2910</v>
      </c>
      <c r="C22" s="1812" t="s">
        <v>2911</v>
      </c>
      <c r="D22" s="1812">
        <f>IF(E22=G22,F22,IF(G3&lt;=10,ROUND(F22+(H22-F22)*(G3-E22)/(G22-E22),4),"——"))</f>
        <v>0</v>
      </c>
      <c r="E22" s="915">
        <f>ROUNDDOWN(G3,1)</f>
        <v>4.2</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4.3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6" t="s">
        <v>2912</v>
      </c>
      <c r="O22" s="1563"/>
      <c r="P22" s="1564">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65" t="s">
        <v>2913</v>
      </c>
      <c r="B23" s="2818" t="s">
        <v>2914</v>
      </c>
      <c r="C23" s="1015">
        <f>ROUND(IF(G3&gt;1,IF(I3&lt;7,SUMPRODUCT((B93:B98=I3)*(C92:N92=G2)*(C93:N98)),SUMIF(C92:N92,G2,C100:N100)),IF(I3&lt;7,SUMPRODUCT((B102:B107=I3)*(C92:N92=G2)*(C102:N107)),SUMIF(C92:N92,G2,C109:N109))),4)</f>
        <v>0</v>
      </c>
      <c r="D23" s="2774"/>
      <c r="E23" s="2774"/>
      <c r="F23" s="2819"/>
      <c r="G23" s="2820"/>
      <c r="H23" s="2821"/>
      <c r="I23" s="2822"/>
      <c r="J23" s="2823"/>
      <c r="K23" s="1372"/>
      <c r="N23" s="2816" t="s">
        <v>2915</v>
      </c>
      <c r="O23" s="1563"/>
      <c r="P23" s="1564">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797"/>
    </row>
    <row r="24" spans="1:37" s="2739" customFormat="1" ht="15.75" thickBot="1">
      <c r="A24" s="2805" t="s">
        <v>812</v>
      </c>
      <c r="B24" s="2791" t="s">
        <v>2916</v>
      </c>
      <c r="C24" s="926">
        <f>SUMIF(A45:A88,E2,B45:B88)</f>
        <v>0</v>
      </c>
      <c r="D24" s="2794"/>
      <c r="E24" s="2824"/>
      <c r="F24" s="2824"/>
      <c r="G24" s="2824"/>
      <c r="H24" s="2824"/>
      <c r="I24" s="2824"/>
      <c r="J24" s="2825"/>
      <c r="K24" s="1379"/>
      <c r="N24" s="2826" t="s">
        <v>2917</v>
      </c>
      <c r="O24" s="1565"/>
      <c r="P24" s="1566">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805" t="s">
        <v>813</v>
      </c>
      <c r="B25" s="2827" t="s">
        <v>2918</v>
      </c>
      <c r="C25" s="932"/>
      <c r="D25" s="2749"/>
      <c r="E25" s="2749"/>
      <c r="F25" s="2828"/>
      <c r="G25" s="2749"/>
      <c r="H25" s="2749"/>
      <c r="I25" s="2749"/>
      <c r="J25" s="2750"/>
      <c r="K25" s="1372"/>
      <c r="N25" s="2829" t="s">
        <v>2919</v>
      </c>
      <c r="O25" s="1567"/>
      <c r="P25" s="1566">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30"/>
      <c r="B26" s="2817" t="s">
        <v>2920</v>
      </c>
      <c r="C26" s="205" t="e">
        <f>E29+SUM(E33:E39)</f>
        <v>#DIV/0!</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75" thickBot="1">
      <c r="A27" s="2830"/>
      <c r="B27" s="2834" t="s">
        <v>2921</v>
      </c>
      <c r="C27" s="933" t="e">
        <f>E30+SUM(I33:I39)</f>
        <v>#DIV/0!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9"/>
      <c r="B28" s="2840" t="s">
        <v>2922</v>
      </c>
      <c r="C28" s="2841" t="s">
        <v>2923</v>
      </c>
      <c r="D28" s="2841" t="s">
        <v>2924</v>
      </c>
      <c r="E28" s="2842" t="s">
        <v>2925</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2926</v>
      </c>
      <c r="C29" s="205" t="e">
        <f>ROUND(C5*C18*C19*C20*C21*C24,0)</f>
        <v>#DIV/0!</v>
      </c>
      <c r="D29" s="2846"/>
      <c r="E29" s="944" t="e">
        <f>ROUND(C29*D29/10000,0)</f>
        <v>#DIV/0!</v>
      </c>
      <c r="F29" s="2847" t="s">
        <v>2927</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1"/>
      <c r="AH29" s="2721"/>
      <c r="AI29" s="2721"/>
      <c r="AJ29" s="2721"/>
    </row>
    <row r="30" spans="1:37" ht="25.5" thickBot="1">
      <c r="A30" s="2850"/>
      <c r="B30" s="2851" t="s">
        <v>2928</v>
      </c>
      <c r="C30" s="228" t="e">
        <f>ROUND(IF(E2="工业",C29*M39,C29*M38),0)</f>
        <v>#DIV/0!</v>
      </c>
      <c r="D30" s="2852"/>
      <c r="E30" s="944" t="e">
        <f>ROUND(C30*D30/10000,0)</f>
        <v>#DIV/0!</v>
      </c>
      <c r="F30" s="2853" t="s">
        <v>2929</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1"/>
      <c r="AH30" s="2721"/>
      <c r="AI30" s="2721"/>
      <c r="AJ30" s="2721"/>
    </row>
    <row r="31" spans="1:37" ht="14.25">
      <c r="A31" s="2856"/>
      <c r="B31" s="2857" t="s">
        <v>2930</v>
      </c>
      <c r="C31" s="2858" t="s">
        <v>2931</v>
      </c>
      <c r="D31" s="2762"/>
      <c r="E31" s="2858"/>
      <c r="F31" s="2858"/>
      <c r="G31" s="2760" t="s">
        <v>2932</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1"/>
      <c r="AH31" s="2721"/>
      <c r="AI31" s="2721"/>
      <c r="AJ31" s="2721"/>
    </row>
    <row r="32" spans="1:37" ht="24">
      <c r="A32" s="2844"/>
      <c r="B32" s="2860"/>
      <c r="C32" s="500" t="s">
        <v>2923</v>
      </c>
      <c r="D32" s="497" t="s">
        <v>2924</v>
      </c>
      <c r="E32" s="497" t="s">
        <v>2925</v>
      </c>
      <c r="F32" s="387" t="s">
        <v>2933</v>
      </c>
      <c r="G32" s="2861" t="s">
        <v>2923</v>
      </c>
      <c r="H32" s="2861" t="s">
        <v>2924</v>
      </c>
      <c r="I32" s="2861" t="s">
        <v>2925</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1"/>
      <c r="AH32" s="2721"/>
      <c r="AI32" s="2721"/>
      <c r="AJ32" s="2721"/>
    </row>
    <row r="33" spans="1:37" ht="36" customHeight="1">
      <c r="A33" s="3270" t="s">
        <v>2934</v>
      </c>
      <c r="B33" s="2862" t="s">
        <v>2935</v>
      </c>
      <c r="C33" s="205" t="e">
        <f>ROUND(D5*C19*C20*C24*F33,0)</f>
        <v>#DIV/0!</v>
      </c>
      <c r="D33" s="2846"/>
      <c r="E33" s="199" t="e">
        <f>ROUND(C33*D33/10000,0)</f>
        <v>#DIV/0!</v>
      </c>
      <c r="F33" s="199">
        <f>SUMIF(修正!A45:A56,G2,修正!B45:B56)</f>
        <v>0</v>
      </c>
      <c r="G33" s="199" t="e">
        <f t="shared" ref="G33:G39" si="6">ROUND(IF(E2="工业",C33*$M$39,C33*$M$38),0)</f>
        <v>#DIV/0!</v>
      </c>
      <c r="H33" s="199">
        <f>D33</f>
        <v>0</v>
      </c>
      <c r="I33" s="199" t="e">
        <f>ROUND(G33*H33/10000,0)</f>
        <v>#DIV/0!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1"/>
      <c r="B34" s="2766" t="s">
        <v>2936</v>
      </c>
      <c r="C34" s="205" t="e">
        <f>ROUND(D5*C19*C20*C24*F34,0)</f>
        <v>#DIV/0!</v>
      </c>
      <c r="D34" s="2846"/>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1"/>
      <c r="B35" s="2766" t="s">
        <v>2937</v>
      </c>
      <c r="C35" s="205" t="e">
        <f>ROUND(D5*C19*C20*C24*F35,0)</f>
        <v>#DIV/0!</v>
      </c>
      <c r="D35" s="2846"/>
      <c r="E35" s="199" t="e">
        <f t="shared" si="7"/>
        <v>#DIV/0!</v>
      </c>
      <c r="F35" s="199">
        <f>SUMIF(修正!A45:A56,G2,修正!D45:D56)</f>
        <v>0</v>
      </c>
      <c r="G35" s="199" t="e">
        <f t="shared" si="6"/>
        <v>#DIV/0!</v>
      </c>
      <c r="H35" s="199">
        <f t="shared" si="8"/>
        <v>0</v>
      </c>
      <c r="I35" s="199" t="e">
        <f t="shared" si="9"/>
        <v>#DIV/0!</v>
      </c>
      <c r="J35" s="2863"/>
      <c r="K35" s="1372"/>
      <c r="L35" s="1372"/>
      <c r="M35" s="1372"/>
      <c r="N35" s="1372"/>
      <c r="O35" s="1372"/>
      <c r="P35" s="1372"/>
      <c r="Q35" s="1372"/>
      <c r="R35" s="1372"/>
      <c r="S35" s="1372"/>
      <c r="T35" s="1372"/>
      <c r="U35" s="1372"/>
      <c r="V35" s="1372"/>
      <c r="W35" s="1372"/>
      <c r="X35" s="1372"/>
      <c r="Y35" s="1372"/>
      <c r="Z35" s="1373"/>
    </row>
    <row r="36" spans="1:37" ht="13.5" thickBot="1">
      <c r="A36" s="3272"/>
      <c r="B36" s="2766" t="s">
        <v>2938</v>
      </c>
      <c r="C36" s="205" t="e">
        <f>ROUND(D5*C19*C20*C24*F36,0)</f>
        <v>#DIV/0!</v>
      </c>
      <c r="D36" s="2846"/>
      <c r="E36" s="199" t="e">
        <f t="shared" si="7"/>
        <v>#DIV/0!</v>
      </c>
      <c r="F36" s="199">
        <f>SUMIF(修正!A45:A56,G2,修正!E45:E56)</f>
        <v>0</v>
      </c>
      <c r="G36" s="199" t="e">
        <f t="shared" si="6"/>
        <v>#DIV/0!</v>
      </c>
      <c r="H36" s="199">
        <f t="shared" si="8"/>
        <v>0</v>
      </c>
      <c r="I36" s="199" t="e">
        <f t="shared" si="9"/>
        <v>#DIV/0!</v>
      </c>
      <c r="J36" s="2863"/>
      <c r="K36" s="1372"/>
      <c r="L36" s="2720"/>
      <c r="M36" s="2720"/>
      <c r="N36" s="1372"/>
      <c r="O36" s="1372"/>
      <c r="P36" s="1372"/>
      <c r="Q36" s="1372"/>
      <c r="R36" s="1372"/>
      <c r="S36" s="1372"/>
      <c r="T36" s="1372"/>
      <c r="U36" s="1372"/>
      <c r="V36" s="1372"/>
      <c r="W36" s="1372"/>
      <c r="X36" s="1372"/>
      <c r="Y36" s="1372"/>
      <c r="Z36" s="1373"/>
    </row>
    <row r="37" spans="1:37">
      <c r="A37" s="2864"/>
      <c r="B37" s="2766" t="s">
        <v>2939</v>
      </c>
      <c r="C37" s="199" t="e">
        <f>ROUND(C5*C19*C20*C24*F37,0)</f>
        <v>#DIV/0!</v>
      </c>
      <c r="D37" s="2846"/>
      <c r="E37" s="199" t="e">
        <f t="shared" si="7"/>
        <v>#DIV/0!</v>
      </c>
      <c r="F37" s="205">
        <f>SUMIF(修正!A45:A56,G2,修正!F45:F56)</f>
        <v>0</v>
      </c>
      <c r="G37" s="199" t="e">
        <f t="shared" si="6"/>
        <v>#DIV/0!</v>
      </c>
      <c r="H37" s="199">
        <f t="shared" si="8"/>
        <v>0</v>
      </c>
      <c r="I37" s="199" t="e">
        <f t="shared" si="9"/>
        <v>#DIV/0!</v>
      </c>
      <c r="J37" s="2863"/>
      <c r="K37" s="1372"/>
      <c r="L37" s="2865" t="s">
        <v>2940</v>
      </c>
      <c r="M37" s="2866"/>
      <c r="N37" s="1372"/>
      <c r="O37" s="1372"/>
      <c r="P37" s="1372"/>
      <c r="Q37" s="1372"/>
      <c r="R37" s="1372"/>
      <c r="S37" s="1372"/>
      <c r="T37" s="1372"/>
      <c r="U37" s="1372"/>
      <c r="V37" s="1372"/>
      <c r="W37" s="1372"/>
      <c r="X37" s="1372"/>
      <c r="Y37" s="1372"/>
      <c r="Z37" s="1373"/>
    </row>
    <row r="38" spans="1:37">
      <c r="A38" s="2864"/>
      <c r="B38" s="2766" t="s">
        <v>2941</v>
      </c>
      <c r="C38" s="199" t="e">
        <f>ROUND(C5*C19*C20*C24*F38,0)</f>
        <v>#DIV/0!</v>
      </c>
      <c r="D38" s="2846"/>
      <c r="E38" s="199" t="e">
        <f t="shared" si="7"/>
        <v>#DIV/0!</v>
      </c>
      <c r="F38" s="205">
        <f>SUMIF(修正!A45:A56,G2,修正!G45:G56)</f>
        <v>0</v>
      </c>
      <c r="G38" s="199" t="e">
        <f t="shared" si="6"/>
        <v>#DIV/0!</v>
      </c>
      <c r="H38" s="199">
        <f t="shared" si="8"/>
        <v>0</v>
      </c>
      <c r="I38" s="199" t="e">
        <f t="shared" si="9"/>
        <v>#DIV/0!</v>
      </c>
      <c r="J38" s="2863"/>
      <c r="K38" s="1372"/>
      <c r="L38" s="1889" t="s">
        <v>2942</v>
      </c>
      <c r="M38" s="2867">
        <v>0.25</v>
      </c>
      <c r="N38" s="1372"/>
      <c r="O38" s="1372"/>
      <c r="P38" s="1372"/>
      <c r="Q38" s="1372"/>
      <c r="R38" s="1372"/>
      <c r="S38" s="1372"/>
      <c r="T38" s="1372"/>
      <c r="U38" s="1372"/>
      <c r="V38" s="1372"/>
      <c r="W38" s="1372"/>
      <c r="X38" s="1372"/>
      <c r="Y38" s="1372"/>
      <c r="Z38" s="1373"/>
    </row>
    <row r="39" spans="1:37" ht="13.5" thickBot="1">
      <c r="A39" s="2850"/>
      <c r="B39" s="2868" t="s">
        <v>2943</v>
      </c>
      <c r="C39" s="228" t="e">
        <f>ROUND(C5*C19*C20*C24*F39,0)</f>
        <v>#DIV/0!</v>
      </c>
      <c r="D39" s="2852"/>
      <c r="E39" s="228" t="e">
        <f t="shared" si="7"/>
        <v>#DIV/0!</v>
      </c>
      <c r="F39" s="934">
        <f>SUMIF(修正!A45:A56,G2,修正!H45:H56)</f>
        <v>0</v>
      </c>
      <c r="G39" s="228" t="e">
        <f t="shared" si="6"/>
        <v>#DIV/0!</v>
      </c>
      <c r="H39" s="228">
        <f t="shared" si="8"/>
        <v>0</v>
      </c>
      <c r="I39" s="228" t="e">
        <f t="shared" si="9"/>
        <v>#DIV/0!</v>
      </c>
      <c r="J39" s="2869"/>
      <c r="K39" s="1372"/>
      <c r="L39" s="2870" t="s">
        <v>2884</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2"/>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75" thickBot="1">
      <c r="A45" s="2873" t="s">
        <v>2944</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5">
      <c r="A46" s="2875" t="s">
        <v>2945</v>
      </c>
      <c r="B46" s="2876">
        <f>1+E48</f>
        <v>1</v>
      </c>
      <c r="C46" s="2877"/>
      <c r="D46" s="813"/>
      <c r="E46" s="814"/>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4.75">
      <c r="A47" s="2879" t="s">
        <v>2946</v>
      </c>
      <c r="B47" s="1811" t="s">
        <v>2947</v>
      </c>
      <c r="C47" s="1811" t="s">
        <v>2948</v>
      </c>
      <c r="D47" s="1811" t="s">
        <v>2949</v>
      </c>
      <c r="E47" s="818" t="s">
        <v>2950</v>
      </c>
      <c r="F47" s="2880" t="s">
        <v>2951</v>
      </c>
      <c r="G47" s="1811" t="s">
        <v>754</v>
      </c>
      <c r="H47" s="2881" t="s">
        <v>2952</v>
      </c>
      <c r="I47" s="1811" t="s">
        <v>2953</v>
      </c>
      <c r="J47" s="602" t="s">
        <v>2600</v>
      </c>
      <c r="K47" s="602" t="s">
        <v>2601</v>
      </c>
      <c r="L47" s="602" t="s">
        <v>2602</v>
      </c>
      <c r="M47" s="602" t="s">
        <v>2603</v>
      </c>
      <c r="N47" s="602" t="s">
        <v>2604</v>
      </c>
      <c r="AA47" s="1373"/>
      <c r="AB47" s="1373"/>
      <c r="AC47" s="1373"/>
      <c r="AD47" s="1373"/>
      <c r="AE47" s="1373"/>
      <c r="AF47" s="1373"/>
      <c r="AG47" s="1373"/>
      <c r="AH47" s="1373"/>
      <c r="AI47" s="1373"/>
      <c r="AJ47" s="1373"/>
      <c r="AK47" s="1373"/>
    </row>
    <row r="48" spans="1:37" s="1372" customFormat="1" ht="38.25">
      <c r="A48" s="2879" t="s">
        <v>2954</v>
      </c>
      <c r="B48" s="2882" t="str">
        <f>估价对象房地状况!C4</f>
        <v>估价对象位于XX商圈，周边商业氛围成熟，人流量大，商业繁华度好</v>
      </c>
      <c r="C48" s="2771"/>
      <c r="D48" s="1288">
        <f t="shared" ref="D48:D56" si="10">SUMIF($J$47:$N$47,C48,J48:N48)</f>
        <v>0</v>
      </c>
      <c r="E48" s="820">
        <f>ROUND(SUM(D48:D56),4)</f>
        <v>0</v>
      </c>
      <c r="F48" s="2502"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9" t="s">
        <v>2955</v>
      </c>
      <c r="B49" s="2883" t="str">
        <f>估价对象房地状况!C18</f>
        <v>估价对象周边道路状况、公共交通通达情况、停车便捷程度，综合评价交通便捷度较好</v>
      </c>
      <c r="C49" s="2771"/>
      <c r="D49" s="1288">
        <f t="shared" si="10"/>
        <v>0</v>
      </c>
      <c r="E49" s="821"/>
      <c r="F49" s="2502"/>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9" t="s">
        <v>2956</v>
      </c>
      <c r="B50" s="2883">
        <f>估价对象房地状况!C19</f>
        <v>0</v>
      </c>
      <c r="C50" s="2771"/>
      <c r="D50" s="1288">
        <f t="shared" si="10"/>
        <v>0</v>
      </c>
      <c r="E50" s="821"/>
      <c r="F50" s="2502"/>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9" t="s">
        <v>2957</v>
      </c>
      <c r="B51" s="2884" t="s">
        <v>2958</v>
      </c>
      <c r="C51" s="2771"/>
      <c r="D51" s="1288">
        <f t="shared" si="10"/>
        <v>0</v>
      </c>
      <c r="E51" s="821"/>
      <c r="F51" s="2502"/>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9" t="s">
        <v>2959</v>
      </c>
      <c r="B52" s="2883">
        <f>估价对象房地状况!C24</f>
        <v>0</v>
      </c>
      <c r="C52" s="2771"/>
      <c r="D52" s="1288">
        <f t="shared" si="10"/>
        <v>0</v>
      </c>
      <c r="E52" s="821"/>
      <c r="F52" s="2502"/>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9" t="s">
        <v>2960</v>
      </c>
      <c r="B53" s="2885" t="s">
        <v>2961</v>
      </c>
      <c r="C53" s="2771"/>
      <c r="D53" s="1288">
        <f t="shared" si="10"/>
        <v>0</v>
      </c>
      <c r="E53" s="821"/>
      <c r="F53" s="2502"/>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6" t="s">
        <v>2962</v>
      </c>
      <c r="B54" s="1727" t="str">
        <f>估价对象房地状况!C21</f>
        <v>估价对象所在区域公共配套设施齐备情况</v>
      </c>
      <c r="C54" s="2771"/>
      <c r="D54" s="1288">
        <f t="shared" si="10"/>
        <v>0</v>
      </c>
      <c r="E54" s="821"/>
      <c r="F54" s="2502"/>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6" t="s">
        <v>2963</v>
      </c>
      <c r="B55" s="2883" t="str">
        <f>估价对象房地状况!C22</f>
        <v>估价对象所在区域基础设施水平</v>
      </c>
      <c r="C55" s="2771"/>
      <c r="D55" s="1288">
        <f t="shared" si="10"/>
        <v>0</v>
      </c>
      <c r="E55" s="821"/>
      <c r="F55" s="2502"/>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7" t="s">
        <v>2964</v>
      </c>
      <c r="B56" s="2888" t="str">
        <f>估价对象房地状况!C20</f>
        <v>区域自然环境：；人文环境；综合评价环境状况一般</v>
      </c>
      <c r="C56" s="2771"/>
      <c r="D56" s="1288">
        <f t="shared" si="10"/>
        <v>0</v>
      </c>
      <c r="E56" s="824"/>
      <c r="F56" s="2502"/>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5" t="s">
        <v>2965</v>
      </c>
      <c r="B57" s="2876">
        <f>1+E59</f>
        <v>1</v>
      </c>
      <c r="C57" s="813"/>
      <c r="D57" s="813"/>
      <c r="E57" s="814"/>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9" t="s">
        <v>2946</v>
      </c>
      <c r="B58" s="1811"/>
      <c r="C58" s="1811" t="s">
        <v>2948</v>
      </c>
      <c r="D58" s="1811" t="s">
        <v>2949</v>
      </c>
      <c r="E58" s="818" t="s">
        <v>2950</v>
      </c>
      <c r="F58" s="2880" t="s">
        <v>2966</v>
      </c>
      <c r="G58" s="1811" t="s">
        <v>754</v>
      </c>
      <c r="H58" s="2881" t="s">
        <v>2952</v>
      </c>
      <c r="I58" s="1811" t="s">
        <v>2953</v>
      </c>
      <c r="J58" s="602" t="s">
        <v>2600</v>
      </c>
      <c r="K58" s="602" t="s">
        <v>2601</v>
      </c>
      <c r="L58" s="602" t="s">
        <v>2602</v>
      </c>
      <c r="M58" s="602" t="s">
        <v>2603</v>
      </c>
      <c r="N58" s="602" t="s">
        <v>2604</v>
      </c>
      <c r="AA58" s="1373"/>
      <c r="AB58" s="1373"/>
      <c r="AC58" s="1373"/>
      <c r="AD58" s="1373"/>
      <c r="AE58" s="1373"/>
      <c r="AF58" s="1373"/>
      <c r="AG58" s="1373"/>
      <c r="AH58" s="1373"/>
      <c r="AI58" s="1373"/>
      <c r="AJ58" s="1373"/>
      <c r="AK58" s="1373"/>
    </row>
    <row r="59" spans="1:37" s="1372" customFormat="1" ht="38.25">
      <c r="A59" s="2879" t="s">
        <v>2967</v>
      </c>
      <c r="B59" s="2882" t="str">
        <f>估价对象房地状况!C17</f>
        <v>估价对象位于XX商圈，周边办公楼项目较多，入驻率高，办公集聚程度较好</v>
      </c>
      <c r="C59" s="2771"/>
      <c r="D59" s="1288">
        <f t="shared" ref="D59:D67" si="15">SUMIF($J$58:$N$58,C59,J59:N59)</f>
        <v>0</v>
      </c>
      <c r="E59" s="820">
        <f>ROUND(SUM(D59:D67),4)</f>
        <v>0</v>
      </c>
      <c r="F59" s="2502"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9" t="s">
        <v>2955</v>
      </c>
      <c r="B60" s="2883" t="str">
        <f>估价对象房地状况!C18</f>
        <v>估价对象周边道路状况、公共交通通达情况、停车便捷程度，综合评价交通便捷度较好</v>
      </c>
      <c r="C60" s="2771"/>
      <c r="D60" s="1288">
        <f t="shared" si="15"/>
        <v>0</v>
      </c>
      <c r="E60" s="821"/>
      <c r="F60" s="2502"/>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2956</v>
      </c>
      <c r="B61" s="2883">
        <f>估价对象房地状况!C19</f>
        <v>0</v>
      </c>
      <c r="C61" s="2771"/>
      <c r="D61" s="1288">
        <f t="shared" si="15"/>
        <v>0</v>
      </c>
      <c r="E61" s="821"/>
      <c r="F61" s="2502"/>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9" t="s">
        <v>2957</v>
      </c>
      <c r="B62" s="2884" t="s">
        <v>2958</v>
      </c>
      <c r="C62" s="2771"/>
      <c r="D62" s="1288">
        <f t="shared" si="15"/>
        <v>0</v>
      </c>
      <c r="E62" s="821"/>
      <c r="F62" s="2502"/>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2959</v>
      </c>
      <c r="B63" s="2883">
        <f>估价对象房地状况!C24</f>
        <v>0</v>
      </c>
      <c r="C63" s="2771"/>
      <c r="D63" s="1288">
        <f t="shared" si="15"/>
        <v>0</v>
      </c>
      <c r="E63" s="821"/>
      <c r="F63" s="2502"/>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9" t="s">
        <v>2960</v>
      </c>
      <c r="B64" s="2885" t="s">
        <v>2961</v>
      </c>
      <c r="C64" s="2771"/>
      <c r="D64" s="1288">
        <f t="shared" si="15"/>
        <v>0</v>
      </c>
      <c r="E64" s="821"/>
      <c r="F64" s="2502"/>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9" t="s">
        <v>2962</v>
      </c>
      <c r="B65" s="1727" t="str">
        <f>估价对象房地状况!C21</f>
        <v>估价对象所在区域公共配套设施齐备情况</v>
      </c>
      <c r="C65" s="2771"/>
      <c r="D65" s="1288">
        <f t="shared" si="15"/>
        <v>0</v>
      </c>
      <c r="E65" s="821"/>
      <c r="F65" s="2502"/>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9" t="s">
        <v>2963</v>
      </c>
      <c r="B66" s="1727" t="str">
        <f>估价对象房地状况!C22</f>
        <v>估价对象所在区域基础设施水平</v>
      </c>
      <c r="C66" s="2771"/>
      <c r="D66" s="1288">
        <f t="shared" si="15"/>
        <v>0</v>
      </c>
      <c r="E66" s="821"/>
      <c r="F66" s="2502"/>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7" t="s">
        <v>2964</v>
      </c>
      <c r="B67" s="2889" t="str">
        <f>估价对象房地状况!C20</f>
        <v>区域自然环境：；人文环境；综合评价环境状况一般</v>
      </c>
      <c r="C67" s="2771"/>
      <c r="D67" s="1288">
        <f t="shared" si="15"/>
        <v>0</v>
      </c>
      <c r="E67" s="824"/>
      <c r="F67" s="2502"/>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5" t="s">
        <v>2968</v>
      </c>
      <c r="B68" s="2876">
        <f>1+E70</f>
        <v>1</v>
      </c>
      <c r="C68" s="813"/>
      <c r="D68" s="813"/>
      <c r="E68" s="814"/>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9" t="s">
        <v>2946</v>
      </c>
      <c r="B69" s="1811"/>
      <c r="C69" s="1811" t="s">
        <v>2948</v>
      </c>
      <c r="D69" s="1811" t="s">
        <v>2949</v>
      </c>
      <c r="E69" s="818" t="s">
        <v>2950</v>
      </c>
      <c r="F69" s="2880" t="s">
        <v>2966</v>
      </c>
      <c r="G69" s="1811" t="s">
        <v>754</v>
      </c>
      <c r="H69" s="2881" t="s">
        <v>2952</v>
      </c>
      <c r="I69" s="1811" t="s">
        <v>2953</v>
      </c>
      <c r="J69" s="602" t="s">
        <v>2600</v>
      </c>
      <c r="K69" s="602" t="s">
        <v>2601</v>
      </c>
      <c r="L69" s="602" t="s">
        <v>2602</v>
      </c>
      <c r="M69" s="602" t="s">
        <v>2603</v>
      </c>
      <c r="N69" s="602" t="s">
        <v>2604</v>
      </c>
      <c r="AA69" s="1373"/>
      <c r="AB69" s="1373"/>
      <c r="AC69" s="1373"/>
      <c r="AD69" s="1373"/>
      <c r="AE69" s="1373"/>
      <c r="AF69" s="1373"/>
      <c r="AG69" s="1373"/>
      <c r="AH69" s="1373"/>
      <c r="AI69" s="1373"/>
      <c r="AJ69" s="1373"/>
      <c r="AK69" s="1373"/>
    </row>
    <row r="70" spans="1:37" s="1372" customFormat="1" ht="51">
      <c r="A70" s="2879" t="s">
        <v>2969</v>
      </c>
      <c r="B70" s="2882" t="str">
        <f>估价对象房地状况!C15</f>
        <v>估价对象周边居住用地比例、居住小区规模和社区发展完善程度，综合评价居住社区成熟度一般</v>
      </c>
      <c r="C70" s="2771"/>
      <c r="D70" s="1288">
        <f t="shared" ref="D70:D78" si="20">SUMIF($J$69:$N$69,C70,J70:N70)</f>
        <v>0</v>
      </c>
      <c r="E70" s="820">
        <f>ROUND(SUM(D70:D78),4)</f>
        <v>0</v>
      </c>
      <c r="F70" s="2502"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9" t="s">
        <v>2955</v>
      </c>
      <c r="B71" s="2883" t="str">
        <f>估价对象房地状况!C18</f>
        <v>估价对象周边道路状况、公共交通通达情况、停车便捷程度，综合评价交通便捷度较好</v>
      </c>
      <c r="C71" s="2771"/>
      <c r="D71" s="1288">
        <f t="shared" si="20"/>
        <v>0</v>
      </c>
      <c r="E71" s="825"/>
      <c r="F71" s="2502"/>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2956</v>
      </c>
      <c r="B72" s="2883">
        <f>估价对象房地状况!C19</f>
        <v>0</v>
      </c>
      <c r="C72" s="2771"/>
      <c r="D72" s="1288">
        <f t="shared" si="20"/>
        <v>0</v>
      </c>
      <c r="E72" s="825"/>
      <c r="F72" s="2502"/>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9" t="s">
        <v>2970</v>
      </c>
      <c r="B73" s="2883">
        <f>估价对象房地状况!C24</f>
        <v>0</v>
      </c>
      <c r="C73" s="2771"/>
      <c r="D73" s="1288">
        <f t="shared" si="20"/>
        <v>0</v>
      </c>
      <c r="E73" s="825"/>
      <c r="F73" s="2502"/>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9" t="s">
        <v>2962</v>
      </c>
      <c r="B74" s="1727" t="str">
        <f>估价对象房地状况!C21</f>
        <v>估价对象所在区域公共配套设施齐备情况</v>
      </c>
      <c r="C74" s="2771"/>
      <c r="D74" s="1288">
        <f t="shared" si="20"/>
        <v>0</v>
      </c>
      <c r="E74" s="825"/>
      <c r="F74" s="2502"/>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9" t="s">
        <v>2963</v>
      </c>
      <c r="B75" s="1727" t="str">
        <f>估价对象房地状况!C22</f>
        <v>估价对象所在区域基础设施水平</v>
      </c>
      <c r="C75" s="2771"/>
      <c r="D75" s="1288">
        <f t="shared" si="20"/>
        <v>0</v>
      </c>
      <c r="E75" s="825"/>
      <c r="F75" s="2502"/>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c r="A76" s="2879" t="s">
        <v>2960</v>
      </c>
      <c r="B76" s="2885" t="s">
        <v>2961</v>
      </c>
      <c r="C76" s="2771"/>
      <c r="D76" s="1288">
        <f t="shared" si="20"/>
        <v>0</v>
      </c>
      <c r="E76" s="825"/>
      <c r="F76" s="2502"/>
      <c r="G76" s="1286"/>
      <c r="H76" s="1290" t="str">
        <f t="shared" si="21"/>
        <v>——</v>
      </c>
      <c r="I76" s="819">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38.25">
      <c r="A77" s="2879" t="s">
        <v>2964</v>
      </c>
      <c r="B77" s="2882" t="str">
        <f>估价对象房地状况!C20</f>
        <v>区域自然环境：；人文环境；综合评价环境状况一般</v>
      </c>
      <c r="C77" s="2771"/>
      <c r="D77" s="1288">
        <f t="shared" si="20"/>
        <v>0</v>
      </c>
      <c r="E77" s="825"/>
      <c r="F77" s="2502"/>
      <c r="G77" s="1286"/>
      <c r="H77" s="1290" t="str">
        <f t="shared" si="21"/>
        <v>——</v>
      </c>
      <c r="I77" s="819">
        <v>0.15</v>
      </c>
      <c r="J77" s="1287">
        <f t="shared" si="22"/>
        <v>0</v>
      </c>
      <c r="K77" s="1287">
        <f t="shared" si="23"/>
        <v>0</v>
      </c>
      <c r="L77" s="1287">
        <v>0</v>
      </c>
      <c r="M77" s="1287">
        <f t="shared" si="24"/>
        <v>0</v>
      </c>
      <c r="N77" s="1287">
        <f t="shared" si="24"/>
        <v>0</v>
      </c>
      <c r="Z77" s="2721"/>
      <c r="AA77" s="2797"/>
      <c r="AG77" s="1374"/>
      <c r="AK77" s="2797"/>
    </row>
    <row r="78" spans="1:37" ht="24.75" thickBot="1">
      <c r="A78" s="2887" t="s">
        <v>2971</v>
      </c>
      <c r="B78" s="2891"/>
      <c r="C78" s="2771"/>
      <c r="D78" s="1288">
        <f t="shared" si="20"/>
        <v>0</v>
      </c>
      <c r="E78" s="826"/>
      <c r="F78" s="2502"/>
      <c r="G78" s="1286"/>
      <c r="H78" s="1290" t="str">
        <f t="shared" si="21"/>
        <v>——</v>
      </c>
      <c r="I78" s="823">
        <v>0.04</v>
      </c>
      <c r="J78" s="1287">
        <f t="shared" si="22"/>
        <v>0</v>
      </c>
      <c r="K78" s="1287">
        <f t="shared" si="23"/>
        <v>0</v>
      </c>
      <c r="L78" s="1287">
        <v>0</v>
      </c>
      <c r="M78" s="1287">
        <f t="shared" si="24"/>
        <v>0</v>
      </c>
      <c r="N78" s="1287">
        <f t="shared" si="24"/>
        <v>0</v>
      </c>
      <c r="Z78" s="2721"/>
      <c r="AA78" s="2797"/>
      <c r="AG78" s="1374"/>
      <c r="AK78" s="2797"/>
    </row>
    <row r="79" spans="1:37" ht="15">
      <c r="A79" s="2875" t="s">
        <v>2972</v>
      </c>
      <c r="B79" s="2876">
        <f>1+E81</f>
        <v>1</v>
      </c>
      <c r="C79" s="813"/>
      <c r="D79" s="813"/>
      <c r="E79" s="814"/>
      <c r="F79" s="2878"/>
      <c r="G79" s="6"/>
      <c r="H79" s="6"/>
      <c r="I79" s="6"/>
      <c r="J79" s="7"/>
      <c r="K79" s="7"/>
      <c r="L79" s="7"/>
      <c r="M79" s="7"/>
      <c r="N79" s="7"/>
      <c r="Z79" s="2721"/>
      <c r="AA79" s="2797"/>
      <c r="AG79" s="1374"/>
      <c r="AK79" s="2797"/>
    </row>
    <row r="80" spans="1:37" ht="24.75">
      <c r="A80" s="2879" t="s">
        <v>2946</v>
      </c>
      <c r="B80" s="1811"/>
      <c r="C80" s="1811" t="s">
        <v>2948</v>
      </c>
      <c r="D80" s="1811" t="s">
        <v>2949</v>
      </c>
      <c r="E80" s="818" t="s">
        <v>2950</v>
      </c>
      <c r="F80" s="2880" t="s">
        <v>2966</v>
      </c>
      <c r="G80" s="1811" t="s">
        <v>754</v>
      </c>
      <c r="H80" s="2881" t="s">
        <v>2952</v>
      </c>
      <c r="I80" s="1811" t="s">
        <v>2953</v>
      </c>
      <c r="J80" s="602" t="s">
        <v>2600</v>
      </c>
      <c r="K80" s="602" t="s">
        <v>2601</v>
      </c>
      <c r="L80" s="602" t="s">
        <v>2602</v>
      </c>
      <c r="M80" s="602" t="s">
        <v>2603</v>
      </c>
      <c r="N80" s="602" t="s">
        <v>2604</v>
      </c>
      <c r="Z80" s="2721"/>
      <c r="AA80" s="2797"/>
      <c r="AG80" s="1374"/>
      <c r="AK80" s="2797"/>
    </row>
    <row r="81" spans="1:37" ht="38.25">
      <c r="A81" s="2879" t="s">
        <v>2973</v>
      </c>
      <c r="B81" s="2883" t="str">
        <f>估价对象房地状况!G15</f>
        <v>估价对象位于XX开发区，园区建设成熟度XX，产业集聚程度XX</v>
      </c>
      <c r="C81" s="2771"/>
      <c r="D81" s="1288">
        <f t="shared" ref="D81:D88" si="25">SUMIF($J$80:$N$80,C81,J81:N81)</f>
        <v>0</v>
      </c>
      <c r="E81" s="820">
        <f>ROUND(SUM(D81:D88),4)</f>
        <v>0</v>
      </c>
      <c r="F81" s="2502"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1"/>
      <c r="AA81" s="2797"/>
      <c r="AG81" s="1374"/>
      <c r="AK81" s="2797"/>
    </row>
    <row r="82" spans="1:37" ht="51">
      <c r="A82" s="2879" t="s">
        <v>2955</v>
      </c>
      <c r="B82" s="2883" t="str">
        <f>估价对象房地状况!G16</f>
        <v>估价对象周边道路状况、公共交通通达情况、停车便捷程度，综合评价交通便捷度较好</v>
      </c>
      <c r="C82" s="2771"/>
      <c r="D82" s="1288">
        <f t="shared" si="25"/>
        <v>0</v>
      </c>
      <c r="E82" s="825"/>
      <c r="F82" s="2502"/>
      <c r="G82" s="1286"/>
      <c r="H82" s="1290" t="str">
        <f t="shared" si="26"/>
        <v>——</v>
      </c>
      <c r="I82" s="819">
        <v>0.33</v>
      </c>
      <c r="J82" s="1287">
        <f t="shared" si="27"/>
        <v>0</v>
      </c>
      <c r="K82" s="1287">
        <f t="shared" si="28"/>
        <v>0</v>
      </c>
      <c r="L82" s="1287">
        <v>0</v>
      </c>
      <c r="M82" s="1287">
        <f t="shared" si="29"/>
        <v>0</v>
      </c>
      <c r="N82" s="1287">
        <f t="shared" si="29"/>
        <v>0</v>
      </c>
      <c r="Z82" s="2721"/>
      <c r="AA82" s="2797"/>
      <c r="AG82" s="1374"/>
      <c r="AK82" s="2797"/>
    </row>
    <row r="83" spans="1:37" ht="24">
      <c r="A83" s="2879" t="s">
        <v>2956</v>
      </c>
      <c r="B83" s="2883">
        <f>估价对象房地状况!G17</f>
        <v>0</v>
      </c>
      <c r="C83" s="2771"/>
      <c r="D83" s="1288">
        <f t="shared" si="25"/>
        <v>0</v>
      </c>
      <c r="E83" s="825"/>
      <c r="F83" s="2502"/>
      <c r="G83" s="1286"/>
      <c r="H83" s="1290" t="str">
        <f t="shared" si="26"/>
        <v>——</v>
      </c>
      <c r="I83" s="819">
        <v>0.05</v>
      </c>
      <c r="J83" s="1287">
        <f t="shared" si="27"/>
        <v>0</v>
      </c>
      <c r="K83" s="1287">
        <f t="shared" si="28"/>
        <v>0</v>
      </c>
      <c r="L83" s="1287">
        <v>0</v>
      </c>
      <c r="M83" s="1287">
        <f t="shared" si="29"/>
        <v>0</v>
      </c>
      <c r="N83" s="1287">
        <f t="shared" si="29"/>
        <v>0</v>
      </c>
      <c r="Z83" s="2721"/>
      <c r="AA83" s="2797"/>
      <c r="AG83" s="1374"/>
      <c r="AK83" s="2797"/>
    </row>
    <row r="84" spans="1:37" ht="14.25">
      <c r="A84" s="2879" t="s">
        <v>2970</v>
      </c>
      <c r="B84" s="2883">
        <f>估价对象房地状况!G22</f>
        <v>0</v>
      </c>
      <c r="C84" s="2771"/>
      <c r="D84" s="1288">
        <f t="shared" si="25"/>
        <v>0</v>
      </c>
      <c r="E84" s="825"/>
      <c r="F84" s="2502"/>
      <c r="G84" s="1286"/>
      <c r="H84" s="1290" t="str">
        <f t="shared" si="26"/>
        <v>——</v>
      </c>
      <c r="I84" s="819">
        <v>0.04</v>
      </c>
      <c r="J84" s="1287">
        <f t="shared" si="27"/>
        <v>0</v>
      </c>
      <c r="K84" s="1287">
        <f t="shared" si="28"/>
        <v>0</v>
      </c>
      <c r="L84" s="1287">
        <v>0</v>
      </c>
      <c r="M84" s="1287">
        <f t="shared" si="29"/>
        <v>0</v>
      </c>
      <c r="N84" s="1287">
        <f t="shared" si="29"/>
        <v>0</v>
      </c>
      <c r="Z84" s="2721"/>
      <c r="AA84" s="2797"/>
      <c r="AG84" s="1374"/>
      <c r="AK84" s="2797"/>
    </row>
    <row r="85" spans="1:37" ht="25.5">
      <c r="A85" s="2879" t="s">
        <v>2962</v>
      </c>
      <c r="B85" s="1727" t="str">
        <f>估价对象房地状况!G19</f>
        <v>估价对象所在区域公共配套设施齐备情况</v>
      </c>
      <c r="C85" s="2771"/>
      <c r="D85" s="1288">
        <f t="shared" si="25"/>
        <v>0</v>
      </c>
      <c r="E85" s="825"/>
      <c r="F85" s="2502"/>
      <c r="G85" s="1286"/>
      <c r="H85" s="1290" t="str">
        <f t="shared" si="26"/>
        <v>——</v>
      </c>
      <c r="I85" s="819">
        <v>0.06</v>
      </c>
      <c r="J85" s="1287">
        <f t="shared" si="27"/>
        <v>0</v>
      </c>
      <c r="K85" s="1287">
        <f t="shared" si="28"/>
        <v>0</v>
      </c>
      <c r="L85" s="1287">
        <v>0</v>
      </c>
      <c r="M85" s="1287">
        <f t="shared" si="29"/>
        <v>0</v>
      </c>
      <c r="N85" s="1287">
        <f t="shared" si="29"/>
        <v>0</v>
      </c>
      <c r="Z85" s="2721"/>
      <c r="AA85" s="2797"/>
      <c r="AG85" s="1374"/>
      <c r="AK85" s="2797"/>
    </row>
    <row r="86" spans="1:37" ht="25.5">
      <c r="A86" s="2879" t="s">
        <v>2963</v>
      </c>
      <c r="B86" s="1727" t="str">
        <f>估价对象房地状况!G20</f>
        <v>估价对象所在区域基础设施水平</v>
      </c>
      <c r="C86" s="2771"/>
      <c r="D86" s="1288">
        <f t="shared" si="25"/>
        <v>0</v>
      </c>
      <c r="E86" s="825"/>
      <c r="F86" s="2502"/>
      <c r="G86" s="1286"/>
      <c r="H86" s="1290" t="str">
        <f t="shared" si="26"/>
        <v>——</v>
      </c>
      <c r="I86" s="819">
        <v>0.15</v>
      </c>
      <c r="J86" s="1287">
        <f t="shared" si="27"/>
        <v>0</v>
      </c>
      <c r="K86" s="1287">
        <f t="shared" si="28"/>
        <v>0</v>
      </c>
      <c r="L86" s="1287">
        <v>0</v>
      </c>
      <c r="M86" s="1287">
        <f t="shared" si="29"/>
        <v>0</v>
      </c>
      <c r="N86" s="1287">
        <f t="shared" si="29"/>
        <v>0</v>
      </c>
      <c r="Z86" s="2721"/>
      <c r="AA86" s="2797"/>
      <c r="AG86" s="1374"/>
      <c r="AK86" s="2797"/>
    </row>
    <row r="87" spans="1:37" ht="24">
      <c r="A87" s="2879" t="s">
        <v>2960</v>
      </c>
      <c r="B87" s="2885" t="s">
        <v>2974</v>
      </c>
      <c r="C87" s="2771"/>
      <c r="D87" s="1288">
        <f t="shared" si="25"/>
        <v>0</v>
      </c>
      <c r="E87" s="825"/>
      <c r="F87" s="2502"/>
      <c r="G87" s="1286"/>
      <c r="H87" s="1290" t="str">
        <f t="shared" si="26"/>
        <v>——</v>
      </c>
      <c r="I87" s="819">
        <v>0.05</v>
      </c>
      <c r="J87" s="1287">
        <f t="shared" si="27"/>
        <v>0</v>
      </c>
      <c r="K87" s="1287">
        <f t="shared" si="28"/>
        <v>0</v>
      </c>
      <c r="L87" s="1287">
        <v>0</v>
      </c>
      <c r="M87" s="1287">
        <f t="shared" si="29"/>
        <v>0</v>
      </c>
      <c r="N87" s="1287">
        <f t="shared" si="29"/>
        <v>0</v>
      </c>
      <c r="Z87" s="2721"/>
      <c r="AA87" s="2797"/>
      <c r="AG87" s="1374"/>
      <c r="AK87" s="2797"/>
    </row>
    <row r="88" spans="1:37" ht="39" thickBot="1">
      <c r="A88" s="2887" t="s">
        <v>2975</v>
      </c>
      <c r="B88" s="2892" t="str">
        <f>估价对象房地状况!G18</f>
        <v>该园区内是否有污染型企业，绿化情况，卫生条件，整体环境状况判断</v>
      </c>
      <c r="C88" s="2771"/>
      <c r="D88" s="1288">
        <f t="shared" si="25"/>
        <v>0</v>
      </c>
      <c r="E88" s="826"/>
      <c r="F88" s="2502"/>
      <c r="G88" s="1286"/>
      <c r="H88" s="1290" t="str">
        <f t="shared" si="26"/>
        <v>——</v>
      </c>
      <c r="I88" s="823">
        <v>0.06</v>
      </c>
      <c r="J88" s="1287">
        <f t="shared" si="27"/>
        <v>0</v>
      </c>
      <c r="K88" s="1287">
        <f t="shared" si="28"/>
        <v>0</v>
      </c>
      <c r="L88" s="1287">
        <v>0</v>
      </c>
      <c r="M88" s="1287">
        <f t="shared" si="29"/>
        <v>0</v>
      </c>
      <c r="N88" s="1287">
        <f t="shared" si="29"/>
        <v>0</v>
      </c>
      <c r="Z88" s="2721"/>
      <c r="AA88" s="2797"/>
      <c r="AG88" s="1374"/>
      <c r="AK88" s="2797"/>
    </row>
    <row r="90" spans="1:37">
      <c r="A90" s="3264" t="s">
        <v>2976</v>
      </c>
      <c r="B90" s="3264"/>
      <c r="C90" s="3264"/>
      <c r="D90" s="3264"/>
      <c r="E90" s="3264"/>
      <c r="F90" s="3264"/>
      <c r="G90" s="3264"/>
      <c r="H90" s="3264"/>
      <c r="I90" s="3264"/>
      <c r="J90" s="3264"/>
      <c r="K90" s="2893"/>
      <c r="L90" s="2893"/>
      <c r="M90" s="2893"/>
      <c r="N90" s="2893"/>
    </row>
    <row r="91" spans="1:37">
      <c r="A91" s="3266" t="s">
        <v>2977</v>
      </c>
      <c r="B91" s="3266" t="s">
        <v>2978</v>
      </c>
      <c r="C91" s="2847" t="s">
        <v>2979</v>
      </c>
      <c r="D91" s="2848"/>
      <c r="E91" s="2848"/>
      <c r="F91" s="2848"/>
      <c r="G91" s="2848"/>
      <c r="H91" s="2848"/>
      <c r="I91" s="2848"/>
      <c r="J91" s="2894"/>
      <c r="K91" s="2895"/>
      <c r="L91" s="2895"/>
      <c r="M91" s="2895"/>
      <c r="N91" s="2895"/>
    </row>
    <row r="92" spans="1:37">
      <c r="A92" s="3266"/>
      <c r="B92" s="3266"/>
      <c r="C92" s="944" t="s">
        <v>2843</v>
      </c>
      <c r="D92" s="944" t="s">
        <v>2844</v>
      </c>
      <c r="E92" s="944" t="s">
        <v>2845</v>
      </c>
      <c r="F92" s="944" t="s">
        <v>2846</v>
      </c>
      <c r="G92" s="944" t="s">
        <v>2847</v>
      </c>
      <c r="H92" s="944" t="s">
        <v>2848</v>
      </c>
      <c r="I92" s="944" t="s">
        <v>2849</v>
      </c>
      <c r="J92" s="944" t="s">
        <v>2850</v>
      </c>
      <c r="K92" s="944" t="s">
        <v>2851</v>
      </c>
      <c r="L92" s="944" t="s">
        <v>2852</v>
      </c>
      <c r="M92" s="944" t="s">
        <v>2853</v>
      </c>
      <c r="N92" s="944" t="s">
        <v>2854</v>
      </c>
    </row>
    <row r="93" spans="1:37">
      <c r="A93" s="3267" t="s">
        <v>2980</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68"/>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68"/>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68"/>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68"/>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68"/>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68"/>
      <c r="B99" s="2896" t="s">
        <v>2859</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69"/>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67" t="s">
        <v>2981</v>
      </c>
      <c r="B101" s="2900" t="s">
        <v>2982</v>
      </c>
      <c r="C101" s="2901">
        <f>$G$3</f>
        <v>4.29</v>
      </c>
      <c r="D101" s="2901">
        <f t="shared" ref="D101:N101" si="31">$G$3</f>
        <v>4.29</v>
      </c>
      <c r="E101" s="2901">
        <f t="shared" si="31"/>
        <v>4.29</v>
      </c>
      <c r="F101" s="2901">
        <f t="shared" si="31"/>
        <v>4.29</v>
      </c>
      <c r="G101" s="2901">
        <f t="shared" si="31"/>
        <v>4.29</v>
      </c>
      <c r="H101" s="2901">
        <f t="shared" si="31"/>
        <v>4.29</v>
      </c>
      <c r="I101" s="2901">
        <f t="shared" si="31"/>
        <v>4.29</v>
      </c>
      <c r="J101" s="2901">
        <f t="shared" si="31"/>
        <v>4.29</v>
      </c>
      <c r="K101" s="2901">
        <f t="shared" si="31"/>
        <v>4.29</v>
      </c>
      <c r="L101" s="2901">
        <f t="shared" si="31"/>
        <v>4.29</v>
      </c>
      <c r="M101" s="2901">
        <f t="shared" si="31"/>
        <v>4.29</v>
      </c>
      <c r="N101" s="2901">
        <f t="shared" si="31"/>
        <v>4.29</v>
      </c>
    </row>
    <row r="102" spans="1:14">
      <c r="A102" s="3268"/>
      <c r="B102" s="2896">
        <v>1</v>
      </c>
      <c r="C102" s="2897">
        <f>1.9362/C101</f>
        <v>0.45132867132867133</v>
      </c>
      <c r="D102" s="2897">
        <f>1.9362/D101</f>
        <v>0.45132867132867133</v>
      </c>
      <c r="E102" s="2897">
        <f>1.8629/E101</f>
        <v>0.43424242424242426</v>
      </c>
      <c r="F102" s="2897">
        <f>1.8629/F101</f>
        <v>0.43424242424242426</v>
      </c>
      <c r="G102" s="2897">
        <f>1.8629/G101</f>
        <v>0.43424242424242426</v>
      </c>
      <c r="H102" s="2897">
        <f>1.8629/H101</f>
        <v>0.43424242424242426</v>
      </c>
      <c r="I102" s="2897">
        <f>1.8629/I101</f>
        <v>0.43424242424242426</v>
      </c>
      <c r="J102" s="2897">
        <f>1.942/J101</f>
        <v>0.45268065268065266</v>
      </c>
      <c r="K102" s="2897">
        <f>1.942/K101</f>
        <v>0.45268065268065266</v>
      </c>
      <c r="L102" s="2897">
        <f>1.942/L101</f>
        <v>0.45268065268065266</v>
      </c>
      <c r="M102" s="2897">
        <f>1.942/M101</f>
        <v>0.45268065268065266</v>
      </c>
      <c r="N102" s="2897">
        <f>1.942/N101</f>
        <v>0.45268065268065266</v>
      </c>
    </row>
    <row r="103" spans="1:14">
      <c r="A103" s="3268"/>
      <c r="B103" s="2896">
        <v>2</v>
      </c>
      <c r="C103" s="2897">
        <f>1.4198/C101</f>
        <v>0.33095571095571097</v>
      </c>
      <c r="D103" s="2897">
        <f>1.4198/D101</f>
        <v>0.33095571095571097</v>
      </c>
      <c r="E103" s="2897">
        <f>1.3372/E101</f>
        <v>0.31170163170163168</v>
      </c>
      <c r="F103" s="2897">
        <f>1.3372/F101</f>
        <v>0.31170163170163168</v>
      </c>
      <c r="G103" s="2897">
        <f>1.3372/G101</f>
        <v>0.31170163170163168</v>
      </c>
      <c r="H103" s="2897">
        <f>1.3372/H101</f>
        <v>0.31170163170163168</v>
      </c>
      <c r="I103" s="2897">
        <f>1.3372/I101</f>
        <v>0.31170163170163168</v>
      </c>
      <c r="J103" s="2897">
        <f>1.2799/J101</f>
        <v>0.29834498834498835</v>
      </c>
      <c r="K103" s="2897">
        <f>1.2799/K101</f>
        <v>0.29834498834498835</v>
      </c>
      <c r="L103" s="2897">
        <f>1.2799/L101</f>
        <v>0.29834498834498835</v>
      </c>
      <c r="M103" s="2897">
        <f>1.2799/M101</f>
        <v>0.29834498834498835</v>
      </c>
      <c r="N103" s="2897">
        <f>1.2799/N101</f>
        <v>0.29834498834498835</v>
      </c>
    </row>
    <row r="104" spans="1:14">
      <c r="A104" s="3268"/>
      <c r="B104" s="2896">
        <v>3</v>
      </c>
      <c r="C104" s="2897">
        <f>1.1594/C101</f>
        <v>0.27025641025641023</v>
      </c>
      <c r="D104" s="2897">
        <f>1.1594/D101</f>
        <v>0.27025641025641023</v>
      </c>
      <c r="E104" s="2897">
        <f>1.0788/E101</f>
        <v>0.25146853146853149</v>
      </c>
      <c r="F104" s="2897">
        <f>1.0788/F101</f>
        <v>0.25146853146853149</v>
      </c>
      <c r="G104" s="2897">
        <f>1.0788/G101</f>
        <v>0.25146853146853149</v>
      </c>
      <c r="H104" s="2897">
        <f>1.0788/H101</f>
        <v>0.25146853146853149</v>
      </c>
      <c r="I104" s="2897">
        <f>1.0788/I101</f>
        <v>0.25146853146853149</v>
      </c>
      <c r="J104" s="2897">
        <f>1.0072/J101</f>
        <v>0.2347785547785548</v>
      </c>
      <c r="K104" s="2897">
        <f>1.0072/K101</f>
        <v>0.2347785547785548</v>
      </c>
      <c r="L104" s="2897">
        <f>1.0072/L101</f>
        <v>0.2347785547785548</v>
      </c>
      <c r="M104" s="2897">
        <f>1.0072/M101</f>
        <v>0.2347785547785548</v>
      </c>
      <c r="N104" s="2897">
        <f>1.0072/N101</f>
        <v>0.2347785547785548</v>
      </c>
    </row>
    <row r="105" spans="1:14">
      <c r="A105" s="3268"/>
      <c r="B105" s="2896">
        <v>4</v>
      </c>
      <c r="C105" s="2897">
        <f>0.9622/C101</f>
        <v>0.22428904428904431</v>
      </c>
      <c r="D105" s="2897">
        <f>0.9622/D101</f>
        <v>0.22428904428904431</v>
      </c>
      <c r="E105" s="2897">
        <f>0.8656/E101</f>
        <v>0.20177156177156177</v>
      </c>
      <c r="F105" s="2897">
        <f>0.8656/F101</f>
        <v>0.20177156177156177</v>
      </c>
      <c r="G105" s="2897">
        <f>0.8656/G101</f>
        <v>0.20177156177156177</v>
      </c>
      <c r="H105" s="2897">
        <f>0.8656/H101</f>
        <v>0.20177156177156177</v>
      </c>
      <c r="I105" s="2897">
        <f>0.8656/I101</f>
        <v>0.20177156177156177</v>
      </c>
      <c r="J105" s="2897">
        <f>0.7525/J101</f>
        <v>0.17540792540792538</v>
      </c>
      <c r="K105" s="2897">
        <f>0.7525/K101</f>
        <v>0.17540792540792538</v>
      </c>
      <c r="L105" s="2897">
        <f>0.7525/L101</f>
        <v>0.17540792540792538</v>
      </c>
      <c r="M105" s="2897">
        <f>0.7525/M101</f>
        <v>0.17540792540792538</v>
      </c>
      <c r="N105" s="2897">
        <f>0.7525/N101</f>
        <v>0.17540792540792538</v>
      </c>
    </row>
    <row r="106" spans="1:14">
      <c r="A106" s="3268"/>
      <c r="B106" s="2896">
        <v>5</v>
      </c>
      <c r="C106" s="2897">
        <f>0.8417/C101</f>
        <v>0.19620046620046619</v>
      </c>
      <c r="D106" s="2897">
        <f>0.8417/D101</f>
        <v>0.19620046620046619</v>
      </c>
      <c r="E106" s="2897">
        <f>0.7371/E101</f>
        <v>0.17181818181818181</v>
      </c>
      <c r="F106" s="2897">
        <f>0.7371/F101</f>
        <v>0.17181818181818181</v>
      </c>
      <c r="G106" s="2897">
        <f>0.7371/G101</f>
        <v>0.17181818181818181</v>
      </c>
      <c r="H106" s="2897">
        <f>0.7371/H101</f>
        <v>0.17181818181818181</v>
      </c>
      <c r="I106" s="2897">
        <f>0.7371/I101</f>
        <v>0.17181818181818181</v>
      </c>
      <c r="J106" s="2897">
        <f>0.5659/J101</f>
        <v>0.13191142191142191</v>
      </c>
      <c r="K106" s="2897">
        <f>0.5659/K101</f>
        <v>0.13191142191142191</v>
      </c>
      <c r="L106" s="2897">
        <f>0.5659/L101</f>
        <v>0.13191142191142191</v>
      </c>
      <c r="M106" s="2897">
        <f>0.5659/M101</f>
        <v>0.13191142191142191</v>
      </c>
      <c r="N106" s="2897">
        <f>0.5659/N101</f>
        <v>0.13191142191142191</v>
      </c>
    </row>
    <row r="107" spans="1:14">
      <c r="A107" s="3268"/>
      <c r="B107" s="2896">
        <v>6</v>
      </c>
      <c r="C107" s="2897">
        <f>0.7608/C101</f>
        <v>0.17734265734265736</v>
      </c>
      <c r="D107" s="2897">
        <f>0.7608/D101</f>
        <v>0.17734265734265736</v>
      </c>
      <c r="E107" s="2897">
        <f>0.6482/E101</f>
        <v>0.15109557109557109</v>
      </c>
      <c r="F107" s="2897">
        <f>0.6482/F101</f>
        <v>0.15109557109557109</v>
      </c>
      <c r="G107" s="2897">
        <f>0.6482/G101</f>
        <v>0.15109557109557109</v>
      </c>
      <c r="H107" s="2897">
        <f>0.6482/H101</f>
        <v>0.15109557109557109</v>
      </c>
      <c r="I107" s="2897">
        <f>0.6482/I101</f>
        <v>0.15109557109557109</v>
      </c>
      <c r="J107" s="2897">
        <f>0.4525/J101</f>
        <v>0.10547785547785549</v>
      </c>
      <c r="K107" s="2897">
        <f>0.4525/K101</f>
        <v>0.10547785547785549</v>
      </c>
      <c r="L107" s="2897">
        <f>0.4525/L101</f>
        <v>0.10547785547785549</v>
      </c>
      <c r="M107" s="2897">
        <f>0.4525/M101</f>
        <v>0.10547785547785549</v>
      </c>
      <c r="N107" s="2897">
        <f>0.4525/N101</f>
        <v>0.10547785547785549</v>
      </c>
    </row>
    <row r="108" spans="1:14">
      <c r="A108" s="3268"/>
      <c r="B108" s="3088" t="s">
        <v>2983</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69"/>
      <c r="B109" s="3089"/>
      <c r="C109" s="2899">
        <f>(-0.163*(C108^2)-0.59*C108+7617)*(10^(-4))/C101</f>
        <v>0.17755244755244756</v>
      </c>
      <c r="D109" s="2899">
        <f>(-0.163*(D108^2)-0.59*D108+7617)*(10^(-4))/D101</f>
        <v>0.17755244755244756</v>
      </c>
      <c r="E109" s="2899">
        <f>(-0.161*(E108^2)-7.509*E108+6533)*(10^(-4))/E101</f>
        <v>0.15228438228438229</v>
      </c>
      <c r="F109" s="2899">
        <f>(-0.161*(F108^2)-7.509*F108+6533)*(10^(-4))/F101</f>
        <v>0.15228438228438229</v>
      </c>
      <c r="G109" s="2899">
        <f>(-0.161*(G108^2)-7.509*G108+6533)*(10^(-4))/G101</f>
        <v>0.15228438228438229</v>
      </c>
      <c r="H109" s="2899">
        <f>(-0.161*(H108^2)-7.509*H108+6533)*(10^(-4))/H101</f>
        <v>0.15228438228438229</v>
      </c>
      <c r="I109" s="2899">
        <f>(-0.161*(I108^2)-7.509*I108+6533)*(10^(-4))/I101</f>
        <v>0.15228438228438229</v>
      </c>
      <c r="J109" s="2899">
        <f>(-0.214*(J108^2)-21.991*J108+4665)*(10^(-4))/J101</f>
        <v>0.10874125874125874</v>
      </c>
      <c r="K109" s="2899">
        <f>(-0.214*(K108^2)-21.991*K108+4665)*(10^(-4))/K101</f>
        <v>0.10874125874125874</v>
      </c>
      <c r="L109" s="2899">
        <f>(-0.214*(L108^2)-21.991*L108+4665)*(10^(-4))/L101</f>
        <v>0.10874125874125874</v>
      </c>
      <c r="M109" s="2899">
        <f>(-0.214*(M108^2)-21.991*M108+4665)*(10^(-4))/M101</f>
        <v>0.10874125874125874</v>
      </c>
      <c r="N109" s="2899">
        <f>(-0.214*(N108^2)-21.991*N108+4665)*(10^(-4))/N101</f>
        <v>0.10874125874125874</v>
      </c>
    </row>
    <row r="110" spans="1:14">
      <c r="A110" s="3265" t="s">
        <v>2984</v>
      </c>
      <c r="B110" s="3265"/>
      <c r="C110" s="3265"/>
      <c r="D110" s="3265"/>
      <c r="E110" s="3265"/>
      <c r="F110" s="3265"/>
      <c r="G110" s="3265"/>
      <c r="H110" s="3265"/>
      <c r="I110" s="3265"/>
      <c r="J110" s="3265"/>
      <c r="K110" s="2902"/>
      <c r="L110" s="2902"/>
      <c r="M110" s="2902"/>
      <c r="N110" s="2902"/>
    </row>
    <row r="112" spans="1:14" ht="13.5" thickBot="1"/>
    <row r="113" spans="1:13" ht="25.5" thickBot="1">
      <c r="A113" s="902" t="s">
        <v>2985</v>
      </c>
      <c r="B113" s="1289">
        <f>G3</f>
        <v>4.29</v>
      </c>
      <c r="C113" s="903" t="s">
        <v>2986</v>
      </c>
      <c r="D113" s="904">
        <f>SUMPRODUCT((A115:A118=F113)*(B114:M114=H113)*B115:M118)</f>
        <v>0</v>
      </c>
      <c r="E113" s="2725" t="s">
        <v>2816</v>
      </c>
      <c r="F113" s="2904">
        <f>E2</f>
        <v>0</v>
      </c>
      <c r="G113" s="2725" t="s">
        <v>2817</v>
      </c>
      <c r="H113" s="2904">
        <f>G2</f>
        <v>0</v>
      </c>
      <c r="I113" s="2725"/>
      <c r="J113" s="2905"/>
      <c r="K113" s="2905"/>
      <c r="L113" s="2905"/>
      <c r="M113" s="2905"/>
    </row>
    <row r="114" spans="1:13">
      <c r="A114" s="907"/>
      <c r="B114" s="2906" t="s">
        <v>2987</v>
      </c>
      <c r="C114" s="2906" t="s">
        <v>2988</v>
      </c>
      <c r="D114" s="2906" t="s">
        <v>2989</v>
      </c>
      <c r="E114" s="2907" t="s">
        <v>2990</v>
      </c>
      <c r="F114" s="2907" t="s">
        <v>2991</v>
      </c>
      <c r="G114" s="2907" t="s">
        <v>2992</v>
      </c>
      <c r="H114" s="2908" t="s">
        <v>2993</v>
      </c>
      <c r="I114" s="2908" t="s">
        <v>2994</v>
      </c>
      <c r="J114" s="2909" t="s">
        <v>2995</v>
      </c>
      <c r="K114" s="2909" t="s">
        <v>2996</v>
      </c>
      <c r="L114" s="2909" t="s">
        <v>2997</v>
      </c>
      <c r="M114" s="2910" t="s">
        <v>2998</v>
      </c>
    </row>
    <row r="115" spans="1:13">
      <c r="A115" s="908" t="s">
        <v>2881</v>
      </c>
      <c r="B115" s="909">
        <f>ROUND(0.9335-0.0094*B113,4)</f>
        <v>0.89319999999999999</v>
      </c>
      <c r="C115" s="909">
        <f>B115</f>
        <v>0.89319999999999999</v>
      </c>
      <c r="D115" s="909">
        <f>ROUND(0.8331-0.0109*B113,4)</f>
        <v>0.7863</v>
      </c>
      <c r="E115" s="909">
        <f>D115</f>
        <v>0.7863</v>
      </c>
      <c r="F115" s="909">
        <f>E115</f>
        <v>0.7863</v>
      </c>
      <c r="G115" s="909">
        <f>F115</f>
        <v>0.7863</v>
      </c>
      <c r="H115" s="909">
        <f>G115</f>
        <v>0.7863</v>
      </c>
      <c r="I115" s="909">
        <f>ROUND(0.689-0.0155*B113,4)</f>
        <v>0.62250000000000005</v>
      </c>
      <c r="J115" s="909">
        <f t="shared" ref="J115:M118" si="33">I115</f>
        <v>0.62250000000000005</v>
      </c>
      <c r="K115" s="909">
        <f t="shared" si="33"/>
        <v>0.62250000000000005</v>
      </c>
      <c r="L115" s="909">
        <f t="shared" si="33"/>
        <v>0.62250000000000005</v>
      </c>
      <c r="M115" s="910">
        <f t="shared" si="33"/>
        <v>0.62250000000000005</v>
      </c>
    </row>
    <row r="116" spans="1:13">
      <c r="A116" s="908" t="s">
        <v>2882</v>
      </c>
      <c r="B116" s="909">
        <f>ROUND(0.949-0.012*B113,4)</f>
        <v>0.89749999999999996</v>
      </c>
      <c r="C116" s="909">
        <f>B116</f>
        <v>0.89749999999999996</v>
      </c>
      <c r="D116" s="909">
        <f>ROUND(0.8567-0.013*B113,4)</f>
        <v>0.80089999999999995</v>
      </c>
      <c r="E116" s="909">
        <f t="shared" ref="E116:H117" si="34">D116</f>
        <v>0.80089999999999995</v>
      </c>
      <c r="F116" s="909">
        <f t="shared" si="34"/>
        <v>0.80089999999999995</v>
      </c>
      <c r="G116" s="909">
        <f t="shared" si="34"/>
        <v>0.80089999999999995</v>
      </c>
      <c r="H116" s="909">
        <f t="shared" si="34"/>
        <v>0.80089999999999995</v>
      </c>
      <c r="I116" s="909">
        <f>ROUND(0.7694-0.014*B113,4)</f>
        <v>0.70930000000000004</v>
      </c>
      <c r="J116" s="909">
        <f t="shared" si="33"/>
        <v>0.70930000000000004</v>
      </c>
      <c r="K116" s="909">
        <f t="shared" si="33"/>
        <v>0.70930000000000004</v>
      </c>
      <c r="L116" s="909">
        <f t="shared" si="33"/>
        <v>0.70930000000000004</v>
      </c>
      <c r="M116" s="910">
        <f t="shared" si="33"/>
        <v>0.70930000000000004</v>
      </c>
    </row>
    <row r="117" spans="1:13">
      <c r="A117" s="908" t="s">
        <v>2883</v>
      </c>
      <c r="B117" s="909">
        <f>ROUND(0.8808-0.006*B113,4)</f>
        <v>0.85509999999999997</v>
      </c>
      <c r="C117" s="909">
        <f>B117</f>
        <v>0.85509999999999997</v>
      </c>
      <c r="D117" s="909">
        <f>ROUND(0.8748-0.008*B113,4)</f>
        <v>0.84050000000000002</v>
      </c>
      <c r="E117" s="909">
        <f t="shared" si="34"/>
        <v>0.84050000000000002</v>
      </c>
      <c r="F117" s="909">
        <f t="shared" si="34"/>
        <v>0.84050000000000002</v>
      </c>
      <c r="G117" s="909">
        <f t="shared" si="34"/>
        <v>0.84050000000000002</v>
      </c>
      <c r="H117" s="909">
        <f t="shared" si="34"/>
        <v>0.84050000000000002</v>
      </c>
      <c r="I117" s="909">
        <f>ROUND(0.7412-0.0095*B113,4)</f>
        <v>0.70040000000000002</v>
      </c>
      <c r="J117" s="909">
        <f t="shared" si="33"/>
        <v>0.70040000000000002</v>
      </c>
      <c r="K117" s="909">
        <f t="shared" si="33"/>
        <v>0.70040000000000002</v>
      </c>
      <c r="L117" s="909">
        <f t="shared" si="33"/>
        <v>0.70040000000000002</v>
      </c>
      <c r="M117" s="910">
        <f t="shared" si="33"/>
        <v>0.70040000000000002</v>
      </c>
    </row>
    <row r="118" spans="1:13" ht="13.5" thickBot="1">
      <c r="A118" s="713" t="s">
        <v>2884</v>
      </c>
      <c r="B118" s="911">
        <f>ROUND(0.7275-0.01*B113,4)</f>
        <v>0.68459999999999999</v>
      </c>
      <c r="C118" s="911">
        <f>B118</f>
        <v>0.68459999999999999</v>
      </c>
      <c r="D118" s="911">
        <f>ROUND(0.7043-0.012*B113,4)</f>
        <v>0.65280000000000005</v>
      </c>
      <c r="E118" s="911">
        <f>D118</f>
        <v>0.65280000000000005</v>
      </c>
      <c r="F118" s="911">
        <f>E118</f>
        <v>0.65280000000000005</v>
      </c>
      <c r="G118" s="911">
        <f>ROUND(0.6299-0.0122*B113,4)</f>
        <v>0.5776</v>
      </c>
      <c r="H118" s="911">
        <f>G118</f>
        <v>0.5776</v>
      </c>
      <c r="I118" s="911">
        <f>ROUND(0.5667-0.0136*B113,4)</f>
        <v>0.50839999999999996</v>
      </c>
      <c r="J118" s="911">
        <f t="shared" si="33"/>
        <v>0.50839999999999996</v>
      </c>
      <c r="K118" s="911">
        <f t="shared" si="33"/>
        <v>0.50839999999999996</v>
      </c>
      <c r="L118" s="911">
        <f t="shared" si="33"/>
        <v>0.50839999999999996</v>
      </c>
      <c r="M118" s="912">
        <f t="shared" si="33"/>
        <v>0.50839999999999996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2" t="s">
        <v>183</v>
      </c>
      <c r="B18" s="881" t="s">
        <v>560</v>
      </c>
      <c r="C18" s="882" t="s">
        <v>561</v>
      </c>
      <c r="D18" s="883"/>
      <c r="E18" s="881">
        <v>1</v>
      </c>
      <c r="F18" s="884" t="s">
        <v>562</v>
      </c>
      <c r="G18" s="885"/>
      <c r="H18" s="877"/>
      <c r="I18" s="877"/>
    </row>
    <row r="19" spans="1:9" s="886" customFormat="1" ht="19.5" customHeight="1">
      <c r="A19" s="3282"/>
      <c r="B19" s="3282" t="s">
        <v>563</v>
      </c>
      <c r="C19" s="882" t="s">
        <v>564</v>
      </c>
      <c r="D19" s="883"/>
      <c r="E19" s="881">
        <v>0.9</v>
      </c>
      <c r="F19" s="884" t="s">
        <v>565</v>
      </c>
      <c r="G19" s="885"/>
      <c r="H19" s="877"/>
      <c r="I19" s="877"/>
    </row>
    <row r="20" spans="1:9" s="886" customFormat="1" ht="19.5" customHeight="1">
      <c r="A20" s="3282"/>
      <c r="B20" s="3282"/>
      <c r="C20" s="882" t="s">
        <v>566</v>
      </c>
      <c r="D20" s="883"/>
      <c r="E20" s="881">
        <v>1.1000000000000001</v>
      </c>
      <c r="F20" s="884" t="s">
        <v>567</v>
      </c>
      <c r="G20" s="885"/>
      <c r="H20" s="877"/>
      <c r="I20" s="877"/>
    </row>
    <row r="21" spans="1:9" s="886" customFormat="1" ht="19.5" customHeight="1">
      <c r="A21" s="3282"/>
      <c r="B21" s="3282"/>
      <c r="C21" s="882" t="s">
        <v>568</v>
      </c>
      <c r="D21" s="883"/>
      <c r="E21" s="881">
        <v>0.8</v>
      </c>
      <c r="F21" s="884" t="s">
        <v>569</v>
      </c>
      <c r="G21" s="885"/>
      <c r="H21" s="877"/>
      <c r="I21" s="877"/>
    </row>
    <row r="22" spans="1:9" s="886" customFormat="1" ht="19.5" customHeight="1">
      <c r="A22" s="3282"/>
      <c r="B22" s="3282"/>
      <c r="C22" s="882" t="s">
        <v>570</v>
      </c>
      <c r="D22" s="883"/>
      <c r="E22" s="881">
        <v>0.5</v>
      </c>
      <c r="F22" s="884"/>
      <c r="G22" s="885"/>
      <c r="H22" s="877"/>
      <c r="I22" s="877"/>
    </row>
    <row r="23" spans="1:9" s="886" customFormat="1" ht="19.5" customHeight="1">
      <c r="A23" s="3282" t="s">
        <v>184</v>
      </c>
      <c r="B23" s="881" t="s">
        <v>560</v>
      </c>
      <c r="C23" s="882" t="s">
        <v>571</v>
      </c>
      <c r="D23" s="883"/>
      <c r="E23" s="881">
        <v>1</v>
      </c>
      <c r="F23" s="884" t="s">
        <v>572</v>
      </c>
      <c r="G23" s="885"/>
      <c r="H23" s="877"/>
      <c r="I23" s="877"/>
    </row>
    <row r="24" spans="1:9" s="886" customFormat="1" ht="19.5" customHeight="1">
      <c r="A24" s="3282"/>
      <c r="B24" s="3282" t="s">
        <v>563</v>
      </c>
      <c r="C24" s="882" t="s">
        <v>573</v>
      </c>
      <c r="D24" s="883"/>
      <c r="E24" s="881">
        <v>0.5</v>
      </c>
      <c r="F24" s="884"/>
      <c r="G24" s="885"/>
      <c r="H24" s="877"/>
      <c r="I24" s="877"/>
    </row>
    <row r="25" spans="1:9" s="886" customFormat="1" ht="19.5" customHeight="1">
      <c r="A25" s="3282"/>
      <c r="B25" s="3282"/>
      <c r="C25" s="882" t="s">
        <v>574</v>
      </c>
      <c r="D25" s="883"/>
      <c r="E25" s="881">
        <v>1.1000000000000001</v>
      </c>
      <c r="F25" s="884"/>
      <c r="G25" s="885"/>
      <c r="H25" s="877"/>
      <c r="I25" s="877"/>
    </row>
    <row r="26" spans="1:9" s="886" customFormat="1" ht="19.5" customHeight="1">
      <c r="A26" s="3282"/>
      <c r="B26" s="3282"/>
      <c r="C26" s="882" t="s">
        <v>575</v>
      </c>
      <c r="D26" s="883"/>
      <c r="E26" s="881">
        <v>1.1000000000000001</v>
      </c>
      <c r="F26" s="884"/>
      <c r="G26" s="885"/>
      <c r="H26" s="877"/>
      <c r="I26" s="877"/>
    </row>
    <row r="27" spans="1:9" s="886" customFormat="1" ht="19.5" customHeight="1">
      <c r="A27" s="3282"/>
      <c r="B27" s="3282"/>
      <c r="C27" s="882" t="s">
        <v>576</v>
      </c>
      <c r="D27" s="883"/>
      <c r="E27" s="881">
        <v>0.9</v>
      </c>
      <c r="F27" s="884" t="s">
        <v>577</v>
      </c>
      <c r="G27" s="885"/>
      <c r="H27" s="877"/>
      <c r="I27" s="877"/>
    </row>
    <row r="28" spans="1:9" s="886" customFormat="1" ht="19.5" customHeight="1">
      <c r="A28" s="3282"/>
      <c r="B28" s="3282"/>
      <c r="C28" s="882" t="s">
        <v>578</v>
      </c>
      <c r="D28" s="883"/>
      <c r="E28" s="881">
        <v>0.9</v>
      </c>
      <c r="F28" s="884" t="s">
        <v>579</v>
      </c>
      <c r="G28" s="885"/>
      <c r="H28" s="877"/>
      <c r="I28" s="877"/>
    </row>
    <row r="29" spans="1:9" s="886" customFormat="1" ht="19.5" customHeight="1">
      <c r="A29" s="3282"/>
      <c r="B29" s="3282"/>
      <c r="C29" s="882" t="s">
        <v>580</v>
      </c>
      <c r="D29" s="883"/>
      <c r="E29" s="881">
        <v>0.9</v>
      </c>
      <c r="F29" s="884" t="s">
        <v>581</v>
      </c>
      <c r="G29" s="885"/>
      <c r="H29" s="877"/>
      <c r="I29" s="877"/>
    </row>
    <row r="30" spans="1:9" s="886" customFormat="1" ht="19.5" customHeight="1">
      <c r="A30" s="3282"/>
      <c r="B30" s="3282"/>
      <c r="C30" s="882" t="s">
        <v>582</v>
      </c>
      <c r="D30" s="883"/>
      <c r="E30" s="881">
        <v>0.9</v>
      </c>
      <c r="F30" s="884" t="s">
        <v>583</v>
      </c>
      <c r="G30" s="885"/>
      <c r="H30" s="877"/>
      <c r="I30" s="877"/>
    </row>
    <row r="31" spans="1:9" s="886" customFormat="1" ht="19.5" customHeight="1">
      <c r="A31" s="3282"/>
      <c r="B31" s="3282"/>
      <c r="C31" s="882" t="s">
        <v>584</v>
      </c>
      <c r="D31" s="883"/>
      <c r="E31" s="881">
        <v>0.8</v>
      </c>
      <c r="F31" s="884" t="s">
        <v>585</v>
      </c>
      <c r="G31" s="885"/>
      <c r="H31" s="877"/>
      <c r="I31" s="877"/>
    </row>
    <row r="32" spans="1:9" s="886" customFormat="1" ht="19.5" customHeight="1">
      <c r="A32" s="3282"/>
      <c r="B32" s="3282"/>
      <c r="C32" s="882" t="s">
        <v>586</v>
      </c>
      <c r="D32" s="883"/>
      <c r="E32" s="881">
        <v>0.8</v>
      </c>
      <c r="F32" s="884" t="s">
        <v>587</v>
      </c>
      <c r="G32" s="885"/>
      <c r="H32" s="877"/>
      <c r="I32" s="877"/>
    </row>
    <row r="33" spans="1:9" s="886" customFormat="1" ht="19.5" customHeight="1">
      <c r="A33" s="3282" t="s">
        <v>185</v>
      </c>
      <c r="B33" s="881" t="s">
        <v>560</v>
      </c>
      <c r="C33" s="882" t="s">
        <v>588</v>
      </c>
      <c r="D33" s="883"/>
      <c r="E33" s="881">
        <v>1</v>
      </c>
      <c r="F33" s="884" t="s">
        <v>589</v>
      </c>
      <c r="G33" s="885"/>
      <c r="H33" s="877"/>
      <c r="I33" s="877"/>
    </row>
    <row r="34" spans="1:9" s="886" customFormat="1" ht="19.5" customHeight="1">
      <c r="A34" s="3282"/>
      <c r="B34" s="881" t="s">
        <v>563</v>
      </c>
      <c r="C34" s="882" t="s">
        <v>590</v>
      </c>
      <c r="D34" s="883"/>
      <c r="E34" s="881">
        <v>1.5</v>
      </c>
      <c r="F34" s="884" t="s">
        <v>591</v>
      </c>
      <c r="G34" s="885"/>
      <c r="H34" s="877"/>
      <c r="I34" s="877"/>
    </row>
    <row r="35" spans="1:9" s="886" customFormat="1" ht="19.5" customHeight="1">
      <c r="A35" s="3282" t="s">
        <v>186</v>
      </c>
      <c r="B35" s="881" t="s">
        <v>560</v>
      </c>
      <c r="C35" s="882" t="s">
        <v>592</v>
      </c>
      <c r="D35" s="883"/>
      <c r="E35" s="881">
        <v>1</v>
      </c>
      <c r="F35" s="884" t="s">
        <v>593</v>
      </c>
      <c r="G35" s="885"/>
      <c r="H35" s="877"/>
      <c r="I35" s="877"/>
    </row>
    <row r="36" spans="1:9" s="886" customFormat="1" ht="19.5" customHeight="1">
      <c r="A36" s="3282"/>
      <c r="B36" s="3282" t="s">
        <v>563</v>
      </c>
      <c r="C36" s="882" t="s">
        <v>594</v>
      </c>
      <c r="D36" s="883"/>
      <c r="E36" s="881">
        <v>1</v>
      </c>
      <c r="F36" s="884" t="s">
        <v>595</v>
      </c>
      <c r="G36" s="885"/>
      <c r="H36" s="877"/>
      <c r="I36" s="877"/>
    </row>
    <row r="37" spans="1:9" s="886" customFormat="1" ht="19.5" customHeight="1">
      <c r="A37" s="3282"/>
      <c r="B37" s="3282"/>
      <c r="C37" s="882" t="s">
        <v>596</v>
      </c>
      <c r="D37" s="883"/>
      <c r="E37" s="881">
        <v>1.5</v>
      </c>
      <c r="F37" s="884" t="s">
        <v>597</v>
      </c>
      <c r="G37" s="885"/>
      <c r="H37" s="877"/>
      <c r="I37" s="877"/>
    </row>
    <row r="38" spans="1:9" s="886" customFormat="1" ht="19.5" customHeight="1">
      <c r="A38" s="3282"/>
      <c r="B38" s="3282"/>
      <c r="C38" s="882" t="s">
        <v>598</v>
      </c>
      <c r="D38" s="883"/>
      <c r="E38" s="881">
        <v>1</v>
      </c>
      <c r="F38" s="884" t="s">
        <v>599</v>
      </c>
      <c r="G38" s="885"/>
      <c r="H38" s="877"/>
      <c r="I38" s="877"/>
    </row>
    <row r="39" spans="1:9" s="886" customFormat="1" ht="19.5" customHeight="1">
      <c r="A39" s="3282"/>
      <c r="B39" s="328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2" t="s">
        <v>614</v>
      </c>
      <c r="C61" s="817" t="s">
        <v>615</v>
      </c>
      <c r="D61" s="817" t="s">
        <v>616</v>
      </c>
      <c r="E61" s="894">
        <v>0.5</v>
      </c>
      <c r="F61" s="881">
        <v>80</v>
      </c>
    </row>
    <row r="62" spans="1:8" s="877" customFormat="1" ht="24">
      <c r="A62" s="881">
        <v>2</v>
      </c>
      <c r="B62" s="3282"/>
      <c r="C62" s="817" t="s">
        <v>617</v>
      </c>
      <c r="D62" s="817" t="s">
        <v>618</v>
      </c>
      <c r="E62" s="894">
        <v>0.5</v>
      </c>
      <c r="F62" s="881">
        <v>80</v>
      </c>
    </row>
    <row r="63" spans="1:8" s="877" customFormat="1" ht="36">
      <c r="A63" s="881">
        <v>3</v>
      </c>
      <c r="B63" s="3282"/>
      <c r="C63" s="817" t="s">
        <v>619</v>
      </c>
      <c r="D63" s="817" t="s">
        <v>620</v>
      </c>
      <c r="E63" s="894">
        <v>0.5</v>
      </c>
      <c r="F63" s="881">
        <v>80</v>
      </c>
    </row>
    <row r="64" spans="1:8" s="877" customFormat="1" ht="36">
      <c r="A64" s="881">
        <v>4</v>
      </c>
      <c r="B64" s="3282"/>
      <c r="C64" s="817" t="s">
        <v>621</v>
      </c>
      <c r="D64" s="817" t="s">
        <v>622</v>
      </c>
      <c r="E64" s="894">
        <v>0.4</v>
      </c>
      <c r="F64" s="881">
        <v>60</v>
      </c>
    </row>
    <row r="65" spans="1:6" s="877" customFormat="1" ht="36">
      <c r="A65" s="881">
        <v>5</v>
      </c>
      <c r="B65" s="3282"/>
      <c r="C65" s="817" t="s">
        <v>623</v>
      </c>
      <c r="D65" s="817" t="s">
        <v>624</v>
      </c>
      <c r="E65" s="894">
        <v>0.2</v>
      </c>
      <c r="F65" s="881">
        <v>30</v>
      </c>
    </row>
    <row r="66" spans="1:6" s="877" customFormat="1" ht="36">
      <c r="A66" s="881">
        <v>6</v>
      </c>
      <c r="B66" s="3282"/>
      <c r="C66" s="817" t="s">
        <v>625</v>
      </c>
      <c r="D66" s="817" t="s">
        <v>626</v>
      </c>
      <c r="E66" s="894">
        <v>0.3</v>
      </c>
      <c r="F66" s="881">
        <v>50</v>
      </c>
    </row>
    <row r="67" spans="1:6" s="877" customFormat="1" ht="36">
      <c r="A67" s="881">
        <v>7</v>
      </c>
      <c r="B67" s="3282"/>
      <c r="C67" s="817" t="s">
        <v>627</v>
      </c>
      <c r="D67" s="817" t="s">
        <v>628</v>
      </c>
      <c r="E67" s="894">
        <v>0.2</v>
      </c>
      <c r="F67" s="881">
        <v>30</v>
      </c>
    </row>
    <row r="68" spans="1:6" s="877" customFormat="1" ht="36">
      <c r="A68" s="881">
        <v>8</v>
      </c>
      <c r="B68" s="3282"/>
      <c r="C68" s="817" t="s">
        <v>629</v>
      </c>
      <c r="D68" s="817" t="s">
        <v>630</v>
      </c>
      <c r="E68" s="894">
        <v>0.2</v>
      </c>
      <c r="F68" s="881">
        <v>30</v>
      </c>
    </row>
    <row r="69" spans="1:6" s="877" customFormat="1" ht="36">
      <c r="A69" s="881">
        <v>9</v>
      </c>
      <c r="B69" s="3282"/>
      <c r="C69" s="817" t="s">
        <v>631</v>
      </c>
      <c r="D69" s="817" t="s">
        <v>632</v>
      </c>
      <c r="E69" s="894">
        <v>0.2</v>
      </c>
      <c r="F69" s="881">
        <v>30</v>
      </c>
    </row>
    <row r="70" spans="1:6" s="877" customFormat="1" ht="48">
      <c r="A70" s="881">
        <v>10</v>
      </c>
      <c r="B70" s="3282"/>
      <c r="C70" s="817" t="s">
        <v>633</v>
      </c>
      <c r="D70" s="817" t="s">
        <v>634</v>
      </c>
      <c r="E70" s="894">
        <v>0.2</v>
      </c>
      <c r="F70" s="881">
        <v>30</v>
      </c>
    </row>
    <row r="71" spans="1:6" s="877" customFormat="1" ht="48">
      <c r="A71" s="881">
        <v>11</v>
      </c>
      <c r="B71" s="3282"/>
      <c r="C71" s="817" t="s">
        <v>635</v>
      </c>
      <c r="D71" s="817" t="s">
        <v>636</v>
      </c>
      <c r="E71" s="894">
        <v>0.2</v>
      </c>
      <c r="F71" s="881">
        <v>30</v>
      </c>
    </row>
    <row r="72" spans="1:6" s="877" customFormat="1" ht="36">
      <c r="A72" s="881">
        <v>12</v>
      </c>
      <c r="B72" s="3282"/>
      <c r="C72" s="817" t="s">
        <v>637</v>
      </c>
      <c r="D72" s="817" t="s">
        <v>638</v>
      </c>
      <c r="E72" s="894">
        <v>0.5</v>
      </c>
      <c r="F72" s="881">
        <v>80</v>
      </c>
    </row>
    <row r="73" spans="1:6" s="877" customFormat="1" ht="24">
      <c r="A73" s="881">
        <v>13</v>
      </c>
      <c r="B73" s="3282"/>
      <c r="C73" s="817" t="s">
        <v>639</v>
      </c>
      <c r="D73" s="817" t="s">
        <v>640</v>
      </c>
      <c r="E73" s="894">
        <v>0.4</v>
      </c>
      <c r="F73" s="881">
        <v>60</v>
      </c>
    </row>
    <row r="74" spans="1:6" s="877" customFormat="1" ht="24">
      <c r="A74" s="881">
        <v>14</v>
      </c>
      <c r="B74" s="3282"/>
      <c r="C74" s="817" t="s">
        <v>641</v>
      </c>
      <c r="D74" s="817" t="s">
        <v>642</v>
      </c>
      <c r="E74" s="894">
        <v>0.2</v>
      </c>
      <c r="F74" s="881">
        <v>30</v>
      </c>
    </row>
    <row r="75" spans="1:6" s="877" customFormat="1" ht="24">
      <c r="A75" s="881">
        <v>15</v>
      </c>
      <c r="B75" s="3282"/>
      <c r="C75" s="817" t="s">
        <v>643</v>
      </c>
      <c r="D75" s="817" t="s">
        <v>644</v>
      </c>
      <c r="E75" s="894">
        <v>0.2</v>
      </c>
      <c r="F75" s="881">
        <v>30</v>
      </c>
    </row>
    <row r="76" spans="1:6" s="877" customFormat="1" ht="24">
      <c r="A76" s="881">
        <v>16</v>
      </c>
      <c r="B76" s="3282" t="s">
        <v>645</v>
      </c>
      <c r="C76" s="817" t="s">
        <v>646</v>
      </c>
      <c r="D76" s="817" t="s">
        <v>647</v>
      </c>
      <c r="E76" s="894">
        <v>0.5</v>
      </c>
      <c r="F76" s="881">
        <v>80</v>
      </c>
    </row>
    <row r="77" spans="1:6" s="877" customFormat="1" ht="24">
      <c r="A77" s="881">
        <v>17</v>
      </c>
      <c r="B77" s="3282"/>
      <c r="C77" s="817" t="s">
        <v>648</v>
      </c>
      <c r="D77" s="817" t="s">
        <v>649</v>
      </c>
      <c r="E77" s="894">
        <v>0.5</v>
      </c>
      <c r="F77" s="881">
        <v>80</v>
      </c>
    </row>
    <row r="78" spans="1:6" s="877" customFormat="1" ht="24">
      <c r="A78" s="881">
        <v>18</v>
      </c>
      <c r="B78" s="3282"/>
      <c r="C78" s="817" t="s">
        <v>650</v>
      </c>
      <c r="D78" s="817" t="s">
        <v>651</v>
      </c>
      <c r="E78" s="894">
        <v>0.2</v>
      </c>
      <c r="F78" s="881">
        <v>30</v>
      </c>
    </row>
    <row r="79" spans="1:6" s="877" customFormat="1" ht="24">
      <c r="A79" s="881">
        <v>19</v>
      </c>
      <c r="B79" s="3282"/>
      <c r="C79" s="817" t="s">
        <v>652</v>
      </c>
      <c r="D79" s="817" t="s">
        <v>653</v>
      </c>
      <c r="E79" s="894">
        <v>0.5</v>
      </c>
      <c r="F79" s="881">
        <v>80</v>
      </c>
    </row>
    <row r="80" spans="1:6" s="877" customFormat="1" ht="36">
      <c r="A80" s="881">
        <v>20</v>
      </c>
      <c r="B80" s="3282"/>
      <c r="C80" s="817" t="s">
        <v>654</v>
      </c>
      <c r="D80" s="817" t="s">
        <v>655</v>
      </c>
      <c r="E80" s="894">
        <v>0.2</v>
      </c>
      <c r="F80" s="881">
        <v>30</v>
      </c>
    </row>
    <row r="81" spans="1:6" s="877" customFormat="1" ht="36">
      <c r="A81" s="881">
        <v>21</v>
      </c>
      <c r="B81" s="3282"/>
      <c r="C81" s="817" t="s">
        <v>656</v>
      </c>
      <c r="D81" s="817" t="s">
        <v>657</v>
      </c>
      <c r="E81" s="894">
        <v>0.2</v>
      </c>
      <c r="F81" s="881">
        <v>30</v>
      </c>
    </row>
    <row r="82" spans="1:6" s="877" customFormat="1" ht="48">
      <c r="A82" s="881">
        <v>22</v>
      </c>
      <c r="B82" s="3282"/>
      <c r="C82" s="817" t="s">
        <v>658</v>
      </c>
      <c r="D82" s="817" t="s">
        <v>659</v>
      </c>
      <c r="E82" s="894">
        <v>0.2</v>
      </c>
      <c r="F82" s="881">
        <v>30</v>
      </c>
    </row>
    <row r="83" spans="1:6" s="877" customFormat="1" ht="48">
      <c r="A83" s="881">
        <v>23</v>
      </c>
      <c r="B83" s="3282"/>
      <c r="C83" s="817" t="s">
        <v>660</v>
      </c>
      <c r="D83" s="817" t="s">
        <v>661</v>
      </c>
      <c r="E83" s="894">
        <v>0.2</v>
      </c>
      <c r="F83" s="881">
        <v>30</v>
      </c>
    </row>
    <row r="84" spans="1:6" s="877" customFormat="1" ht="36">
      <c r="A84" s="881">
        <v>24</v>
      </c>
      <c r="B84" s="3282"/>
      <c r="C84" s="817" t="s">
        <v>662</v>
      </c>
      <c r="D84" s="817" t="s">
        <v>663</v>
      </c>
      <c r="E84" s="894">
        <v>0.2</v>
      </c>
      <c r="F84" s="881">
        <v>30</v>
      </c>
    </row>
    <row r="85" spans="1:6" s="877" customFormat="1" ht="36">
      <c r="A85" s="881">
        <v>25</v>
      </c>
      <c r="B85" s="3282"/>
      <c r="C85" s="817" t="s">
        <v>664</v>
      </c>
      <c r="D85" s="817" t="s">
        <v>665</v>
      </c>
      <c r="E85" s="894">
        <v>0.5</v>
      </c>
      <c r="F85" s="881">
        <v>80</v>
      </c>
    </row>
    <row r="86" spans="1:6" s="877" customFormat="1" ht="36">
      <c r="A86" s="881">
        <v>26</v>
      </c>
      <c r="B86" s="3282"/>
      <c r="C86" s="817" t="s">
        <v>666</v>
      </c>
      <c r="D86" s="817" t="s">
        <v>667</v>
      </c>
      <c r="E86" s="894">
        <v>0.2</v>
      </c>
      <c r="F86" s="881">
        <v>30</v>
      </c>
    </row>
    <row r="87" spans="1:6" s="877" customFormat="1" ht="36">
      <c r="A87" s="881">
        <v>27</v>
      </c>
      <c r="B87" s="3282"/>
      <c r="C87" s="817" t="s">
        <v>668</v>
      </c>
      <c r="D87" s="817" t="s">
        <v>669</v>
      </c>
      <c r="E87" s="894">
        <v>0.2</v>
      </c>
      <c r="F87" s="881">
        <v>30</v>
      </c>
    </row>
    <row r="88" spans="1:6" s="877" customFormat="1" ht="36">
      <c r="A88" s="881">
        <v>28</v>
      </c>
      <c r="B88" s="3282"/>
      <c r="C88" s="817" t="s">
        <v>670</v>
      </c>
      <c r="D88" s="817" t="s">
        <v>671</v>
      </c>
      <c r="E88" s="894">
        <v>0.2</v>
      </c>
      <c r="F88" s="881">
        <v>30</v>
      </c>
    </row>
    <row r="89" spans="1:6" s="877" customFormat="1" ht="24">
      <c r="A89" s="881">
        <v>29</v>
      </c>
      <c r="B89" s="3282"/>
      <c r="C89" s="817" t="s">
        <v>672</v>
      </c>
      <c r="D89" s="817" t="s">
        <v>673</v>
      </c>
      <c r="E89" s="894">
        <v>0.2</v>
      </c>
      <c r="F89" s="881">
        <v>30</v>
      </c>
    </row>
    <row r="90" spans="1:6" s="877" customFormat="1" ht="24">
      <c r="A90" s="881">
        <v>30</v>
      </c>
      <c r="B90" s="3282"/>
      <c r="C90" s="817" t="s">
        <v>674</v>
      </c>
      <c r="D90" s="817" t="s">
        <v>675</v>
      </c>
      <c r="E90" s="894">
        <v>0.2</v>
      </c>
      <c r="F90" s="881">
        <v>30</v>
      </c>
    </row>
    <row r="91" spans="1:6" s="877" customFormat="1" ht="36">
      <c r="A91" s="881">
        <v>31</v>
      </c>
      <c r="B91" s="3282"/>
      <c r="C91" s="817" t="s">
        <v>676</v>
      </c>
      <c r="D91" s="817" t="s">
        <v>677</v>
      </c>
      <c r="E91" s="894">
        <v>0.2</v>
      </c>
      <c r="F91" s="881">
        <v>30</v>
      </c>
    </row>
    <row r="92" spans="1:6" s="877" customFormat="1" ht="24">
      <c r="A92" s="881">
        <v>32</v>
      </c>
      <c r="B92" s="3282" t="s">
        <v>678</v>
      </c>
      <c r="C92" s="881" t="s">
        <v>679</v>
      </c>
      <c r="D92" s="817" t="s">
        <v>680</v>
      </c>
      <c r="E92" s="894">
        <v>0.2</v>
      </c>
      <c r="F92" s="881">
        <v>30</v>
      </c>
    </row>
    <row r="93" spans="1:6" s="877" customFormat="1" ht="36">
      <c r="A93" s="881">
        <v>33</v>
      </c>
      <c r="B93" s="3282"/>
      <c r="C93" s="881" t="s">
        <v>681</v>
      </c>
      <c r="D93" s="817" t="s">
        <v>682</v>
      </c>
      <c r="E93" s="894">
        <v>0.2</v>
      </c>
      <c r="F93" s="881">
        <v>30</v>
      </c>
    </row>
    <row r="94" spans="1:6" s="877" customFormat="1" ht="48">
      <c r="A94" s="881">
        <v>34</v>
      </c>
      <c r="B94" s="3282"/>
      <c r="C94" s="881" t="s">
        <v>683</v>
      </c>
      <c r="D94" s="817" t="s">
        <v>684</v>
      </c>
      <c r="E94" s="894">
        <v>0.2</v>
      </c>
      <c r="F94" s="881">
        <v>30</v>
      </c>
    </row>
    <row r="95" spans="1:6" s="877" customFormat="1" ht="36">
      <c r="A95" s="881">
        <v>35</v>
      </c>
      <c r="B95" s="3282"/>
      <c r="C95" s="881" t="s">
        <v>685</v>
      </c>
      <c r="D95" s="817" t="s">
        <v>686</v>
      </c>
      <c r="E95" s="894">
        <v>0.2</v>
      </c>
      <c r="F95" s="881">
        <v>30</v>
      </c>
    </row>
    <row r="96" spans="1:6" s="877" customFormat="1" ht="48">
      <c r="A96" s="881">
        <v>36</v>
      </c>
      <c r="B96" s="3282"/>
      <c r="C96" s="817" t="s">
        <v>687</v>
      </c>
      <c r="D96" s="817" t="s">
        <v>688</v>
      </c>
      <c r="E96" s="894">
        <v>0.2</v>
      </c>
      <c r="F96" s="881">
        <v>30</v>
      </c>
    </row>
    <row r="97" spans="1:6" s="877" customFormat="1" ht="36">
      <c r="A97" s="881">
        <v>37</v>
      </c>
      <c r="B97" s="3282"/>
      <c r="C97" s="881" t="s">
        <v>689</v>
      </c>
      <c r="D97" s="817" t="s">
        <v>690</v>
      </c>
      <c r="E97" s="894">
        <v>0.2</v>
      </c>
      <c r="F97" s="881">
        <v>30</v>
      </c>
    </row>
    <row r="98" spans="1:6" s="877" customFormat="1" ht="36">
      <c r="A98" s="881">
        <v>38</v>
      </c>
      <c r="B98" s="3282"/>
      <c r="C98" s="881" t="s">
        <v>691</v>
      </c>
      <c r="D98" s="817" t="s">
        <v>692</v>
      </c>
      <c r="E98" s="894">
        <v>0.2</v>
      </c>
      <c r="F98" s="881">
        <v>30</v>
      </c>
    </row>
    <row r="99" spans="1:6" s="877" customFormat="1" ht="36">
      <c r="A99" s="881">
        <v>39</v>
      </c>
      <c r="B99" s="3282" t="s">
        <v>693</v>
      </c>
      <c r="C99" s="881" t="s">
        <v>694</v>
      </c>
      <c r="D99" s="817" t="s">
        <v>695</v>
      </c>
      <c r="E99" s="894">
        <v>0.3</v>
      </c>
      <c r="F99" s="881">
        <v>50</v>
      </c>
    </row>
    <row r="100" spans="1:6" s="877" customFormat="1" ht="24">
      <c r="A100" s="881">
        <v>40</v>
      </c>
      <c r="B100" s="3282"/>
      <c r="C100" s="881" t="s">
        <v>696</v>
      </c>
      <c r="D100" s="817" t="s">
        <v>697</v>
      </c>
      <c r="E100" s="894">
        <v>0.2</v>
      </c>
      <c r="F100" s="881">
        <v>30</v>
      </c>
    </row>
    <row r="101" spans="1:6" s="877" customFormat="1" ht="36">
      <c r="A101" s="881">
        <v>41</v>
      </c>
      <c r="B101" s="328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2" t="s">
        <v>708</v>
      </c>
      <c r="C105" s="881" t="s">
        <v>709</v>
      </c>
      <c r="D105" s="817" t="s">
        <v>710</v>
      </c>
      <c r="E105" s="894">
        <v>0.2</v>
      </c>
      <c r="F105" s="881">
        <v>30</v>
      </c>
    </row>
    <row r="106" spans="1:6" s="877" customFormat="1" ht="36">
      <c r="A106" s="881">
        <v>46</v>
      </c>
      <c r="B106" s="3282"/>
      <c r="C106" s="881" t="s">
        <v>711</v>
      </c>
      <c r="D106" s="817" t="s">
        <v>712</v>
      </c>
      <c r="E106" s="894">
        <v>0.2</v>
      </c>
      <c r="F106" s="881">
        <v>30</v>
      </c>
    </row>
    <row r="107" spans="1:6" s="877" customFormat="1" ht="36">
      <c r="A107" s="881">
        <v>47</v>
      </c>
      <c r="B107" s="3282" t="s">
        <v>713</v>
      </c>
      <c r="C107" s="881" t="s">
        <v>714</v>
      </c>
      <c r="D107" s="817" t="s">
        <v>715</v>
      </c>
      <c r="E107" s="894">
        <v>0.3</v>
      </c>
      <c r="F107" s="881">
        <v>50</v>
      </c>
    </row>
    <row r="108" spans="1:6" s="877" customFormat="1" ht="36">
      <c r="A108" s="881">
        <v>48</v>
      </c>
      <c r="B108" s="328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2" t="s">
        <v>724</v>
      </c>
      <c r="C111" s="881" t="s">
        <v>725</v>
      </c>
      <c r="D111" s="817" t="s">
        <v>726</v>
      </c>
      <c r="E111" s="894">
        <v>0.2</v>
      </c>
      <c r="F111" s="881">
        <v>30</v>
      </c>
    </row>
    <row r="112" spans="1:6" s="877" customFormat="1" ht="24">
      <c r="A112" s="881">
        <v>52</v>
      </c>
      <c r="B112" s="3282"/>
      <c r="C112" s="881" t="s">
        <v>727</v>
      </c>
      <c r="D112" s="817" t="s">
        <v>728</v>
      </c>
      <c r="E112" s="894">
        <v>0.2</v>
      </c>
      <c r="F112" s="881">
        <v>30</v>
      </c>
    </row>
    <row r="113" spans="1:6" s="877" customFormat="1" ht="24">
      <c r="A113" s="881">
        <v>53</v>
      </c>
      <c r="B113" s="328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2" t="s">
        <v>737</v>
      </c>
      <c r="C116" s="881" t="s">
        <v>738</v>
      </c>
      <c r="D116" s="817" t="s">
        <v>739</v>
      </c>
      <c r="E116" s="894">
        <v>0.2</v>
      </c>
      <c r="F116" s="881">
        <v>30</v>
      </c>
    </row>
    <row r="117" spans="1:6" ht="36">
      <c r="A117" s="881">
        <v>57</v>
      </c>
      <c r="B117" s="328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3007</v>
      </c>
    </row>
    <row r="2" spans="1:5" ht="15.75">
      <c r="A2" s="2911" t="s">
        <v>2999</v>
      </c>
      <c r="B2" s="2912" t="e">
        <f ca="1">SUMIF(B6:B13,"&lt;&gt;#ref!",B6:B13)</f>
        <v>#DIV/0!</v>
      </c>
      <c r="C2" s="2911" t="s">
        <v>3000</v>
      </c>
      <c r="D2" s="2911" t="s">
        <v>3001</v>
      </c>
      <c r="E2" s="2912" t="e">
        <f ca="1">SUM(E6:E13)</f>
        <v>#REF!</v>
      </c>
    </row>
    <row r="3" spans="1:5" ht="15.75">
      <c r="A3" s="2911" t="s">
        <v>3002</v>
      </c>
      <c r="B3" s="2912" t="e">
        <f ca="1">ROUND(B2*10000/E2,0)</f>
        <v>#DIV/0!</v>
      </c>
      <c r="C3" s="2911" t="s">
        <v>3008</v>
      </c>
      <c r="D3" s="2913"/>
      <c r="E3" s="2913"/>
    </row>
    <row r="4" spans="1:5" ht="15.75">
      <c r="A4" s="2914"/>
      <c r="B4" s="2913"/>
      <c r="C4" s="2913"/>
      <c r="D4" s="2913"/>
      <c r="E4" s="2913"/>
    </row>
    <row r="5" spans="1:5" ht="28.5">
      <c r="A5" s="2915" t="s">
        <v>3003</v>
      </c>
      <c r="B5" s="2911" t="s">
        <v>3004</v>
      </c>
      <c r="C5" s="2912"/>
      <c r="D5" s="2913"/>
      <c r="E5" s="2911" t="s">
        <v>3005</v>
      </c>
    </row>
    <row r="6" spans="1:5" ht="15.75">
      <c r="A6" s="2916" t="s">
        <v>3006</v>
      </c>
      <c r="B6" s="2912" t="e">
        <f ca="1">SUMIF(INDIRECT("'"&amp;A6&amp;"'"&amp;"!A:A"),"总价",INDIRECT("'"&amp;A6&amp;"'"&amp;"!B:B"))</f>
        <v>#DIV/0!</v>
      </c>
      <c r="C6" s="2911" t="s">
        <v>3000</v>
      </c>
      <c r="D6" s="2913"/>
      <c r="E6" s="2576">
        <f ca="1">SUMIF(INDIRECT("'"&amp;A6&amp;"'"&amp;"!C:C"),"建筑面积",INDIRECT("'"&amp;A6&amp;"'"&amp;"!D:D"))</f>
        <v>0</v>
      </c>
    </row>
    <row r="7" spans="1:5" ht="15.75">
      <c r="A7" s="2916"/>
      <c r="B7" s="2912" t="e">
        <f ca="1">SUMIF(INDIRECT("'"&amp;A7&amp;"'"&amp;"!A:A"),"总价",INDIRECT("'"&amp;A7&amp;"'"&amp;"!B:B"))</f>
        <v>#REF!</v>
      </c>
      <c r="C7" s="2911" t="s">
        <v>3000</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3000</v>
      </c>
      <c r="D8" s="2913"/>
      <c r="E8" s="2576" t="e">
        <f t="shared" ca="1" si="0"/>
        <v>#REF!</v>
      </c>
    </row>
    <row r="9" spans="1:5" ht="15.75">
      <c r="A9" s="2916"/>
      <c r="B9" s="2912" t="e">
        <f t="shared" ca="1" si="1"/>
        <v>#REF!</v>
      </c>
      <c r="C9" s="2911" t="s">
        <v>3000</v>
      </c>
      <c r="D9" s="2913"/>
      <c r="E9" s="2576" t="e">
        <f t="shared" ca="1" si="0"/>
        <v>#REF!</v>
      </c>
    </row>
    <row r="10" spans="1:5" ht="15.75">
      <c r="A10" s="2916"/>
      <c r="B10" s="2912" t="e">
        <f t="shared" ca="1" si="1"/>
        <v>#REF!</v>
      </c>
      <c r="C10" s="2911" t="s">
        <v>3000</v>
      </c>
      <c r="D10" s="2913"/>
      <c r="E10" s="2576" t="e">
        <f t="shared" ca="1" si="0"/>
        <v>#REF!</v>
      </c>
    </row>
    <row r="11" spans="1:5" ht="15.75">
      <c r="A11" s="2916"/>
      <c r="B11" s="2912" t="e">
        <f t="shared" ca="1" si="1"/>
        <v>#REF!</v>
      </c>
      <c r="C11" s="2911" t="s">
        <v>3000</v>
      </c>
      <c r="D11" s="2913"/>
      <c r="E11" s="2576" t="e">
        <f t="shared" ca="1" si="0"/>
        <v>#REF!</v>
      </c>
    </row>
    <row r="12" spans="1:5" ht="15.75">
      <c r="A12" s="2916"/>
      <c r="B12" s="2912" t="e">
        <f t="shared" ca="1" si="1"/>
        <v>#REF!</v>
      </c>
      <c r="C12" s="2911" t="s">
        <v>3000</v>
      </c>
      <c r="D12" s="2913"/>
      <c r="E12" s="2576" t="e">
        <f t="shared" ca="1" si="0"/>
        <v>#REF!</v>
      </c>
    </row>
    <row r="13" spans="1:5" ht="15.75">
      <c r="A13" s="2916"/>
      <c r="B13" s="2912" t="e">
        <f t="shared" ca="1" si="1"/>
        <v>#REF!</v>
      </c>
      <c r="C13" s="2911" t="s">
        <v>3000</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4"/>
  <sheetViews>
    <sheetView zoomScale="80" zoomScaleNormal="80" workbookViewId="0">
      <selection activeCell="W3" sqref="W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8" t="s">
        <v>1150</v>
      </c>
      <c r="C1" s="3288"/>
      <c r="D1" s="3288"/>
      <c r="E1" s="3288"/>
      <c r="F1" s="3288"/>
      <c r="G1" s="3284" t="s">
        <v>1151</v>
      </c>
      <c r="H1" s="3284"/>
      <c r="I1" s="3284"/>
      <c r="J1" s="3284"/>
      <c r="K1" s="3284"/>
      <c r="L1" s="3284"/>
      <c r="N1" s="3284" t="s">
        <v>1152</v>
      </c>
      <c r="O1" s="3284"/>
      <c r="P1" s="3284"/>
      <c r="Q1" s="3284"/>
      <c r="R1" s="1448"/>
      <c r="S1" s="3284" t="s">
        <v>1153</v>
      </c>
      <c r="T1" s="3284"/>
      <c r="U1" s="3284"/>
      <c r="V1" s="3284"/>
      <c r="X1" s="3283" t="s">
        <v>1154</v>
      </c>
      <c r="Y1" s="3284"/>
      <c r="Z1" s="3284"/>
      <c r="AA1" s="3284"/>
      <c r="AB1" s="3284"/>
      <c r="AD1" s="3283" t="s">
        <v>1155</v>
      </c>
      <c r="AE1" s="3284"/>
      <c r="AF1" s="3284"/>
      <c r="AG1" s="3284"/>
      <c r="AH1" s="3284"/>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0" customFormat="1" ht="14.25">
      <c r="A3" s="2939" t="s">
        <v>3046</v>
      </c>
      <c r="B3" s="2931"/>
      <c r="C3" s="2931"/>
      <c r="D3" s="2932"/>
      <c r="E3" s="2932"/>
      <c r="F3" s="2931"/>
      <c r="G3" s="2933"/>
      <c r="H3" s="2934"/>
      <c r="I3" s="2935">
        <f>ROUND(AVERAGE($I6:$I21),2)</f>
        <v>2.4500000000000002</v>
      </c>
      <c r="J3" s="2935">
        <f>ROUND(AVERAGE($J6:$J21),2)</f>
        <v>1.65</v>
      </c>
      <c r="K3" s="2935">
        <f>ROUND(AVERAGE($K6:$K21),2)</f>
        <v>2.71</v>
      </c>
      <c r="L3" s="2935">
        <f>ROUND(AVERAGE($L6:$L21),2)</f>
        <v>1.39</v>
      </c>
      <c r="N3" s="2933"/>
      <c r="O3" s="2936"/>
      <c r="P3" s="2936"/>
      <c r="Q3" s="2936"/>
      <c r="R3" s="2936"/>
      <c r="S3" s="2933"/>
      <c r="T3" s="2936"/>
      <c r="U3" s="2936"/>
      <c r="V3" s="2936"/>
      <c r="W3" s="2928"/>
      <c r="X3" s="2937">
        <f>ROUND(SUMPRODUCT(PRODUCT(1+N3:N$20)),4)</f>
        <v>1.4274</v>
      </c>
      <c r="Y3" s="2937">
        <f>ROUND(SUMPRODUCT(PRODUCT(1+O3:O$20)),4)</f>
        <v>1.2685</v>
      </c>
      <c r="Z3" s="2937">
        <f t="shared" ref="Z3:Z18" si="0">Y3</f>
        <v>1.2685</v>
      </c>
      <c r="AA3" s="2937">
        <f>ROUND(SUMPRODUCT(PRODUCT(1+P3:P$20)),4)</f>
        <v>1.4825999999999999</v>
      </c>
      <c r="AB3" s="2937">
        <f>ROUND(SUMPRODUCT(PRODUCT(1+Q3:Q$20)),4)</f>
        <v>1.2309000000000001</v>
      </c>
      <c r="AD3" s="2938">
        <f>ROUND(AVERAGE(I3:I$21)/100,4)</f>
        <v>2.3099999999999999E-2</v>
      </c>
      <c r="AE3" s="2938">
        <f>ROUND(AVERAGE(J3:J$21)/100,4)</f>
        <v>1.5599999999999999E-2</v>
      </c>
      <c r="AF3" s="2938">
        <f t="shared" ref="AF3:AF19" si="1">AE3</f>
        <v>1.5599999999999999E-2</v>
      </c>
      <c r="AG3" s="2938">
        <f>ROUND(AVERAGE(K3:K$21)/100,4)</f>
        <v>2.5600000000000001E-2</v>
      </c>
      <c r="AH3" s="2938">
        <f>ROUND(AVERAGE(L3:L$21)/100,4)</f>
        <v>1.32E-2</v>
      </c>
    </row>
    <row r="4" spans="1:34" s="1455" customFormat="1" ht="14.25">
      <c r="B4" s="1456"/>
      <c r="C4" s="1456"/>
      <c r="D4" s="1457"/>
      <c r="E4" s="1457"/>
      <c r="F4" s="1456"/>
      <c r="G4" s="1458"/>
      <c r="H4" s="1459"/>
      <c r="I4" s="2924"/>
      <c r="J4" s="2924"/>
      <c r="K4" s="2924"/>
      <c r="L4" s="2924"/>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3045</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27">
        <v>2018</v>
      </c>
      <c r="H5" s="1732">
        <v>1</v>
      </c>
      <c r="I5" s="2925">
        <v>0</v>
      </c>
      <c r="J5" s="2925">
        <v>0</v>
      </c>
      <c r="K5" s="2925">
        <v>0</v>
      </c>
      <c r="L5" s="2925">
        <v>0</v>
      </c>
      <c r="N5" s="1469">
        <f t="shared" ref="N5:N10" si="7">I5/100</f>
        <v>0</v>
      </c>
      <c r="O5" s="1469">
        <f t="shared" ref="O5" si="8">J5/100</f>
        <v>0</v>
      </c>
      <c r="P5" s="1469">
        <f t="shared" ref="P5" si="9">K5/100</f>
        <v>0</v>
      </c>
      <c r="Q5" s="1469">
        <f t="shared" ref="Q5" si="10">L5/100</f>
        <v>0</v>
      </c>
      <c r="R5" s="1734"/>
      <c r="S5" s="1735"/>
      <c r="T5" s="1734"/>
      <c r="U5" s="1734"/>
      <c r="V5" s="1734"/>
      <c r="W5" s="2929" t="s">
        <v>3047</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3042</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27">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3043</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23"/>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1386</v>
      </c>
      <c r="B8" s="1479">
        <f t="shared" si="21"/>
        <v>419.31181600000002</v>
      </c>
      <c r="C8" s="1479">
        <f t="shared" si="22"/>
        <v>313.95436800000004</v>
      </c>
      <c r="D8" s="1479">
        <f t="shared" si="23"/>
        <v>313.95436800000004</v>
      </c>
      <c r="E8" s="1479">
        <f t="shared" si="24"/>
        <v>596.63028431999999</v>
      </c>
      <c r="F8" s="1479">
        <f t="shared" si="25"/>
        <v>274.74220703999998</v>
      </c>
      <c r="G8" s="2922"/>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1161</v>
      </c>
      <c r="B9" s="1479">
        <f>B10*(1+N9)</f>
        <v>405.524</v>
      </c>
      <c r="C9" s="1479">
        <f>C10*(1+O9)</f>
        <v>307.79840000000002</v>
      </c>
      <c r="D9" s="1479">
        <f>C9</f>
        <v>307.79840000000002</v>
      </c>
      <c r="E9" s="1479">
        <f>E10*(1+P9)</f>
        <v>574.67759999999998</v>
      </c>
      <c r="F9" s="1479">
        <f>F10*(1+Q9)</f>
        <v>270.20280000000002</v>
      </c>
      <c r="G9" s="2923"/>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289">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286"/>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286"/>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287"/>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285">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286"/>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286"/>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287"/>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285">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286"/>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286"/>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287"/>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1162</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1163</v>
      </c>
      <c r="B22" s="1471">
        <v>299</v>
      </c>
      <c r="C22" s="1471">
        <v>252</v>
      </c>
      <c r="D22" s="1471">
        <f t="shared" si="35"/>
        <v>252</v>
      </c>
      <c r="E22" s="1471">
        <v>409</v>
      </c>
      <c r="F22" s="1472">
        <v>227</v>
      </c>
      <c r="G22" s="3290">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1164</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291"/>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1165</v>
      </c>
      <c r="B24" s="1479">
        <f t="shared" si="44"/>
        <v>288.2649053828776</v>
      </c>
      <c r="C24" s="1479">
        <f t="shared" si="44"/>
        <v>243.64564425013293</v>
      </c>
      <c r="D24" s="1479">
        <f t="shared" si="35"/>
        <v>243.64564425013293</v>
      </c>
      <c r="E24" s="1479">
        <f t="shared" si="45"/>
        <v>393.31080825986544</v>
      </c>
      <c r="F24" s="1479">
        <f t="shared" si="45"/>
        <v>223.07903790551154</v>
      </c>
      <c r="G24" s="3291"/>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1166</v>
      </c>
      <c r="B25" s="1479">
        <f t="shared" si="44"/>
        <v>282.50186729015837</v>
      </c>
      <c r="C25" s="1479">
        <f t="shared" si="44"/>
        <v>238.09796174155468</v>
      </c>
      <c r="D25" s="1479">
        <f t="shared" si="35"/>
        <v>238.09796174155468</v>
      </c>
      <c r="E25" s="1479">
        <f t="shared" si="45"/>
        <v>385.33438646014054</v>
      </c>
      <c r="F25" s="1479">
        <f t="shared" si="45"/>
        <v>221.55034055567739</v>
      </c>
      <c r="G25" s="3292"/>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1167</v>
      </c>
      <c r="B26" s="1513">
        <v>278</v>
      </c>
      <c r="C26" s="1513">
        <v>234</v>
      </c>
      <c r="D26" s="1513">
        <f t="shared" si="35"/>
        <v>234</v>
      </c>
      <c r="E26" s="1513">
        <v>379</v>
      </c>
      <c r="F26" s="1514">
        <v>220</v>
      </c>
      <c r="G26" s="3285">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1168</v>
      </c>
      <c r="B27" s="1479">
        <f>B26/(1+N26)</f>
        <v>275.49301357645425</v>
      </c>
      <c r="C27" s="1479">
        <f>C26/(1+O26)</f>
        <v>232.41954707985698</v>
      </c>
      <c r="D27" s="1479">
        <f t="shared" si="35"/>
        <v>232.41954707985698</v>
      </c>
      <c r="E27" s="1479">
        <f t="shared" ref="E27:F29" si="46">E26/(1+P26)</f>
        <v>375.32184591008121</v>
      </c>
      <c r="F27" s="1479">
        <f t="shared" si="46"/>
        <v>218.03766105054513</v>
      </c>
      <c r="G27" s="3286"/>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1169</v>
      </c>
      <c r="B28" s="1479">
        <f>B27/(1+N27)</f>
        <v>275.24529281292263</v>
      </c>
      <c r="C28" s="1479">
        <f>C27/(1+O27)</f>
        <v>231.74747938962707</v>
      </c>
      <c r="D28" s="1479">
        <f t="shared" si="35"/>
        <v>231.74747938962707</v>
      </c>
      <c r="E28" s="1479">
        <f t="shared" si="46"/>
        <v>375.35938184826603</v>
      </c>
      <c r="F28" s="1479">
        <f t="shared" si="46"/>
        <v>216.78033510692495</v>
      </c>
      <c r="G28" s="3286"/>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1170</v>
      </c>
      <c r="B29" s="1479">
        <f>B28/(1+N28)</f>
        <v>275.19025476197027</v>
      </c>
      <c r="C29" s="1515">
        <v>232</v>
      </c>
      <c r="D29" s="1515">
        <f t="shared" si="35"/>
        <v>232</v>
      </c>
      <c r="E29" s="1479">
        <f t="shared" si="46"/>
        <v>375.65990977608692</v>
      </c>
      <c r="F29" s="1479">
        <f t="shared" si="46"/>
        <v>214.12518283971252</v>
      </c>
      <c r="G29" s="3287"/>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1171</v>
      </c>
      <c r="B30" s="1471">
        <v>275</v>
      </c>
      <c r="C30" s="1471">
        <v>232</v>
      </c>
      <c r="D30" s="1471">
        <f t="shared" si="35"/>
        <v>232</v>
      </c>
      <c r="E30" s="1471">
        <v>376</v>
      </c>
      <c r="F30" s="1472">
        <v>213</v>
      </c>
      <c r="G30" s="3285">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1172</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286">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1173</v>
      </c>
      <c r="B32" s="1479">
        <f t="shared" si="47"/>
        <v>275.19335084830601</v>
      </c>
      <c r="C32" s="1479">
        <f t="shared" si="47"/>
        <v>230.18088050139744</v>
      </c>
      <c r="D32" s="1479">
        <f t="shared" si="35"/>
        <v>230.18088050139744</v>
      </c>
      <c r="E32" s="1479">
        <f t="shared" si="48"/>
        <v>377.58482925212331</v>
      </c>
      <c r="F32" s="1479">
        <f t="shared" si="48"/>
        <v>210.90687997847917</v>
      </c>
      <c r="G32" s="3286">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1174</v>
      </c>
      <c r="B33" s="1479">
        <f t="shared" si="47"/>
        <v>276.29854502841971</v>
      </c>
      <c r="C33" s="1479">
        <f t="shared" si="47"/>
        <v>229.79023709833027</v>
      </c>
      <c r="D33" s="1479">
        <f t="shared" si="35"/>
        <v>229.79023709833027</v>
      </c>
      <c r="E33" s="1479">
        <f t="shared" si="48"/>
        <v>379.78759731655936</v>
      </c>
      <c r="F33" s="1479">
        <f t="shared" si="48"/>
        <v>211.32953905659235</v>
      </c>
      <c r="G33" s="3287">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1175</v>
      </c>
      <c r="B34" s="1471">
        <v>269</v>
      </c>
      <c r="C34" s="1471">
        <v>221</v>
      </c>
      <c r="D34" s="1471">
        <f t="shared" si="35"/>
        <v>221</v>
      </c>
      <c r="E34" s="1471">
        <v>373</v>
      </c>
      <c r="F34" s="1472">
        <v>196</v>
      </c>
      <c r="G34" s="3285">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1176</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286">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1177</v>
      </c>
      <c r="B36" s="1479">
        <f t="shared" si="49"/>
        <v>242.95398227588385</v>
      </c>
      <c r="C36" s="1479">
        <f t="shared" si="49"/>
        <v>199.59137053614126</v>
      </c>
      <c r="D36" s="1479">
        <f t="shared" si="35"/>
        <v>199.59137053614126</v>
      </c>
      <c r="E36" s="1479">
        <f t="shared" si="50"/>
        <v>335.92189522342125</v>
      </c>
      <c r="F36" s="1479">
        <f t="shared" si="50"/>
        <v>183.10139991109489</v>
      </c>
      <c r="G36" s="3286">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1178</v>
      </c>
      <c r="B37" s="1479">
        <f t="shared" si="49"/>
        <v>232.06990378821649</v>
      </c>
      <c r="C37" s="1479">
        <f t="shared" si="49"/>
        <v>192.74878854286936</v>
      </c>
      <c r="D37" s="1479">
        <f t="shared" si="35"/>
        <v>192.74878854286936</v>
      </c>
      <c r="E37" s="1479">
        <f t="shared" si="50"/>
        <v>319.71247284992984</v>
      </c>
      <c r="F37" s="1479">
        <f t="shared" si="50"/>
        <v>175.67053622862409</v>
      </c>
      <c r="G37" s="3287">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1179</v>
      </c>
      <c r="B38" s="1471">
        <v>220</v>
      </c>
      <c r="C38" s="1471">
        <v>187</v>
      </c>
      <c r="D38" s="1471">
        <f t="shared" si="35"/>
        <v>187</v>
      </c>
      <c r="E38" s="1471">
        <v>301</v>
      </c>
      <c r="F38" s="1472">
        <v>168</v>
      </c>
      <c r="G38" s="3285">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1180</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286">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1181</v>
      </c>
      <c r="B40" s="1479">
        <f t="shared" si="51"/>
        <v>210.630522469011</v>
      </c>
      <c r="C40" s="1479">
        <f t="shared" si="51"/>
        <v>181.69567812247232</v>
      </c>
      <c r="D40" s="1479">
        <f t="shared" si="35"/>
        <v>181.69567812247232</v>
      </c>
      <c r="E40" s="1479">
        <f t="shared" si="52"/>
        <v>286.13517466736738</v>
      </c>
      <c r="F40" s="1479">
        <f t="shared" si="52"/>
        <v>165.47535084591149</v>
      </c>
      <c r="G40" s="3286">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1182</v>
      </c>
      <c r="B41" s="1479">
        <f t="shared" si="51"/>
        <v>208.83454537875372</v>
      </c>
      <c r="C41" s="1479">
        <f t="shared" si="51"/>
        <v>183.77230517090351</v>
      </c>
      <c r="D41" s="1479">
        <f t="shared" si="35"/>
        <v>183.77230517090351</v>
      </c>
      <c r="E41" s="1479">
        <f t="shared" si="52"/>
        <v>281.10342338870947</v>
      </c>
      <c r="F41" s="1479">
        <f t="shared" si="52"/>
        <v>168.97309388942256</v>
      </c>
      <c r="G41" s="3287">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1183</v>
      </c>
      <c r="B42" s="1513">
        <v>214</v>
      </c>
      <c r="C42" s="1513">
        <v>188</v>
      </c>
      <c r="D42" s="1513">
        <f t="shared" si="35"/>
        <v>188</v>
      </c>
      <c r="E42" s="1513">
        <v>289</v>
      </c>
      <c r="F42" s="1514">
        <v>166</v>
      </c>
      <c r="G42" s="3285">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1184</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286">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1185</v>
      </c>
      <c r="B44" s="1479">
        <f t="shared" si="53"/>
        <v>206.31694671589116</v>
      </c>
      <c r="C44" s="1479">
        <f t="shared" si="53"/>
        <v>183.61041121036101</v>
      </c>
      <c r="D44" s="1479">
        <f t="shared" si="35"/>
        <v>183.61041121036101</v>
      </c>
      <c r="E44" s="1479">
        <f t="shared" si="54"/>
        <v>276.66850301795557</v>
      </c>
      <c r="F44" s="1479">
        <f t="shared" si="54"/>
        <v>165.1360938278614</v>
      </c>
      <c r="G44" s="3286">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1186</v>
      </c>
      <c r="B45" s="1516">
        <f t="shared" si="53"/>
        <v>196.62341248059772</v>
      </c>
      <c r="C45" s="1516">
        <f t="shared" si="53"/>
        <v>170.99125648199012</v>
      </c>
      <c r="D45" s="1516">
        <f t="shared" si="35"/>
        <v>170.99125648199012</v>
      </c>
      <c r="E45" s="1516">
        <f t="shared" si="54"/>
        <v>266.07857570490052</v>
      </c>
      <c r="F45" s="1516">
        <f t="shared" si="54"/>
        <v>154.53499328828505</v>
      </c>
      <c r="G45" s="3287">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1187</v>
      </c>
      <c r="B46" s="1471">
        <v>188</v>
      </c>
      <c r="C46" s="1471">
        <v>165</v>
      </c>
      <c r="D46" s="1471">
        <f t="shared" si="35"/>
        <v>165</v>
      </c>
      <c r="E46" s="1471">
        <v>254</v>
      </c>
      <c r="F46" s="1472">
        <v>148</v>
      </c>
      <c r="G46" s="3285">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1188</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286">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1189</v>
      </c>
      <c r="B48" s="1479">
        <f t="shared" si="57"/>
        <v>168.82017748715555</v>
      </c>
      <c r="C48" s="1479">
        <f t="shared" si="57"/>
        <v>148.06267029972753</v>
      </c>
      <c r="D48" s="1479">
        <f t="shared" si="35"/>
        <v>148.06267029972753</v>
      </c>
      <c r="E48" s="1479">
        <f t="shared" si="58"/>
        <v>216.46288379323747</v>
      </c>
      <c r="F48" s="1479">
        <f t="shared" si="58"/>
        <v>134.23529411764704</v>
      </c>
      <c r="G48" s="3286">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1190</v>
      </c>
      <c r="B49" s="1479">
        <f t="shared" si="57"/>
        <v>163.84913591779542</v>
      </c>
      <c r="C49" s="1479">
        <f t="shared" si="57"/>
        <v>145.0283378746594</v>
      </c>
      <c r="D49" s="1479">
        <f t="shared" si="35"/>
        <v>145.0283378746594</v>
      </c>
      <c r="E49" s="1479">
        <f t="shared" si="58"/>
        <v>204.95180722891567</v>
      </c>
      <c r="F49" s="1479">
        <f t="shared" si="58"/>
        <v>125.95920303605313</v>
      </c>
      <c r="G49" s="3287">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1191</v>
      </c>
      <c r="B50" s="1492">
        <v>159</v>
      </c>
      <c r="C50" s="1492">
        <v>141</v>
      </c>
      <c r="D50" s="1492">
        <f t="shared" si="35"/>
        <v>141</v>
      </c>
      <c r="E50" s="1492">
        <v>195</v>
      </c>
      <c r="F50" s="1493">
        <v>122</v>
      </c>
      <c r="G50" s="3285">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1192</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286">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1193</v>
      </c>
      <c r="B52" s="1479">
        <f t="shared" si="61"/>
        <v>146.57412060301507</v>
      </c>
      <c r="C52" s="1479">
        <f t="shared" si="61"/>
        <v>136.46831955922866</v>
      </c>
      <c r="D52" s="1479">
        <f t="shared" si="35"/>
        <v>136.46831955922866</v>
      </c>
      <c r="E52" s="1479">
        <f t="shared" si="62"/>
        <v>166.73864894795128</v>
      </c>
      <c r="F52" s="1479">
        <f t="shared" si="62"/>
        <v>115.05882352941177</v>
      </c>
      <c r="G52" s="3286">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1194</v>
      </c>
      <c r="B53" s="1479">
        <f t="shared" si="61"/>
        <v>144.04145728643215</v>
      </c>
      <c r="C53" s="1479">
        <f t="shared" si="61"/>
        <v>136.12396694214877</v>
      </c>
      <c r="D53" s="1479">
        <f t="shared" si="35"/>
        <v>136.12396694214877</v>
      </c>
      <c r="E53" s="1479">
        <f t="shared" si="62"/>
        <v>158.32225913621264</v>
      </c>
      <c r="F53" s="1479">
        <f t="shared" si="62"/>
        <v>114.04278074866311</v>
      </c>
      <c r="G53" s="3287">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1195</v>
      </c>
      <c r="B54" s="1492">
        <v>138</v>
      </c>
      <c r="C54" s="1492">
        <v>131</v>
      </c>
      <c r="D54" s="1492">
        <f t="shared" si="35"/>
        <v>131</v>
      </c>
      <c r="E54" s="1492">
        <v>155</v>
      </c>
      <c r="F54" s="1493">
        <v>114</v>
      </c>
      <c r="G54" s="3285">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1196</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286">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1197</v>
      </c>
      <c r="B56" s="1479">
        <f t="shared" si="65"/>
        <v>124.29032258064517</v>
      </c>
      <c r="C56" s="1479">
        <f t="shared" si="65"/>
        <v>123.8968609865471</v>
      </c>
      <c r="D56" s="1479">
        <f t="shared" si="35"/>
        <v>123.8968609865471</v>
      </c>
      <c r="E56" s="1479">
        <f t="shared" si="66"/>
        <v>138.00507614213197</v>
      </c>
      <c r="F56" s="1479">
        <f t="shared" si="66"/>
        <v>107.96106557377048</v>
      </c>
      <c r="G56" s="3286">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1198</v>
      </c>
      <c r="B57" s="1479">
        <f t="shared" si="65"/>
        <v>122.57204301075269</v>
      </c>
      <c r="C57" s="1479">
        <f t="shared" si="65"/>
        <v>123.4932735426009</v>
      </c>
      <c r="D57" s="1479">
        <f t="shared" si="35"/>
        <v>123.4932735426009</v>
      </c>
      <c r="E57" s="1479">
        <f t="shared" si="66"/>
        <v>129.82233502538071</v>
      </c>
      <c r="F57" s="1479">
        <f t="shared" si="66"/>
        <v>107.39446721311475</v>
      </c>
      <c r="G57" s="3287">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1199</v>
      </c>
      <c r="B58" s="1513">
        <v>121</v>
      </c>
      <c r="C58" s="1513">
        <v>122</v>
      </c>
      <c r="D58" s="1513">
        <f t="shared" si="35"/>
        <v>122</v>
      </c>
      <c r="E58" s="1513">
        <v>124</v>
      </c>
      <c r="F58" s="1514">
        <v>107</v>
      </c>
      <c r="G58" s="3285">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1200</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286">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1201</v>
      </c>
      <c r="B60" s="1479">
        <f t="shared" si="69"/>
        <v>116.99099099099099</v>
      </c>
      <c r="C60" s="1479">
        <f t="shared" si="69"/>
        <v>118.84848484848486</v>
      </c>
      <c r="D60" s="1479">
        <f t="shared" si="35"/>
        <v>118.84848484848486</v>
      </c>
      <c r="E60" s="1479">
        <f t="shared" si="70"/>
        <v>117.60960960960961</v>
      </c>
      <c r="F60" s="1479">
        <f t="shared" si="70"/>
        <v>104</v>
      </c>
      <c r="G60" s="3286">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1202</v>
      </c>
      <c r="B61" s="1516">
        <f t="shared" si="69"/>
        <v>112.48648648648648</v>
      </c>
      <c r="C61" s="1516">
        <f t="shared" si="69"/>
        <v>115.21212121212122</v>
      </c>
      <c r="D61" s="1516">
        <f t="shared" si="35"/>
        <v>115.21212121212122</v>
      </c>
      <c r="E61" s="1516">
        <f t="shared" si="70"/>
        <v>110.4024024024024</v>
      </c>
      <c r="F61" s="1516">
        <f t="shared" si="70"/>
        <v>104</v>
      </c>
      <c r="G61" s="3287">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1203</v>
      </c>
      <c r="B62" s="1534">
        <v>111</v>
      </c>
      <c r="C62" s="1534">
        <v>114</v>
      </c>
      <c r="D62" s="1534">
        <f t="shared" si="35"/>
        <v>114</v>
      </c>
      <c r="E62" s="1534">
        <v>108</v>
      </c>
      <c r="F62" s="1535">
        <v>104</v>
      </c>
      <c r="G62" s="3285">
        <v>2003</v>
      </c>
      <c r="H62" s="1524">
        <v>4</v>
      </c>
      <c r="I62" s="1536"/>
      <c r="J62" s="1536"/>
      <c r="K62" s="1536"/>
      <c r="L62" s="1536"/>
      <c r="N62" s="1537"/>
      <c r="O62" s="1536"/>
      <c r="P62" s="1536"/>
      <c r="Q62" s="1536"/>
      <c r="S62" s="1537"/>
      <c r="T62" s="1536"/>
      <c r="U62" s="1536"/>
      <c r="V62" s="1536"/>
      <c r="X62" s="1528"/>
      <c r="Y62" s="1528"/>
      <c r="Z62" s="1528"/>
    </row>
    <row r="63" spans="1:26">
      <c r="A63" s="1463" t="s">
        <v>1204</v>
      </c>
      <c r="B63" s="1538">
        <f t="shared" ref="B63:C65" si="71">B64+(B$62-B$66)/4</f>
        <v>109.75</v>
      </c>
      <c r="C63" s="1538">
        <f t="shared" si="71"/>
        <v>112.25</v>
      </c>
      <c r="D63" s="1538">
        <f t="shared" si="35"/>
        <v>112.25</v>
      </c>
      <c r="E63" s="1538">
        <f t="shared" ref="E63:F65" si="72">E64+(E$62-E$66)/4</f>
        <v>107.25</v>
      </c>
      <c r="F63" s="1538">
        <f t="shared" si="72"/>
        <v>103.5</v>
      </c>
      <c r="G63" s="3286">
        <v>2003</v>
      </c>
      <c r="H63" s="1489">
        <v>3</v>
      </c>
      <c r="I63" s="1536"/>
      <c r="J63" s="1536"/>
      <c r="K63" s="1536"/>
      <c r="L63" s="1536"/>
      <c r="X63" s="1528"/>
      <c r="Y63" s="1528"/>
      <c r="Z63" s="1528"/>
    </row>
    <row r="64" spans="1:26">
      <c r="A64" s="1463" t="s">
        <v>1205</v>
      </c>
      <c r="B64" s="1538">
        <f t="shared" si="71"/>
        <v>108.5</v>
      </c>
      <c r="C64" s="1538">
        <f t="shared" si="71"/>
        <v>110.5</v>
      </c>
      <c r="D64" s="1538">
        <f t="shared" si="35"/>
        <v>110.5</v>
      </c>
      <c r="E64" s="1538">
        <f t="shared" si="72"/>
        <v>106.5</v>
      </c>
      <c r="F64" s="1538">
        <f t="shared" si="72"/>
        <v>103</v>
      </c>
      <c r="G64" s="3286">
        <v>2003</v>
      </c>
      <c r="H64" s="1467">
        <v>2</v>
      </c>
      <c r="I64" s="1536"/>
      <c r="J64" s="1536"/>
      <c r="K64" s="1536"/>
      <c r="L64" s="1536"/>
      <c r="X64" s="1528"/>
      <c r="Y64" s="1528"/>
      <c r="Z64" s="1528"/>
    </row>
    <row r="65" spans="1:26" ht="13.5" thickBot="1">
      <c r="A65" s="1463" t="s">
        <v>1206</v>
      </c>
      <c r="B65" s="1538">
        <f t="shared" si="71"/>
        <v>107.25</v>
      </c>
      <c r="C65" s="1538">
        <f t="shared" si="71"/>
        <v>108.75</v>
      </c>
      <c r="D65" s="1538">
        <f t="shared" si="35"/>
        <v>108.75</v>
      </c>
      <c r="E65" s="1538">
        <f t="shared" si="72"/>
        <v>105.75</v>
      </c>
      <c r="F65" s="1538">
        <f t="shared" si="72"/>
        <v>102.5</v>
      </c>
      <c r="G65" s="3287">
        <v>2003</v>
      </c>
      <c r="H65" s="1539">
        <v>1</v>
      </c>
      <c r="I65" s="1536"/>
      <c r="J65" s="1536"/>
      <c r="K65" s="1536"/>
      <c r="L65" s="1536"/>
      <c r="S65" s="1474"/>
      <c r="T65" s="1475"/>
      <c r="U65" s="1475"/>
      <c r="X65" s="1528"/>
      <c r="Y65" s="1528"/>
      <c r="Z65" s="1528"/>
    </row>
    <row r="66" spans="1:26" ht="13.5" thickBot="1">
      <c r="A66" s="1463" t="s">
        <v>1207</v>
      </c>
      <c r="B66" s="1540">
        <v>106</v>
      </c>
      <c r="C66" s="1540">
        <v>107</v>
      </c>
      <c r="D66" s="1540">
        <f t="shared" si="35"/>
        <v>107</v>
      </c>
      <c r="E66" s="1540">
        <v>105</v>
      </c>
      <c r="F66" s="1541">
        <v>102</v>
      </c>
      <c r="G66" s="3285">
        <v>2002</v>
      </c>
      <c r="H66" s="1484">
        <v>4</v>
      </c>
      <c r="I66" s="1536"/>
      <c r="J66" s="1536"/>
      <c r="K66" s="1536"/>
      <c r="L66" s="1536"/>
      <c r="N66" s="1537"/>
      <c r="O66" s="1536"/>
      <c r="P66" s="1536"/>
      <c r="Q66" s="1536"/>
      <c r="S66" s="1537"/>
      <c r="T66" s="1536"/>
      <c r="U66" s="1536"/>
      <c r="V66" s="1536"/>
      <c r="X66" s="1528"/>
      <c r="Y66" s="1528"/>
      <c r="Z66" s="1528"/>
    </row>
    <row r="67" spans="1:26">
      <c r="A67" s="1463" t="s">
        <v>1208</v>
      </c>
      <c r="B67" s="1538">
        <f t="shared" ref="B67:C69" si="73">B68+(B$66-B$70)/4</f>
        <v>105</v>
      </c>
      <c r="C67" s="1538">
        <f t="shared" si="73"/>
        <v>106</v>
      </c>
      <c r="D67" s="1538">
        <f t="shared" si="35"/>
        <v>106</v>
      </c>
      <c r="E67" s="1538">
        <f t="shared" ref="E67:F69" si="74">E68+(E$66-E$70)/4</f>
        <v>104.5</v>
      </c>
      <c r="F67" s="1538">
        <f t="shared" si="74"/>
        <v>101.5</v>
      </c>
      <c r="G67" s="3286">
        <v>2002</v>
      </c>
      <c r="H67" s="1489">
        <v>3</v>
      </c>
      <c r="I67" s="1536"/>
      <c r="J67" s="1536"/>
      <c r="K67" s="1536"/>
      <c r="L67" s="1536"/>
      <c r="X67" s="1528"/>
      <c r="Y67" s="1528"/>
      <c r="Z67" s="1528"/>
    </row>
    <row r="68" spans="1:26">
      <c r="A68" s="1463" t="s">
        <v>1209</v>
      </c>
      <c r="B68" s="1538">
        <f t="shared" si="73"/>
        <v>104</v>
      </c>
      <c r="C68" s="1538">
        <f t="shared" si="73"/>
        <v>105</v>
      </c>
      <c r="D68" s="1538">
        <f t="shared" si="35"/>
        <v>105</v>
      </c>
      <c r="E68" s="1538">
        <f t="shared" si="74"/>
        <v>104</v>
      </c>
      <c r="F68" s="1538">
        <f t="shared" si="74"/>
        <v>101</v>
      </c>
      <c r="G68" s="3286">
        <v>2002</v>
      </c>
      <c r="H68" s="1467">
        <v>2</v>
      </c>
      <c r="I68" s="1536"/>
      <c r="J68" s="1536"/>
      <c r="K68" s="1536"/>
      <c r="L68" s="1536"/>
      <c r="X68" s="1528"/>
      <c r="Y68" s="1528"/>
      <c r="Z68" s="1528"/>
    </row>
    <row r="69" spans="1:26" s="1500" customFormat="1" ht="13.5" thickBot="1">
      <c r="A69" s="1496" t="s">
        <v>1210</v>
      </c>
      <c r="B69" s="1542">
        <f t="shared" si="73"/>
        <v>103</v>
      </c>
      <c r="C69" s="1542">
        <f t="shared" si="73"/>
        <v>104</v>
      </c>
      <c r="D69" s="1542">
        <f t="shared" si="35"/>
        <v>104</v>
      </c>
      <c r="E69" s="1542">
        <f t="shared" si="74"/>
        <v>103.5</v>
      </c>
      <c r="F69" s="1542">
        <f t="shared" si="74"/>
        <v>100.5</v>
      </c>
      <c r="G69" s="3287">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1211</v>
      </c>
      <c r="G72" s="1552"/>
      <c r="N72" s="1552"/>
      <c r="S72" s="1552"/>
    </row>
    <row r="73" spans="1:26" s="1551" customFormat="1">
      <c r="A73" s="1551" t="s">
        <v>1212</v>
      </c>
      <c r="G73" s="1552"/>
      <c r="N73" s="1552"/>
      <c r="S73" s="1552"/>
    </row>
    <row r="74" spans="1:26" s="1551" customFormat="1">
      <c r="A74" s="1551" t="s">
        <v>1213</v>
      </c>
      <c r="G74" s="1552"/>
      <c r="I74" s="1553"/>
      <c r="J74" s="1553"/>
      <c r="K74" s="1553"/>
      <c r="L74" s="1553"/>
      <c r="N74" s="1554"/>
      <c r="O74" s="1553"/>
      <c r="P74" s="1553"/>
      <c r="Q74" s="1553"/>
      <c r="S74" s="1554"/>
      <c r="T74" s="1553"/>
      <c r="U74" s="1553"/>
      <c r="V74" s="1553"/>
    </row>
    <row r="75" spans="1:26" s="1551" customFormat="1">
      <c r="A75" s="1551" t="s">
        <v>1214</v>
      </c>
      <c r="G75" s="1552"/>
      <c r="N75" s="1552"/>
      <c r="S75" s="1552"/>
    </row>
    <row r="82" spans="7:22" ht="13.5" thickBot="1"/>
    <row r="83" spans="7:22">
      <c r="G83" s="1473"/>
      <c r="S83" s="1555" t="s">
        <v>1215</v>
      </c>
      <c r="T83" s="1556" t="s">
        <v>1216</v>
      </c>
      <c r="U83" s="1556" t="s">
        <v>1217</v>
      </c>
      <c r="V83" s="1556" t="s">
        <v>1218</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3009</v>
      </c>
      <c r="C1" s="3294" t="s">
        <v>3010</v>
      </c>
      <c r="D1" s="3295"/>
      <c r="E1" s="3295"/>
      <c r="F1" s="3295"/>
      <c r="G1" s="3295"/>
      <c r="H1" s="3295"/>
      <c r="I1" s="3295"/>
      <c r="J1" s="3295"/>
      <c r="K1" s="3295"/>
      <c r="L1" s="3295"/>
      <c r="M1" s="3295"/>
      <c r="N1" s="3295"/>
      <c r="O1" s="3295"/>
      <c r="P1" s="3295"/>
      <c r="Q1" s="3295"/>
      <c r="R1" s="3295"/>
      <c r="S1" s="3296"/>
      <c r="T1" s="1206" t="s">
        <v>3011</v>
      </c>
    </row>
    <row r="2" spans="1:45" s="706" customFormat="1">
      <c r="A2" s="1207"/>
      <c r="B2" s="702" t="s">
        <v>3012</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1" t="s">
        <v>3013</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2" t="s">
        <v>3014</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2" t="s">
        <v>3015</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1" t="s">
        <v>3016</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1" t="s">
        <v>3017</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1" t="s">
        <v>3018</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7" t="s">
        <v>3019</v>
      </c>
      <c r="B17" s="2918" t="s">
        <v>3020</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9" t="s">
        <v>3021</v>
      </c>
      <c r="E19" s="1794"/>
      <c r="F19" s="1794"/>
      <c r="G19" s="1794"/>
      <c r="H19" s="1282"/>
      <c r="I19" s="167"/>
      <c r="J19" s="167"/>
      <c r="K19" s="167"/>
      <c r="L19" s="167"/>
      <c r="M19" s="167"/>
      <c r="N19" s="167"/>
      <c r="O19" s="167"/>
      <c r="P19" s="167"/>
      <c r="Q19" s="167"/>
      <c r="R19" s="787"/>
      <c r="S19" s="137"/>
    </row>
    <row r="20" spans="1:45" ht="16.5" thickBot="1">
      <c r="A20" s="714" t="s">
        <v>3022</v>
      </c>
      <c r="B20" s="337" t="e">
        <f ca="1">IF(D20="——",S22,S22-F20)</f>
        <v>#REF!</v>
      </c>
      <c r="C20" s="167"/>
      <c r="D20" s="2920" t="s">
        <v>3023</v>
      </c>
      <c r="E20" s="1795"/>
      <c r="F20" s="1206" t="e">
        <f ca="1">SUMIF(INDIRECT("'"&amp;H20&amp;"'"&amp;"!A:A"),"承租人权益价值",INDIRECT("'"&amp;H20&amp;"'"&amp;"!c:c"))</f>
        <v>#REF!</v>
      </c>
      <c r="G20" s="1206" t="s">
        <v>3024</v>
      </c>
      <c r="H20" s="2921"/>
      <c r="I20" s="167"/>
      <c r="J20" s="167"/>
      <c r="K20" s="167"/>
      <c r="L20" s="167"/>
      <c r="M20" s="167"/>
      <c r="N20" s="167"/>
      <c r="O20" s="167"/>
      <c r="P20" s="167"/>
      <c r="Q20" s="167"/>
      <c r="R20" s="787"/>
      <c r="S20" s="137"/>
    </row>
    <row r="21" spans="1:45" ht="15.75">
      <c r="A21" s="714" t="s">
        <v>3025</v>
      </c>
      <c r="B21" s="337">
        <f>R22</f>
        <v>10000</v>
      </c>
      <c r="C21" s="167"/>
      <c r="D21" s="167"/>
      <c r="E21" s="167"/>
      <c r="F21" s="167"/>
      <c r="G21" s="167"/>
      <c r="H21" s="167"/>
      <c r="I21" s="167"/>
      <c r="J21" s="167"/>
      <c r="K21" s="167"/>
      <c r="L21" s="167"/>
      <c r="M21" s="167"/>
      <c r="N21" s="167"/>
      <c r="O21" s="167"/>
      <c r="P21" s="167"/>
      <c r="Q21" s="167"/>
      <c r="R21" s="787"/>
      <c r="S21" s="137"/>
    </row>
    <row r="22" spans="1:45">
      <c r="A22" s="360" t="s">
        <v>3026</v>
      </c>
      <c r="B22" s="24">
        <f>SUM(B24:B10000)</f>
        <v>100</v>
      </c>
      <c r="C22" s="3069" t="s">
        <v>33</v>
      </c>
      <c r="D22" s="3070"/>
      <c r="E22" s="3070"/>
      <c r="F22" s="3070"/>
      <c r="G22" s="3070"/>
      <c r="H22" s="3070"/>
      <c r="I22" s="3070"/>
      <c r="J22" s="3070"/>
      <c r="K22" s="3070"/>
      <c r="L22" s="3070"/>
      <c r="M22" s="3070"/>
      <c r="N22" s="3070"/>
      <c r="O22" s="3070"/>
      <c r="P22" s="3070"/>
      <c r="Q22" s="3293"/>
      <c r="R22" s="715">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6" t="s">
        <v>3030</v>
      </c>
      <c r="S23" s="11" t="s">
        <v>3031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3032</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8"/>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8"/>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8"/>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8"/>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8"/>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8"/>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8"/>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8"/>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8"/>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8"/>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8"/>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8"/>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8"/>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8"/>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8"/>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8"/>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8"/>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8"/>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8"/>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8"/>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8"/>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8"/>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8"/>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8"/>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8"/>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8"/>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8"/>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8"/>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8"/>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8"/>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8"/>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8"/>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8"/>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8"/>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8"/>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8"/>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8"/>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8"/>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8"/>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8"/>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8"/>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8"/>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8"/>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8"/>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8"/>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8"/>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8"/>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8"/>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8"/>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8"/>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8"/>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8"/>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8"/>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8"/>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8"/>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8"/>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8"/>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8"/>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8"/>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8"/>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8"/>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8"/>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8"/>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8"/>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8"/>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8"/>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8"/>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8"/>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8"/>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8"/>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8"/>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8"/>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8"/>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8"/>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8"/>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8"/>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8"/>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8"/>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8"/>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8"/>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8"/>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8"/>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8"/>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8"/>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8"/>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8"/>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8"/>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8"/>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8"/>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8"/>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8"/>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8"/>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8"/>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8"/>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8"/>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8"/>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8"/>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8"/>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8"/>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8"/>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8"/>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8"/>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8"/>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8"/>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8"/>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8"/>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8"/>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8"/>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8"/>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8"/>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8"/>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8"/>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8"/>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8"/>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8"/>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8"/>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8"/>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8"/>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8"/>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8"/>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8"/>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8"/>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8"/>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8"/>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8"/>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8"/>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8"/>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8"/>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8"/>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8"/>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8"/>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8"/>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8"/>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8"/>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8"/>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8"/>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8"/>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8"/>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8"/>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8"/>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8"/>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8"/>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8"/>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8"/>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8"/>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8"/>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8"/>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8"/>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8"/>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8"/>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8"/>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8"/>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8"/>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8"/>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8"/>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8"/>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8"/>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8"/>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8"/>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8"/>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8"/>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8"/>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8"/>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8"/>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8"/>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8"/>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8"/>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8"/>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8"/>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8"/>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8"/>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8"/>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8"/>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8"/>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8"/>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8"/>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8"/>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8"/>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8"/>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8"/>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8"/>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8"/>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8"/>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8"/>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8"/>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8"/>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8"/>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8"/>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8"/>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8"/>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8"/>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8"/>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8"/>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8"/>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8"/>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8"/>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8"/>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8"/>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8"/>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8"/>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8"/>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8"/>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8"/>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8"/>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8"/>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8"/>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8"/>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8"/>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8"/>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8"/>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8"/>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8"/>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8"/>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8"/>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8"/>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8"/>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8"/>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8"/>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8"/>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8"/>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8"/>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8"/>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8"/>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8"/>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8"/>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8"/>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8"/>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8"/>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8"/>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8"/>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8"/>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8"/>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8"/>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8"/>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8"/>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8"/>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8"/>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8"/>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8"/>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8"/>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8"/>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8"/>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8"/>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8"/>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8"/>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8"/>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8"/>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8"/>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8"/>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8"/>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8"/>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8"/>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8"/>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8"/>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8"/>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8"/>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8"/>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8"/>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8"/>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8"/>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8"/>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8"/>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8"/>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8"/>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8"/>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8"/>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8"/>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8"/>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8"/>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8"/>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8"/>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8"/>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8"/>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8"/>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8"/>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8"/>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8"/>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8"/>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8"/>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8"/>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8"/>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8"/>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8"/>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8"/>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8"/>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8"/>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8"/>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8"/>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8"/>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8"/>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8"/>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8"/>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8"/>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8"/>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8"/>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8"/>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8"/>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8"/>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8"/>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8"/>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8"/>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8"/>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8"/>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8"/>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8"/>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8"/>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8"/>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8"/>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8"/>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8"/>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8"/>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8"/>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8"/>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8"/>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8"/>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8"/>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8"/>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8"/>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8"/>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8"/>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8"/>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8"/>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8"/>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8"/>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8"/>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8"/>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8"/>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8"/>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8"/>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8"/>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8"/>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8"/>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8"/>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8"/>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8"/>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8"/>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8"/>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8"/>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8"/>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8"/>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8"/>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8"/>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8"/>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8"/>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8"/>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8"/>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8"/>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8"/>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8"/>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8"/>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8"/>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8"/>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8"/>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8"/>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8"/>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8"/>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8"/>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8"/>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8"/>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8"/>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8"/>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8"/>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8"/>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8"/>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8"/>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8"/>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8"/>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8"/>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8"/>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8"/>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8"/>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8"/>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8"/>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8"/>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8"/>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8"/>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8"/>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8"/>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8"/>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8"/>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8"/>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8"/>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8"/>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8"/>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8"/>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8"/>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8"/>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8"/>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8"/>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8"/>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8"/>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8"/>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8"/>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8"/>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8"/>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8"/>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8"/>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8"/>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8"/>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8"/>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8"/>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8"/>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8"/>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8"/>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8"/>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8"/>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8"/>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8"/>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8"/>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8"/>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8"/>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8"/>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8"/>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8"/>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8"/>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8"/>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8"/>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8"/>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8"/>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8"/>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8"/>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8"/>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8"/>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8"/>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8"/>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8"/>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8"/>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8"/>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8"/>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8"/>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8"/>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8"/>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8"/>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8"/>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8"/>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8"/>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8"/>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8"/>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8"/>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8"/>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8"/>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8"/>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8"/>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8"/>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8"/>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8"/>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8"/>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8"/>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8"/>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8"/>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8"/>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8"/>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8"/>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8"/>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8"/>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8"/>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8"/>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8"/>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8"/>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8"/>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8"/>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8"/>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8"/>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8"/>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8"/>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8"/>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8"/>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8"/>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8"/>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8"/>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8"/>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8"/>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8"/>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8"/>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8"/>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8"/>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8"/>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8"/>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8"/>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8"/>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8"/>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8"/>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8"/>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8"/>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8"/>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8"/>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8"/>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8"/>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8"/>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8"/>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8"/>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8"/>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8"/>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8"/>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8"/>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8"/>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8"/>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8"/>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8"/>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1622</v>
      </c>
      <c r="B1" s="1961"/>
      <c r="C1" s="1961"/>
      <c r="D1" s="1961"/>
      <c r="E1" s="1961"/>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63"/>
      <c r="B4" s="2972" t="s">
        <v>1631</v>
      </c>
      <c r="C4" s="2972"/>
      <c r="D4" s="2972"/>
      <c r="E4" s="1963"/>
    </row>
    <row r="5" spans="1:5" ht="16.5" thickTop="1">
      <c r="A5" s="1961"/>
      <c r="B5" s="2970" t="s">
        <v>1623</v>
      </c>
      <c r="C5" s="1964" t="s">
        <v>1624</v>
      </c>
      <c r="D5" s="1042">
        <f ca="1">结果表!H101</f>
        <v>21007</v>
      </c>
      <c r="E5" s="1961"/>
    </row>
    <row r="6" spans="1:5" ht="15.75">
      <c r="A6" s="1961"/>
      <c r="B6" s="2970"/>
      <c r="C6" s="1964" t="s">
        <v>1625</v>
      </c>
      <c r="D6" s="1042" t="str">
        <f ca="1">NUMBERSTRING(INT(D5*10000),2)&amp;"元整"</f>
        <v>贰亿壹仟零柒万元整</v>
      </c>
      <c r="E6" s="1961"/>
    </row>
    <row r="7" spans="1:5" ht="15.75">
      <c r="A7" s="1961"/>
      <c r="B7" s="2975"/>
      <c r="C7" s="1965" t="s">
        <v>1626</v>
      </c>
      <c r="D7" s="1043">
        <f ca="1">结果表!H102</f>
        <v>5799</v>
      </c>
      <c r="E7" s="1961"/>
    </row>
    <row r="8" spans="1:5" ht="15.75">
      <c r="A8" s="1961"/>
      <c r="B8" s="2976" t="str">
        <f>结果表!E103</f>
        <v>2.估价师知悉的法定优先受偿款</v>
      </c>
      <c r="C8" s="1966" t="s">
        <v>1627</v>
      </c>
      <c r="D8" s="1043">
        <f>结果表!H103</f>
        <v>0</v>
      </c>
      <c r="E8" s="1961"/>
    </row>
    <row r="9" spans="1:5" ht="15.75">
      <c r="A9" s="1961"/>
      <c r="B9" s="2978"/>
      <c r="C9" s="1964" t="s">
        <v>1625</v>
      </c>
      <c r="D9" s="1042" t="str">
        <f>NUMBERSTRING(INT(D8*10000),2)&amp;"元整"</f>
        <v>零元整</v>
      </c>
      <c r="E9" s="1961"/>
    </row>
    <row r="10" spans="1:5" ht="15">
      <c r="A10" s="1961"/>
      <c r="B10" s="1967" t="s">
        <v>1630</v>
      </c>
      <c r="C10" s="1968" t="s">
        <v>1628</v>
      </c>
      <c r="D10" s="1044">
        <f>结果表!H104</f>
        <v>0</v>
      </c>
      <c r="E10" s="1961"/>
    </row>
    <row r="11" spans="1:5" ht="15">
      <c r="A11" s="1961"/>
      <c r="B11" s="1967" t="s">
        <v>1632</v>
      </c>
      <c r="C11" s="1968" t="s">
        <v>1633</v>
      </c>
      <c r="D11" s="1044">
        <f>结果表!H105</f>
        <v>0</v>
      </c>
      <c r="E11" s="1961"/>
    </row>
    <row r="12" spans="1:5" ht="15">
      <c r="A12" s="1961"/>
      <c r="B12" s="1967" t="s">
        <v>1634</v>
      </c>
      <c r="C12" s="1968" t="s">
        <v>1633</v>
      </c>
      <c r="D12" s="1044">
        <f>结果表!H106</f>
        <v>0</v>
      </c>
      <c r="E12" s="1961"/>
    </row>
    <row r="13" spans="1:5" ht="15.75">
      <c r="A13" s="1961"/>
      <c r="B13" s="2969" t="str">
        <f>结果表!E107</f>
        <v>3.房地产抵押价值</v>
      </c>
      <c r="C13" s="1969" t="s">
        <v>1624</v>
      </c>
      <c r="D13" s="1045">
        <f ca="1">结果表!H107</f>
        <v>21007</v>
      </c>
      <c r="E13" s="1961"/>
    </row>
    <row r="14" spans="1:5" ht="15.75">
      <c r="A14" s="1961"/>
      <c r="B14" s="2970"/>
      <c r="C14" s="1964" t="s">
        <v>1625</v>
      </c>
      <c r="D14" s="1042" t="str">
        <f ca="1">NUMBERSTRING(INT(D13*10000),2)&amp;"元整"</f>
        <v>贰亿壹仟零柒万元整</v>
      </c>
      <c r="E14" s="1961"/>
    </row>
    <row r="15" spans="1:5" ht="15">
      <c r="A15" s="1961"/>
      <c r="B15" s="2975"/>
      <c r="C15" s="1965" t="s">
        <v>1635</v>
      </c>
      <c r="D15" s="1054">
        <f ca="1">结果表!H108</f>
        <v>5799</v>
      </c>
      <c r="E15" s="1961"/>
    </row>
    <row r="16" spans="1:5" ht="15">
      <c r="A16" s="1961"/>
      <c r="B16" s="2976" t="str">
        <f>结果表!E109</f>
        <v>——</v>
      </c>
      <c r="C16" s="1969" t="s">
        <v>1636</v>
      </c>
      <c r="D16" s="1970" t="str">
        <f>结果表!H109</f>
        <v>——</v>
      </c>
      <c r="E16" s="1961"/>
    </row>
    <row r="17" spans="1:5" ht="15.75">
      <c r="A17" s="1961"/>
      <c r="B17" s="2977"/>
      <c r="C17" s="1964" t="s">
        <v>1637</v>
      </c>
      <c r="D17" s="1042" t="e">
        <f>NUMBERSTRING(INT(D16*10000),2)&amp;"元整"</f>
        <v>#VALUE!</v>
      </c>
      <c r="E17" s="1961"/>
    </row>
    <row r="18" spans="1:5" ht="15">
      <c r="A18" s="1961"/>
      <c r="B18" s="2978"/>
      <c r="C18" s="1965" t="s">
        <v>1626</v>
      </c>
      <c r="D18" s="1054" t="str">
        <f>结果表!H110</f>
        <v>——</v>
      </c>
      <c r="E18" s="1961"/>
    </row>
    <row r="19" spans="1:5" ht="15.75">
      <c r="A19" s="1961"/>
      <c r="B19" s="2969" t="str">
        <f>结果表!E111</f>
        <v>——</v>
      </c>
      <c r="C19" s="1969" t="s">
        <v>1624</v>
      </c>
      <c r="D19" s="1043" t="str">
        <f>结果表!H111</f>
        <v>——</v>
      </c>
      <c r="E19" s="1961"/>
    </row>
    <row r="20" spans="1:5" ht="15.75">
      <c r="A20" s="1961"/>
      <c r="B20" s="2970"/>
      <c r="C20" s="1964" t="s">
        <v>1637</v>
      </c>
      <c r="D20" s="1042" t="e">
        <f>NUMBERSTRING(INT(D19*10000),2)&amp;"元整"</f>
        <v>#VALUE!</v>
      </c>
      <c r="E20" s="1961"/>
    </row>
    <row r="21" spans="1:5" ht="15.75" thickBot="1">
      <c r="A21" s="1961"/>
      <c r="B21" s="2971"/>
      <c r="C21" s="1971" t="s">
        <v>1635</v>
      </c>
      <c r="D21" s="1055" t="str">
        <f>结果表!H112</f>
        <v>——</v>
      </c>
      <c r="E21" s="1961"/>
    </row>
    <row r="22" spans="1:5" ht="15" thickTop="1">
      <c r="A22" s="1961"/>
      <c r="B22" s="1972" t="s">
        <v>1638</v>
      </c>
      <c r="C22" s="1961"/>
      <c r="D22" s="1961"/>
      <c r="E22" s="1961"/>
    </row>
    <row r="23" spans="1:5">
      <c r="A23" s="1961"/>
      <c r="B23" s="1961"/>
      <c r="C23" s="1961"/>
      <c r="D23" s="1961"/>
      <c r="E23" s="1961"/>
    </row>
    <row r="24" spans="1:5" ht="18.75">
      <c r="A24" s="1973"/>
      <c r="B24" s="1974" t="s">
        <v>1629</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24498</v>
      </c>
      <c r="C2" s="2" t="s">
        <v>133</v>
      </c>
      <c r="D2" s="242"/>
      <c r="E2" s="242"/>
      <c r="F2" s="242"/>
      <c r="G2" s="242"/>
    </row>
    <row r="3" spans="1:7" s="243" customFormat="1" ht="18" customHeight="1" thickBot="1">
      <c r="A3" s="246" t="s">
        <v>85</v>
      </c>
      <c r="B3" s="247">
        <f ca="1">ROUND(B2*10000/'数据-汇总表'!E3,0)</f>
        <v>6763</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989</v>
      </c>
      <c r="D9" s="1034">
        <f>'数据-汇总表'!E5</f>
        <v>24724.93</v>
      </c>
      <c r="E9" s="268">
        <f>'数据-取费表'!B27</f>
        <v>400</v>
      </c>
      <c r="F9" s="264"/>
      <c r="G9" s="269"/>
    </row>
    <row r="10" spans="1:7" s="257" customFormat="1" ht="13.5" customHeight="1">
      <c r="A10" s="952" t="s">
        <v>801</v>
      </c>
      <c r="B10" s="267" t="s">
        <v>94</v>
      </c>
      <c r="C10" s="268">
        <f>ROUND(D10*E10/10000,0)</f>
        <v>460</v>
      </c>
      <c r="D10" s="1034">
        <f>'数据-汇总表'!E6</f>
        <v>11498.739999999998</v>
      </c>
      <c r="E10" s="268">
        <f>'数据-取费表'!B28</f>
        <v>400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724</v>
      </c>
      <c r="D19" s="1038">
        <f>'数据-汇总表'!E3</f>
        <v>36223.67</v>
      </c>
      <c r="E19" s="254">
        <f>'数据-取费表'!B31</f>
        <v>200</v>
      </c>
      <c r="F19" s="274"/>
      <c r="G19" s="1" t="s">
        <v>1074</v>
      </c>
    </row>
    <row r="20" spans="1:7" s="257" customFormat="1" ht="13.5" customHeight="1">
      <c r="A20" s="950" t="s">
        <v>1057</v>
      </c>
      <c r="B20" s="253" t="s">
        <v>104</v>
      </c>
      <c r="C20" s="275">
        <f>ROUND((C5+C19)*F20,0)</f>
        <v>320</v>
      </c>
      <c r="D20" s="275"/>
      <c r="E20" s="275"/>
      <c r="F20" s="276">
        <f>'数据-取费表'!B37</f>
        <v>1.4999999999999999E-2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100</v>
      </c>
      <c r="D22" s="278">
        <f ca="1">C26</f>
        <v>0</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96</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3</v>
      </c>
      <c r="D24" s="281"/>
      <c r="E24" s="281"/>
      <c r="F24" s="282"/>
      <c r="G24" s="283" t="s">
        <v>109</v>
      </c>
    </row>
    <row r="25" spans="1:7" s="257" customFormat="1" ht="24">
      <c r="A25" s="953" t="s">
        <v>793</v>
      </c>
      <c r="B25" s="258" t="s">
        <v>1058</v>
      </c>
      <c r="C25" s="1357">
        <f ca="1">ROUND(IF('数据-取费表'!B22&lt;=1,C20*F22*'数据-取费表'!B23/2,C20*(POWER((1+F22),'数据-取费表'!B23/2)-1)),0)</f>
        <v>1</v>
      </c>
      <c r="D25" s="281"/>
      <c r="E25" s="284"/>
      <c r="F25" s="282"/>
      <c r="G25" s="285" t="s">
        <v>110</v>
      </c>
    </row>
    <row r="26" spans="1:7" s="257" customFormat="1">
      <c r="A26" s="953" t="s">
        <v>795</v>
      </c>
      <c r="B26" s="258" t="s">
        <v>1060</v>
      </c>
      <c r="C26" s="281">
        <f ca="1">ROUND(IF('数据-取费表'!B22&lt;=1,F21*F22*'数据-取费表'!B23/2,F21*(POWER((1+F22),'数据-取费表'!B23/2)-1)),4)</f>
        <v>0</v>
      </c>
      <c r="D26" s="281"/>
      <c r="E26" s="284"/>
      <c r="F26" s="282"/>
      <c r="G26" s="286"/>
    </row>
    <row r="27" spans="1:7" s="257" customFormat="1" ht="24.75">
      <c r="A27" s="950" t="s">
        <v>787</v>
      </c>
      <c r="B27" s="287" t="s">
        <v>112</v>
      </c>
      <c r="C27" s="288">
        <f>C28</f>
        <v>217</v>
      </c>
      <c r="D27" s="278">
        <f>C29</f>
        <v>2.0000000000000001E-4</v>
      </c>
      <c r="E27" s="279" t="s">
        <v>126</v>
      </c>
      <c r="F27" s="289">
        <f>'数据-取费表'!Q16</f>
        <v>0.15</v>
      </c>
      <c r="G27" s="290" t="s">
        <v>1069</v>
      </c>
    </row>
    <row r="28" spans="1:7" s="257" customFormat="1" ht="13.5" customHeight="1">
      <c r="A28" s="953" t="s">
        <v>794</v>
      </c>
      <c r="B28" s="291" t="s">
        <v>1062</v>
      </c>
      <c r="C28" s="292">
        <f>ROUND((C5+C19+C20)*F27*'数据-取费表'!B21/'数据-取费表'!B20,0)</f>
        <v>217</v>
      </c>
      <c r="D28" s="278"/>
      <c r="E28" s="279"/>
      <c r="F28" s="289"/>
      <c r="G28" s="290"/>
    </row>
    <row r="29" spans="1:7" s="257" customFormat="1" ht="13.5" customHeight="1">
      <c r="A29" s="953" t="s">
        <v>792</v>
      </c>
      <c r="B29" s="291" t="s">
        <v>1063</v>
      </c>
      <c r="C29" s="281">
        <f>ROUND(C21*F27*'数据-取费表'!B21/'数据-取费表'!B20,4)</f>
        <v>2.0000000000000001E-4</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23715</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619</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546</v>
      </c>
      <c r="D34" s="260"/>
      <c r="E34" s="263"/>
      <c r="F34" s="300">
        <f>IF('数据-取费表'!B24=0,1,'数据-取费表'!N16)</f>
        <v>0.05</v>
      </c>
      <c r="G34" s="262" t="s">
        <v>116</v>
      </c>
    </row>
    <row r="35" spans="1:7" ht="13.5" customHeight="1">
      <c r="A35" s="953" t="s">
        <v>796</v>
      </c>
      <c r="B35" s="258" t="s">
        <v>60</v>
      </c>
      <c r="C35" s="263">
        <f>ROUND(C34*F35,0)</f>
        <v>16</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13</v>
      </c>
      <c r="D36" s="263"/>
      <c r="E36" s="263"/>
      <c r="F36" s="302">
        <f>'数据-取费表'!B34</f>
        <v>0.03</v>
      </c>
      <c r="G36" s="303" t="s">
        <v>62</v>
      </c>
    </row>
    <row r="37" spans="1:7" s="301" customFormat="1" ht="13.5" customHeight="1">
      <c r="A37" s="953" t="s">
        <v>798</v>
      </c>
      <c r="B37" s="258" t="s">
        <v>118</v>
      </c>
      <c r="C37" s="292">
        <f>ROUND(E37*D37*F34/10000,0)</f>
        <v>36</v>
      </c>
      <c r="D37" s="260">
        <f>'数据-汇总表'!E3</f>
        <v>36223.67</v>
      </c>
      <c r="E37" s="292">
        <f>'数据-取费表'!B35</f>
        <v>200</v>
      </c>
      <c r="F37" s="302"/>
      <c r="G37" s="304" t="s">
        <v>119</v>
      </c>
    </row>
    <row r="38" spans="1:7" ht="13.5" customHeight="1">
      <c r="A38" s="953" t="s">
        <v>799</v>
      </c>
      <c r="B38" s="258" t="s">
        <v>63</v>
      </c>
      <c r="C38" s="263">
        <f>ROUND(C34*F38,0)</f>
        <v>8</v>
      </c>
      <c r="D38" s="263"/>
      <c r="E38" s="263"/>
      <c r="F38" s="302">
        <f>'数据-取费表'!B36</f>
        <v>1.4999999999999999E-2</v>
      </c>
      <c r="G38" s="262" t="s">
        <v>117</v>
      </c>
    </row>
    <row r="39" spans="1:7" s="257" customFormat="1" ht="13.5" customHeight="1">
      <c r="A39" s="950" t="s">
        <v>783</v>
      </c>
      <c r="B39" s="253" t="s">
        <v>104</v>
      </c>
      <c r="C39" s="275">
        <f>ROUND(C33*F20,0)</f>
        <v>9</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1</v>
      </c>
      <c r="D41" s="278">
        <f ca="1">C44</f>
        <v>0</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1</v>
      </c>
      <c r="D42" s="281"/>
      <c r="E42" s="281"/>
      <c r="F42" s="282"/>
      <c r="G42" s="3154" t="s">
        <v>121</v>
      </c>
    </row>
    <row r="43" spans="1:7" ht="13.5" customHeight="1">
      <c r="A43" s="953" t="s">
        <v>792</v>
      </c>
      <c r="B43" s="258" t="s">
        <v>1064</v>
      </c>
      <c r="C43" s="281">
        <f ca="1">ROUND(IF('数据-取费表'!B22&lt;=1,C39*F22*'数据-取费表'!B21/2,C39*(POWER((1+F22),'数据-取费表'!B21/2)-1)),0)</f>
        <v>0</v>
      </c>
      <c r="D43" s="281"/>
      <c r="E43" s="281"/>
      <c r="F43" s="282"/>
      <c r="G43" s="3155"/>
    </row>
    <row r="44" spans="1:7" ht="13.5" customHeight="1">
      <c r="A44" s="953" t="s">
        <v>793</v>
      </c>
      <c r="B44" s="258" t="s">
        <v>1066</v>
      </c>
      <c r="C44" s="281">
        <f ca="1">ROUND(IF('数据-取费表'!B22&lt;=1,C40*F22*'数据-取费表'!B21/2,C40*(POWER((1+F22),'数据-取费表'!B21/2)-1)),4)</f>
        <v>0</v>
      </c>
      <c r="D44" s="281"/>
      <c r="E44" s="281"/>
      <c r="F44" s="282"/>
      <c r="G44" s="3156"/>
    </row>
    <row r="45" spans="1:7" s="257" customFormat="1" ht="13.5" customHeight="1">
      <c r="A45" s="950" t="s">
        <v>786</v>
      </c>
      <c r="B45" s="287" t="s">
        <v>112</v>
      </c>
      <c r="C45" s="288">
        <f>C46</f>
        <v>94</v>
      </c>
      <c r="D45" s="278">
        <f>C47</f>
        <v>3.0000000000000001E-3</v>
      </c>
      <c r="E45" s="279" t="s">
        <v>129</v>
      </c>
      <c r="F45" s="289"/>
      <c r="G45" s="290" t="s">
        <v>1072</v>
      </c>
    </row>
    <row r="46" spans="1:7" s="257" customFormat="1" ht="13.5" customHeight="1">
      <c r="A46" s="953" t="s">
        <v>794</v>
      </c>
      <c r="B46" s="291" t="s">
        <v>1065</v>
      </c>
      <c r="C46" s="292">
        <f>ROUND((C33+C39)*F27,0)</f>
        <v>94</v>
      </c>
      <c r="D46" s="306"/>
      <c r="E46" s="279"/>
      <c r="F46" s="289"/>
      <c r="G46" s="290"/>
    </row>
    <row r="47" spans="1:7" s="257" customFormat="1" ht="13.5" customHeight="1">
      <c r="A47" s="953" t="s">
        <v>792</v>
      </c>
      <c r="B47" s="291" t="s">
        <v>1067</v>
      </c>
      <c r="C47" s="281">
        <f>ROUND(C40*F27,4)</f>
        <v>3.0000000000000001E-3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783</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783</v>
      </c>
      <c r="D51" s="275"/>
      <c r="E51" s="275"/>
      <c r="F51" s="307"/>
      <c r="G51" s="277" t="s">
        <v>64</v>
      </c>
    </row>
    <row r="52" spans="1:7" s="251" customFormat="1" ht="16.5" thickBot="1">
      <c r="A52" s="308" t="s">
        <v>65</v>
      </c>
      <c r="B52" s="309"/>
      <c r="C52" s="310">
        <f ca="1">C31+C51</f>
        <v>24498</v>
      </c>
      <c r="D52" s="309"/>
      <c r="E52" s="309"/>
      <c r="F52" s="309"/>
      <c r="G52" s="311"/>
    </row>
    <row r="55" spans="1:7" ht="15">
      <c r="B55" s="313" t="s">
        <v>66</v>
      </c>
      <c r="C55" s="314"/>
    </row>
    <row r="56" spans="1:7">
      <c r="B56" s="316" t="s">
        <v>67</v>
      </c>
      <c r="C56" s="317">
        <f ca="1">ROUND(C51/C52,3)</f>
        <v>3.2000000000000001E-2</v>
      </c>
    </row>
    <row r="57" spans="1:7">
      <c r="B57" s="316" t="s">
        <v>68</v>
      </c>
      <c r="C57" s="318">
        <f ca="1">1-C56</f>
        <v>0.96799999999999997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97" t="s">
        <v>156</v>
      </c>
      <c r="B1" s="3297"/>
      <c r="C1" s="3297"/>
      <c r="D1" s="3297"/>
      <c r="E1" s="3297"/>
      <c r="F1" s="329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8" t="s">
        <v>169</v>
      </c>
      <c r="B2" s="3298"/>
      <c r="C2" s="3298"/>
      <c r="D2" s="3298"/>
      <c r="E2" s="3298"/>
      <c r="F2" s="329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7" t="s">
        <v>871</v>
      </c>
      <c r="B1" s="3297"/>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43160</v>
      </c>
      <c r="D1" s="1702" t="s">
        <v>1301</v>
      </c>
      <c r="E1" s="1697">
        <f>'数据-取费表'!B22</f>
        <v>1.5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C4:L53"/>
  <sheetViews>
    <sheetView topLeftCell="A26" workbookViewId="0">
      <selection activeCell="M45" sqref="M45"/>
    </sheetView>
  </sheetViews>
  <sheetFormatPr defaultRowHeight="13.5"/>
  <sheetData>
    <row r="4" spans="3:12" ht="14.25" thickBot="1"/>
    <row r="5" spans="3:12" ht="14.25" thickBot="1">
      <c r="C5" s="3306" t="s">
        <v>3152</v>
      </c>
      <c r="D5" s="3307"/>
      <c r="E5" s="3301" t="s">
        <v>3153</v>
      </c>
      <c r="F5" s="3302"/>
      <c r="G5" s="3301" t="s">
        <v>3154</v>
      </c>
      <c r="H5" s="3302"/>
      <c r="I5" s="3301" t="s">
        <v>3155</v>
      </c>
      <c r="J5" s="3302"/>
      <c r="K5" s="3301" t="s">
        <v>3156</v>
      </c>
      <c r="L5" s="3302"/>
    </row>
    <row r="6" spans="3:12" ht="23.25" customHeight="1" thickBot="1">
      <c r="C6" s="3308"/>
      <c r="D6" s="3309"/>
      <c r="E6" s="2957" t="s">
        <v>3157</v>
      </c>
      <c r="F6" s="3303" t="s">
        <v>3158</v>
      </c>
      <c r="G6" s="2957" t="s">
        <v>3076</v>
      </c>
      <c r="H6" s="3303" t="s">
        <v>3158</v>
      </c>
      <c r="I6" s="2957" t="s">
        <v>3077</v>
      </c>
      <c r="J6" s="3303" t="s">
        <v>3158</v>
      </c>
      <c r="K6" s="2957" t="s">
        <v>3081</v>
      </c>
      <c r="L6" s="3303" t="s">
        <v>3158</v>
      </c>
    </row>
    <row r="7" spans="3:12" ht="46.5" customHeight="1" thickBot="1">
      <c r="C7" s="3310"/>
      <c r="D7" s="3311"/>
      <c r="E7" s="2957" t="s">
        <v>3159</v>
      </c>
      <c r="F7" s="3304"/>
      <c r="G7" s="2957" t="s">
        <v>3182</v>
      </c>
      <c r="H7" s="3304"/>
      <c r="I7" s="2957" t="s">
        <v>3183</v>
      </c>
      <c r="J7" s="3304"/>
      <c r="K7" s="2957" t="s">
        <v>3080</v>
      </c>
      <c r="L7" s="3304"/>
    </row>
    <row r="8" spans="3:12" ht="14.25" thickBot="1">
      <c r="C8" s="3312" t="s">
        <v>3160</v>
      </c>
      <c r="D8" s="3313"/>
      <c r="E8" s="2958">
        <v>2018.3</v>
      </c>
      <c r="F8" s="2958">
        <v>100</v>
      </c>
      <c r="G8" s="2958">
        <v>2018.3</v>
      </c>
      <c r="H8" s="2958">
        <v>100</v>
      </c>
      <c r="I8" s="2958">
        <v>2018.3</v>
      </c>
      <c r="J8" s="2958">
        <v>100</v>
      </c>
      <c r="K8" s="2958">
        <v>2018.3</v>
      </c>
      <c r="L8" s="2958">
        <v>100</v>
      </c>
    </row>
    <row r="9" spans="3:12" ht="14.25" thickBot="1">
      <c r="C9" s="3312" t="s">
        <v>3161</v>
      </c>
      <c r="D9" s="3313"/>
      <c r="E9" s="2957" t="s">
        <v>3057</v>
      </c>
      <c r="F9" s="2958">
        <v>100</v>
      </c>
      <c r="G9" s="2957" t="s">
        <v>3057</v>
      </c>
      <c r="H9" s="2958">
        <v>100</v>
      </c>
      <c r="I9" s="2957" t="s">
        <v>3057</v>
      </c>
      <c r="J9" s="2958">
        <v>100</v>
      </c>
      <c r="K9" s="2957" t="s">
        <v>3057</v>
      </c>
      <c r="L9" s="2958">
        <v>100</v>
      </c>
    </row>
    <row r="10" spans="3:12" ht="14.25" thickBot="1">
      <c r="C10" s="3314" t="s">
        <v>1375</v>
      </c>
      <c r="D10" s="3315"/>
      <c r="E10" s="2957" t="s">
        <v>3050</v>
      </c>
      <c r="F10" s="2958">
        <v>100</v>
      </c>
      <c r="G10" s="2957" t="s">
        <v>3050</v>
      </c>
      <c r="H10" s="2958">
        <v>100</v>
      </c>
      <c r="I10" s="2957" t="s">
        <v>3050</v>
      </c>
      <c r="J10" s="2958">
        <v>100</v>
      </c>
      <c r="K10" s="2957" t="s">
        <v>3050</v>
      </c>
      <c r="L10" s="2959">
        <v>100</v>
      </c>
    </row>
    <row r="11" spans="3:12" ht="14.25" thickBot="1">
      <c r="C11" s="3314" t="s">
        <v>3162</v>
      </c>
      <c r="D11" s="3315"/>
      <c r="E11" s="2958" t="s">
        <v>3163</v>
      </c>
      <c r="F11" s="2958">
        <v>100</v>
      </c>
      <c r="G11" s="2958" t="s">
        <v>3164</v>
      </c>
      <c r="H11" s="2958">
        <v>101</v>
      </c>
      <c r="I11" s="2958" t="s">
        <v>3164</v>
      </c>
      <c r="J11" s="2958">
        <v>101</v>
      </c>
      <c r="K11" s="2958" t="s">
        <v>3164</v>
      </c>
      <c r="L11" s="2959">
        <v>101</v>
      </c>
    </row>
    <row r="12" spans="3:12" ht="14.25" thickBot="1">
      <c r="C12" s="3314" t="s">
        <v>3165</v>
      </c>
      <c r="D12" s="3315"/>
      <c r="E12" s="2958">
        <v>4.29</v>
      </c>
      <c r="F12" s="2958">
        <v>100</v>
      </c>
      <c r="G12" s="2958">
        <v>3.41</v>
      </c>
      <c r="H12" s="2958">
        <v>105</v>
      </c>
      <c r="I12" s="2958">
        <v>4.2300000000000004</v>
      </c>
      <c r="J12" s="2958">
        <v>100</v>
      </c>
      <c r="K12" s="2958">
        <v>4.16</v>
      </c>
      <c r="L12" s="2959">
        <v>100</v>
      </c>
    </row>
    <row r="13" spans="3:12" ht="14.25" thickBot="1">
      <c r="C13" s="3303" t="s">
        <v>3166</v>
      </c>
      <c r="D13" s="2960" t="s">
        <v>3167</v>
      </c>
      <c r="E13" s="2957" t="s">
        <v>3059</v>
      </c>
      <c r="F13" s="2958">
        <v>100</v>
      </c>
      <c r="G13" s="2957" t="s">
        <v>3059</v>
      </c>
      <c r="H13" s="2958">
        <v>100</v>
      </c>
      <c r="I13" s="2957" t="s">
        <v>3059</v>
      </c>
      <c r="J13" s="2958">
        <v>100</v>
      </c>
      <c r="K13" s="2957" t="s">
        <v>3059</v>
      </c>
      <c r="L13" s="2958">
        <v>100</v>
      </c>
    </row>
    <row r="14" spans="3:12" ht="14.25" thickBot="1">
      <c r="C14" s="3305"/>
      <c r="D14" s="2960" t="s">
        <v>3168</v>
      </c>
      <c r="E14" s="2957" t="s">
        <v>3059</v>
      </c>
      <c r="F14" s="2958">
        <v>100</v>
      </c>
      <c r="G14" s="2957" t="s">
        <v>3059</v>
      </c>
      <c r="H14" s="2958">
        <v>100</v>
      </c>
      <c r="I14" s="2957" t="s">
        <v>3059</v>
      </c>
      <c r="J14" s="2958">
        <v>100</v>
      </c>
      <c r="K14" s="2957" t="s">
        <v>3059</v>
      </c>
      <c r="L14" s="2959">
        <v>100</v>
      </c>
    </row>
    <row r="15" spans="3:12" ht="14.25" thickBot="1">
      <c r="C15" s="3305"/>
      <c r="D15" s="2960" t="s">
        <v>3169</v>
      </c>
      <c r="E15" s="2957" t="s">
        <v>3059</v>
      </c>
      <c r="F15" s="2958">
        <v>100</v>
      </c>
      <c r="G15" s="2957" t="s">
        <v>3059</v>
      </c>
      <c r="H15" s="2958">
        <v>100</v>
      </c>
      <c r="I15" s="2957" t="s">
        <v>3059</v>
      </c>
      <c r="J15" s="2958">
        <v>100</v>
      </c>
      <c r="K15" s="2957" t="s">
        <v>3059</v>
      </c>
      <c r="L15" s="2959">
        <v>100</v>
      </c>
    </row>
    <row r="16" spans="3:12" ht="14.25" thickBot="1">
      <c r="C16" s="3305"/>
      <c r="D16" s="2960" t="s">
        <v>3170</v>
      </c>
      <c r="E16" s="2957" t="s">
        <v>3061</v>
      </c>
      <c r="F16" s="2958">
        <v>100</v>
      </c>
      <c r="G16" s="2957" t="s">
        <v>3061</v>
      </c>
      <c r="H16" s="2958">
        <v>100</v>
      </c>
      <c r="I16" s="2957" t="s">
        <v>3061</v>
      </c>
      <c r="J16" s="2958">
        <v>100</v>
      </c>
      <c r="K16" s="2957" t="s">
        <v>3061</v>
      </c>
      <c r="L16" s="2958">
        <v>100</v>
      </c>
    </row>
    <row r="17" spans="3:12" ht="14.25" thickBot="1">
      <c r="C17" s="3305"/>
      <c r="D17" s="2960" t="s">
        <v>3171</v>
      </c>
      <c r="E17" s="2957" t="s">
        <v>3059</v>
      </c>
      <c r="F17" s="2958">
        <v>100</v>
      </c>
      <c r="G17" s="2957" t="s">
        <v>3059</v>
      </c>
      <c r="H17" s="2958">
        <v>100</v>
      </c>
      <c r="I17" s="2957" t="s">
        <v>3059</v>
      </c>
      <c r="J17" s="2958">
        <v>100</v>
      </c>
      <c r="K17" s="2957" t="s">
        <v>3185</v>
      </c>
      <c r="L17" s="2959">
        <v>97</v>
      </c>
    </row>
    <row r="18" spans="3:12" ht="14.25" thickBot="1">
      <c r="C18" s="3318" t="s">
        <v>3172</v>
      </c>
      <c r="D18" s="2960" t="s">
        <v>3173</v>
      </c>
      <c r="E18" s="2957" t="s">
        <v>3186</v>
      </c>
      <c r="F18" s="2958">
        <v>100</v>
      </c>
      <c r="G18" s="2957" t="s">
        <v>3186</v>
      </c>
      <c r="H18" s="2958">
        <v>100</v>
      </c>
      <c r="I18" s="2957" t="s">
        <v>3186</v>
      </c>
      <c r="J18" s="2958">
        <v>100</v>
      </c>
      <c r="K18" s="2957" t="s">
        <v>3186</v>
      </c>
      <c r="L18" s="2958">
        <v>100</v>
      </c>
    </row>
    <row r="19" spans="3:12" ht="14.25" thickBot="1">
      <c r="C19" s="3319"/>
      <c r="D19" s="2960" t="s">
        <v>3174</v>
      </c>
      <c r="E19" s="2958">
        <v>36223.67</v>
      </c>
      <c r="F19" s="2958">
        <v>100</v>
      </c>
      <c r="G19" s="2958">
        <v>270179</v>
      </c>
      <c r="H19" s="2958">
        <v>103</v>
      </c>
      <c r="I19" s="2958">
        <v>230000</v>
      </c>
      <c r="J19" s="2958">
        <v>103</v>
      </c>
      <c r="K19" s="2958">
        <v>98193</v>
      </c>
      <c r="L19" s="2959">
        <v>101</v>
      </c>
    </row>
    <row r="20" spans="3:12" ht="14.25" thickBot="1">
      <c r="C20" s="3319"/>
      <c r="D20" s="2960" t="s">
        <v>3175</v>
      </c>
      <c r="E20" s="2957" t="s">
        <v>3120</v>
      </c>
      <c r="F20" s="2958">
        <v>100</v>
      </c>
      <c r="G20" s="2957" t="s">
        <v>3120</v>
      </c>
      <c r="H20" s="2958">
        <v>100</v>
      </c>
      <c r="I20" s="2957" t="s">
        <v>3120</v>
      </c>
      <c r="J20" s="2958">
        <v>100</v>
      </c>
      <c r="K20" s="2957" t="s">
        <v>3120</v>
      </c>
      <c r="L20" s="2959">
        <v>100</v>
      </c>
    </row>
    <row r="21" spans="3:12" ht="14.25" thickBot="1">
      <c r="C21" s="3319"/>
      <c r="D21" s="2960" t="s">
        <v>3176</v>
      </c>
      <c r="E21" s="2957" t="s">
        <v>3127</v>
      </c>
      <c r="F21" s="2958">
        <v>100</v>
      </c>
      <c r="G21" s="2957" t="s">
        <v>3127</v>
      </c>
      <c r="H21" s="2958">
        <v>100</v>
      </c>
      <c r="I21" s="2957" t="s">
        <v>3127</v>
      </c>
      <c r="J21" s="2958">
        <v>100</v>
      </c>
      <c r="K21" s="2957" t="s">
        <v>3127</v>
      </c>
      <c r="L21" s="2959">
        <v>100</v>
      </c>
    </row>
    <row r="22" spans="3:12" ht="14.25" thickBot="1">
      <c r="C22" s="3319"/>
      <c r="D22" s="2960" t="s">
        <v>3177</v>
      </c>
      <c r="E22" s="2957" t="s">
        <v>3074</v>
      </c>
      <c r="F22" s="2958">
        <v>100</v>
      </c>
      <c r="G22" s="2957" t="s">
        <v>3074</v>
      </c>
      <c r="H22" s="2958">
        <v>100</v>
      </c>
      <c r="I22" s="2957" t="s">
        <v>3074</v>
      </c>
      <c r="J22" s="2958">
        <v>100</v>
      </c>
      <c r="K22" s="2957" t="s">
        <v>3074</v>
      </c>
      <c r="L22" s="2959">
        <v>100</v>
      </c>
    </row>
    <row r="23" spans="3:12" ht="14.25" thickBot="1">
      <c r="C23" s="3319"/>
      <c r="D23" s="2960" t="s">
        <v>3178</v>
      </c>
      <c r="E23" s="2957" t="s">
        <v>3123</v>
      </c>
      <c r="F23" s="2958">
        <v>100</v>
      </c>
      <c r="G23" s="2957" t="s">
        <v>3123</v>
      </c>
      <c r="H23" s="2958">
        <v>100</v>
      </c>
      <c r="I23" s="2957" t="s">
        <v>3123</v>
      </c>
      <c r="J23" s="2958">
        <v>100</v>
      </c>
      <c r="K23" s="2957" t="s">
        <v>3123</v>
      </c>
      <c r="L23" s="2959">
        <v>100</v>
      </c>
    </row>
    <row r="24" spans="3:12" ht="14.25" thickBot="1">
      <c r="C24" s="3319"/>
      <c r="D24" s="2960" t="s">
        <v>3179</v>
      </c>
      <c r="E24" s="2957" t="s">
        <v>3061</v>
      </c>
      <c r="F24" s="2958">
        <v>100</v>
      </c>
      <c r="G24" s="2957" t="s">
        <v>3061</v>
      </c>
      <c r="H24" s="2958">
        <v>100</v>
      </c>
      <c r="I24" s="2957" t="s">
        <v>3061</v>
      </c>
      <c r="J24" s="2958">
        <v>100</v>
      </c>
      <c r="K24" s="2957" t="s">
        <v>3061</v>
      </c>
      <c r="L24" s="2958">
        <v>100</v>
      </c>
    </row>
    <row r="25" spans="3:12" ht="14.25" thickBot="1">
      <c r="C25" s="3319"/>
      <c r="D25" s="2960" t="s">
        <v>3180</v>
      </c>
      <c r="E25" s="2958" t="s">
        <v>3187</v>
      </c>
      <c r="F25" s="2958">
        <v>100</v>
      </c>
      <c r="G25" s="2958" t="s">
        <v>3187</v>
      </c>
      <c r="H25" s="2958">
        <v>100</v>
      </c>
      <c r="I25" s="2958" t="s">
        <v>3187</v>
      </c>
      <c r="J25" s="2958">
        <v>100</v>
      </c>
      <c r="K25" s="2958" t="s">
        <v>3187</v>
      </c>
      <c r="L25" s="2958">
        <v>100</v>
      </c>
    </row>
    <row r="26" spans="3:12" ht="14.25" thickBot="1">
      <c r="C26" s="3320"/>
      <c r="D26" s="2960" t="s">
        <v>3181</v>
      </c>
      <c r="E26" s="2957" t="s">
        <v>3074</v>
      </c>
      <c r="F26" s="2958">
        <v>100</v>
      </c>
      <c r="G26" s="2957" t="s">
        <v>3074</v>
      </c>
      <c r="H26" s="2958">
        <v>100</v>
      </c>
      <c r="I26" s="2957" t="s">
        <v>3074</v>
      </c>
      <c r="J26" s="2958">
        <v>100</v>
      </c>
      <c r="K26" s="2957" t="s">
        <v>3075</v>
      </c>
      <c r="L26" s="2959">
        <v>94</v>
      </c>
    </row>
    <row r="29" spans="3:12" ht="14.25" thickBot="1"/>
    <row r="30" spans="3:12" ht="14.25" thickBot="1">
      <c r="C30" s="3321" t="s">
        <v>3152</v>
      </c>
      <c r="D30" s="3322"/>
      <c r="E30" s="3325" t="s">
        <v>3154</v>
      </c>
      <c r="F30" s="3326"/>
      <c r="G30" s="3325" t="s">
        <v>3155</v>
      </c>
      <c r="H30" s="3326"/>
      <c r="I30" s="3325" t="s">
        <v>3156</v>
      </c>
      <c r="J30" s="3326"/>
    </row>
    <row r="31" spans="3:12" ht="14.25" thickBot="1">
      <c r="C31" s="3323"/>
      <c r="D31" s="3324"/>
      <c r="E31" s="3325" t="s">
        <v>3076</v>
      </c>
      <c r="F31" s="3326"/>
      <c r="G31" s="3325" t="s">
        <v>3077</v>
      </c>
      <c r="H31" s="3326"/>
      <c r="I31" s="3325" t="s">
        <v>3081</v>
      </c>
      <c r="J31" s="3326"/>
    </row>
    <row r="32" spans="3:12" ht="14.25" thickBot="1">
      <c r="C32" s="3316" t="str">
        <f>C8</f>
        <v>交易时间</v>
      </c>
      <c r="D32" s="3317"/>
      <c r="E32" s="2962" t="s">
        <v>3188</v>
      </c>
      <c r="F32" s="2963">
        <f>H8</f>
        <v>100</v>
      </c>
      <c r="G32" s="2962" t="s">
        <v>3188</v>
      </c>
      <c r="H32" s="2964">
        <f>J8</f>
        <v>100</v>
      </c>
      <c r="I32" s="2962" t="s">
        <v>3188</v>
      </c>
      <c r="J32" s="2964">
        <f>L8</f>
        <v>100</v>
      </c>
    </row>
    <row r="33" spans="3:10" ht="14.25" thickBot="1">
      <c r="C33" s="3316" t="str">
        <f t="shared" ref="C33:C36" si="0">C9</f>
        <v>交易情况</v>
      </c>
      <c r="D33" s="3317"/>
      <c r="E33" s="2962" t="s">
        <v>3188</v>
      </c>
      <c r="F33" s="2963">
        <f t="shared" ref="F33:F50" si="1">H9</f>
        <v>100</v>
      </c>
      <c r="G33" s="2962" t="s">
        <v>3188</v>
      </c>
      <c r="H33" s="2964">
        <f t="shared" ref="H33:H50" si="2">J9</f>
        <v>100</v>
      </c>
      <c r="I33" s="2962" t="s">
        <v>3188</v>
      </c>
      <c r="J33" s="2964">
        <f t="shared" ref="J33:J50" si="3">L9</f>
        <v>100</v>
      </c>
    </row>
    <row r="34" spans="3:10" ht="14.25" thickBot="1">
      <c r="C34" s="3316" t="str">
        <f t="shared" si="0"/>
        <v>用途</v>
      </c>
      <c r="D34" s="3317"/>
      <c r="E34" s="2962" t="s">
        <v>3188</v>
      </c>
      <c r="F34" s="2963">
        <f t="shared" si="1"/>
        <v>100</v>
      </c>
      <c r="G34" s="2962" t="s">
        <v>3188</v>
      </c>
      <c r="H34" s="2964">
        <f t="shared" si="2"/>
        <v>100</v>
      </c>
      <c r="I34" s="2962" t="s">
        <v>3188</v>
      </c>
      <c r="J34" s="2964">
        <f t="shared" si="3"/>
        <v>100</v>
      </c>
    </row>
    <row r="35" spans="3:10" ht="14.25" customHeight="1" thickBot="1">
      <c r="C35" s="3316" t="str">
        <f t="shared" si="0"/>
        <v>土地使用年限</v>
      </c>
      <c r="D35" s="3317"/>
      <c r="E35" s="2962" t="s">
        <v>3188</v>
      </c>
      <c r="F35" s="2963">
        <f t="shared" si="1"/>
        <v>101</v>
      </c>
      <c r="G35" s="2962" t="s">
        <v>3188</v>
      </c>
      <c r="H35" s="2964">
        <f t="shared" si="2"/>
        <v>101</v>
      </c>
      <c r="I35" s="2962" t="s">
        <v>3188</v>
      </c>
      <c r="J35" s="2964">
        <f t="shared" si="3"/>
        <v>101</v>
      </c>
    </row>
    <row r="36" spans="3:10" ht="14.25" thickBot="1">
      <c r="C36" s="3316" t="str">
        <f t="shared" si="0"/>
        <v>容积率</v>
      </c>
      <c r="D36" s="3317"/>
      <c r="E36" s="2962" t="s">
        <v>3188</v>
      </c>
      <c r="F36" s="2963">
        <f t="shared" si="1"/>
        <v>105</v>
      </c>
      <c r="G36" s="2962" t="s">
        <v>3188</v>
      </c>
      <c r="H36" s="2964">
        <f t="shared" si="2"/>
        <v>100</v>
      </c>
      <c r="I36" s="2962" t="s">
        <v>3188</v>
      </c>
      <c r="J36" s="2964">
        <f t="shared" si="3"/>
        <v>100</v>
      </c>
    </row>
    <row r="37" spans="3:10" ht="14.25" thickBot="1">
      <c r="C37" s="3327" t="s">
        <v>3166</v>
      </c>
      <c r="D37" s="2965" t="str">
        <f>D13</f>
        <v>居住社区成熟度</v>
      </c>
      <c r="E37" s="2962" t="s">
        <v>3188</v>
      </c>
      <c r="F37" s="2963">
        <f t="shared" si="1"/>
        <v>100</v>
      </c>
      <c r="G37" s="2962" t="s">
        <v>3188</v>
      </c>
      <c r="H37" s="2964">
        <f t="shared" si="2"/>
        <v>100</v>
      </c>
      <c r="I37" s="2962" t="s">
        <v>3188</v>
      </c>
      <c r="J37" s="2964">
        <f t="shared" si="3"/>
        <v>100</v>
      </c>
    </row>
    <row r="38" spans="3:10" ht="14.25" thickBot="1">
      <c r="C38" s="3328"/>
      <c r="D38" s="2965" t="str">
        <f t="shared" ref="D38:D41" si="4">D14</f>
        <v>交通便捷度</v>
      </c>
      <c r="E38" s="2962" t="s">
        <v>3188</v>
      </c>
      <c r="F38" s="2963">
        <f t="shared" si="1"/>
        <v>100</v>
      </c>
      <c r="G38" s="2962" t="s">
        <v>3188</v>
      </c>
      <c r="H38" s="2964">
        <f t="shared" si="2"/>
        <v>100</v>
      </c>
      <c r="I38" s="2962" t="s">
        <v>3188</v>
      </c>
      <c r="J38" s="2964">
        <f t="shared" si="3"/>
        <v>100</v>
      </c>
    </row>
    <row r="39" spans="3:10" ht="14.25" thickBot="1">
      <c r="C39" s="3328"/>
      <c r="D39" s="2965" t="str">
        <f t="shared" si="4"/>
        <v>公共配套设施</v>
      </c>
      <c r="E39" s="2962" t="s">
        <v>3188</v>
      </c>
      <c r="F39" s="2963">
        <f t="shared" si="1"/>
        <v>100</v>
      </c>
      <c r="G39" s="2962" t="s">
        <v>3188</v>
      </c>
      <c r="H39" s="2964">
        <f t="shared" si="2"/>
        <v>100</v>
      </c>
      <c r="I39" s="2962" t="s">
        <v>3188</v>
      </c>
      <c r="J39" s="2964">
        <f t="shared" si="3"/>
        <v>100</v>
      </c>
    </row>
    <row r="40" spans="3:10" ht="14.25" thickBot="1">
      <c r="C40" s="3328"/>
      <c r="D40" s="2965" t="str">
        <f t="shared" si="4"/>
        <v>基础设施水平</v>
      </c>
      <c r="E40" s="2962" t="s">
        <v>3188</v>
      </c>
      <c r="F40" s="2963">
        <f t="shared" si="1"/>
        <v>100</v>
      </c>
      <c r="G40" s="2962" t="s">
        <v>3188</v>
      </c>
      <c r="H40" s="2964">
        <f t="shared" si="2"/>
        <v>100</v>
      </c>
      <c r="I40" s="2962" t="s">
        <v>3188</v>
      </c>
      <c r="J40" s="2964">
        <f t="shared" si="3"/>
        <v>100</v>
      </c>
    </row>
    <row r="41" spans="3:10" ht="14.25" thickBot="1">
      <c r="C41" s="3328"/>
      <c r="D41" s="2965" t="str">
        <f t="shared" si="4"/>
        <v>自然及人文环境</v>
      </c>
      <c r="E41" s="2962" t="s">
        <v>3188</v>
      </c>
      <c r="F41" s="2963">
        <f t="shared" si="1"/>
        <v>100</v>
      </c>
      <c r="G41" s="2962" t="s">
        <v>3188</v>
      </c>
      <c r="H41" s="2964">
        <f t="shared" si="2"/>
        <v>100</v>
      </c>
      <c r="I41" s="2962" t="s">
        <v>3188</v>
      </c>
      <c r="J41" s="2964">
        <f t="shared" si="3"/>
        <v>97</v>
      </c>
    </row>
    <row r="42" spans="3:10" ht="14.25" thickBot="1">
      <c r="C42" s="3327" t="s">
        <v>3172</v>
      </c>
      <c r="D42" s="2965" t="str">
        <f>D18</f>
        <v>建筑类型</v>
      </c>
      <c r="E42" s="2962" t="s">
        <v>3188</v>
      </c>
      <c r="F42" s="2963">
        <f t="shared" si="1"/>
        <v>100</v>
      </c>
      <c r="G42" s="2962" t="s">
        <v>3188</v>
      </c>
      <c r="H42" s="2964">
        <f t="shared" si="2"/>
        <v>100</v>
      </c>
      <c r="I42" s="2962" t="s">
        <v>3188</v>
      </c>
      <c r="J42" s="2964">
        <f t="shared" si="3"/>
        <v>100</v>
      </c>
    </row>
    <row r="43" spans="3:10" ht="14.25" thickBot="1">
      <c r="C43" s="3328"/>
      <c r="D43" s="2965" t="str">
        <f t="shared" ref="D43:D50" si="5">D19</f>
        <v>项目建筑规模（平方米）</v>
      </c>
      <c r="E43" s="2962" t="s">
        <v>3188</v>
      </c>
      <c r="F43" s="2963">
        <f t="shared" si="1"/>
        <v>103</v>
      </c>
      <c r="G43" s="2962" t="s">
        <v>3188</v>
      </c>
      <c r="H43" s="2964">
        <f t="shared" si="2"/>
        <v>103</v>
      </c>
      <c r="I43" s="2962" t="s">
        <v>3188</v>
      </c>
      <c r="J43" s="2964">
        <f t="shared" si="3"/>
        <v>101</v>
      </c>
    </row>
    <row r="44" spans="3:10" ht="14.25" thickBot="1">
      <c r="C44" s="3328"/>
      <c r="D44" s="2965" t="str">
        <f t="shared" si="5"/>
        <v>建筑结构</v>
      </c>
      <c r="E44" s="2962" t="s">
        <v>3188</v>
      </c>
      <c r="F44" s="2963">
        <f t="shared" si="1"/>
        <v>100</v>
      </c>
      <c r="G44" s="2962" t="s">
        <v>3188</v>
      </c>
      <c r="H44" s="2964">
        <f t="shared" si="2"/>
        <v>100</v>
      </c>
      <c r="I44" s="2962" t="s">
        <v>3188</v>
      </c>
      <c r="J44" s="2964">
        <f t="shared" si="3"/>
        <v>100</v>
      </c>
    </row>
    <row r="45" spans="3:10" ht="14.25" thickBot="1">
      <c r="C45" s="3328"/>
      <c r="D45" s="2965" t="str">
        <f t="shared" si="5"/>
        <v>建筑品质</v>
      </c>
      <c r="E45" s="2962" t="s">
        <v>3188</v>
      </c>
      <c r="F45" s="2963">
        <f t="shared" si="1"/>
        <v>100</v>
      </c>
      <c r="G45" s="2962" t="s">
        <v>3188</v>
      </c>
      <c r="H45" s="2964">
        <f t="shared" si="2"/>
        <v>100</v>
      </c>
      <c r="I45" s="2962" t="s">
        <v>3188</v>
      </c>
      <c r="J45" s="2964">
        <f t="shared" si="3"/>
        <v>100</v>
      </c>
    </row>
    <row r="46" spans="3:10" ht="14.25" thickBot="1">
      <c r="C46" s="3328"/>
      <c r="D46" s="2965" t="str">
        <f t="shared" si="5"/>
        <v>公共部分装修</v>
      </c>
      <c r="E46" s="2962" t="s">
        <v>3188</v>
      </c>
      <c r="F46" s="2963">
        <f t="shared" si="1"/>
        <v>100</v>
      </c>
      <c r="G46" s="2962" t="s">
        <v>3188</v>
      </c>
      <c r="H46" s="2964">
        <f t="shared" si="2"/>
        <v>100</v>
      </c>
      <c r="I46" s="2962" t="s">
        <v>3188</v>
      </c>
      <c r="J46" s="2964">
        <f t="shared" si="3"/>
        <v>100</v>
      </c>
    </row>
    <row r="47" spans="3:10" ht="14.25" thickBot="1">
      <c r="C47" s="3328"/>
      <c r="D47" s="2965" t="str">
        <f t="shared" si="5"/>
        <v>物业管理</v>
      </c>
      <c r="E47" s="2962" t="s">
        <v>3188</v>
      </c>
      <c r="F47" s="2963">
        <f t="shared" si="1"/>
        <v>100</v>
      </c>
      <c r="G47" s="2962" t="s">
        <v>3188</v>
      </c>
      <c r="H47" s="2964">
        <f t="shared" si="2"/>
        <v>100</v>
      </c>
      <c r="I47" s="2962" t="s">
        <v>3188</v>
      </c>
      <c r="J47" s="2964">
        <f t="shared" si="3"/>
        <v>100</v>
      </c>
    </row>
    <row r="48" spans="3:10" ht="14.25" thickBot="1">
      <c r="C48" s="3328"/>
      <c r="D48" s="2965" t="str">
        <f t="shared" si="5"/>
        <v>市政基础设施</v>
      </c>
      <c r="E48" s="2962" t="s">
        <v>3188</v>
      </c>
      <c r="F48" s="2963">
        <f t="shared" si="1"/>
        <v>100</v>
      </c>
      <c r="G48" s="2962" t="s">
        <v>3188</v>
      </c>
      <c r="H48" s="2964">
        <f t="shared" si="2"/>
        <v>100</v>
      </c>
      <c r="I48" s="2962" t="s">
        <v>3188</v>
      </c>
      <c r="J48" s="2964">
        <f t="shared" si="3"/>
        <v>100</v>
      </c>
    </row>
    <row r="49" spans="3:10" ht="14.25" thickBot="1">
      <c r="C49" s="3328"/>
      <c r="D49" s="2965" t="str">
        <f t="shared" si="5"/>
        <v>主力户型建筑面积（平方米）</v>
      </c>
      <c r="E49" s="2962" t="s">
        <v>3188</v>
      </c>
      <c r="F49" s="2963">
        <f t="shared" si="1"/>
        <v>100</v>
      </c>
      <c r="G49" s="2962" t="s">
        <v>3188</v>
      </c>
      <c r="H49" s="2964">
        <f t="shared" si="2"/>
        <v>100</v>
      </c>
      <c r="I49" s="2962" t="s">
        <v>3188</v>
      </c>
      <c r="J49" s="2964">
        <f t="shared" si="3"/>
        <v>100</v>
      </c>
    </row>
    <row r="50" spans="3:10" ht="14.25" thickBot="1">
      <c r="C50" s="3329"/>
      <c r="D50" s="2965" t="str">
        <f t="shared" si="5"/>
        <v>内部装修</v>
      </c>
      <c r="E50" s="2962" t="s">
        <v>3188</v>
      </c>
      <c r="F50" s="2963">
        <f t="shared" si="1"/>
        <v>100</v>
      </c>
      <c r="G50" s="2962" t="s">
        <v>3188</v>
      </c>
      <c r="H50" s="2964">
        <f t="shared" si="2"/>
        <v>100</v>
      </c>
      <c r="I50" s="2962" t="s">
        <v>3188</v>
      </c>
      <c r="J50" s="2964">
        <f t="shared" si="3"/>
        <v>94</v>
      </c>
    </row>
    <row r="51" spans="3:10" ht="14.25" thickBot="1">
      <c r="C51" s="3330" t="s">
        <v>3189</v>
      </c>
      <c r="D51" s="3331"/>
      <c r="E51" s="3332">
        <v>24010</v>
      </c>
      <c r="F51" s="3334"/>
      <c r="G51" s="3332">
        <v>24500</v>
      </c>
      <c r="H51" s="3334"/>
      <c r="I51" s="3332">
        <v>21780</v>
      </c>
      <c r="J51" s="3334"/>
    </row>
    <row r="52" spans="3:10" ht="14.25" thickBot="1">
      <c r="C52" s="3330" t="s">
        <v>3190</v>
      </c>
      <c r="D52" s="3331"/>
      <c r="E52" s="3332">
        <v>21981</v>
      </c>
      <c r="F52" s="3334"/>
      <c r="G52" s="3332">
        <v>23551</v>
      </c>
      <c r="H52" s="3334"/>
      <c r="I52" s="3332">
        <v>23416</v>
      </c>
      <c r="J52" s="3334"/>
    </row>
    <row r="53" spans="3:10" ht="14.25" thickBot="1">
      <c r="C53" s="3330" t="s">
        <v>3191</v>
      </c>
      <c r="D53" s="3331"/>
      <c r="E53" s="3332">
        <v>22983</v>
      </c>
      <c r="F53" s="3333"/>
      <c r="G53" s="3333"/>
      <c r="H53" s="3333"/>
      <c r="I53" s="3333"/>
      <c r="J53" s="3334"/>
    </row>
  </sheetData>
  <mergeCells count="40">
    <mergeCell ref="C53:D53"/>
    <mergeCell ref="E53:J53"/>
    <mergeCell ref="E51:F51"/>
    <mergeCell ref="G51:H51"/>
    <mergeCell ref="I51:J51"/>
    <mergeCell ref="C52:D52"/>
    <mergeCell ref="E52:F52"/>
    <mergeCell ref="G52:H52"/>
    <mergeCell ref="I52:J52"/>
    <mergeCell ref="C51:D51"/>
    <mergeCell ref="C34:D34"/>
    <mergeCell ref="C35:D35"/>
    <mergeCell ref="C36:D36"/>
    <mergeCell ref="C37:C41"/>
    <mergeCell ref="C42:C50"/>
    <mergeCell ref="I30:J30"/>
    <mergeCell ref="E31:F31"/>
    <mergeCell ref="G31:H31"/>
    <mergeCell ref="I31:J31"/>
    <mergeCell ref="C32:D32"/>
    <mergeCell ref="C33:D33"/>
    <mergeCell ref="C18:C26"/>
    <mergeCell ref="C30:D31"/>
    <mergeCell ref="E30:F30"/>
    <mergeCell ref="G30:H30"/>
    <mergeCell ref="C13:C17"/>
    <mergeCell ref="C5:D7"/>
    <mergeCell ref="E5:F5"/>
    <mergeCell ref="G5:H5"/>
    <mergeCell ref="I5:J5"/>
    <mergeCell ref="C8:D8"/>
    <mergeCell ref="C9:D9"/>
    <mergeCell ref="C10:D10"/>
    <mergeCell ref="C11:D11"/>
    <mergeCell ref="C12:D12"/>
    <mergeCell ref="K5:L5"/>
    <mergeCell ref="F6:F7"/>
    <mergeCell ref="H6:H7"/>
    <mergeCell ref="J6:J7"/>
    <mergeCell ref="L6:L7"/>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1642</v>
      </c>
      <c r="B2" s="2980" t="s">
        <v>1643</v>
      </c>
      <c r="C2" s="2980" t="s">
        <v>1644</v>
      </c>
      <c r="D2" s="2980" t="str">
        <f>结果表!D116</f>
        <v>出让国有建设用地使用权价值</v>
      </c>
      <c r="E2" s="2980"/>
      <c r="F2" s="2980" t="str">
        <f>结果表!F116</f>
        <v>在建建筑物价值</v>
      </c>
      <c r="G2" s="2980"/>
      <c r="H2" s="2980" t="str">
        <f>IF(项目基本情况!B9="房地产市场价值","房地产市场价值","房地产价值")</f>
        <v>房地产价值</v>
      </c>
      <c r="I2" s="2980"/>
    </row>
    <row r="3" spans="1:9" ht="15">
      <c r="A3" s="2981"/>
      <c r="B3" s="2981"/>
      <c r="C3" s="2981"/>
      <c r="D3" s="1046" t="s">
        <v>1639</v>
      </c>
      <c r="E3" s="1046" t="s">
        <v>1645</v>
      </c>
      <c r="F3" s="1046" t="s">
        <v>1639</v>
      </c>
      <c r="G3" s="1046" t="s">
        <v>1640</v>
      </c>
      <c r="H3" s="1046" t="s">
        <v>1639</v>
      </c>
      <c r="I3" s="1046" t="s">
        <v>1640</v>
      </c>
    </row>
    <row r="4" spans="1:9" ht="60">
      <c r="A4" s="1975" t="str">
        <f>项目基本情况!S2</f>
        <v>青岛市黄岛区滨海大道以南、石雀滩路北D地块1宗住宅用途出让国有建设用地使用权及在建建筑物房地产</v>
      </c>
      <c r="B4" s="1046">
        <f>项目基本情况!C17</f>
        <v>36223.67</v>
      </c>
      <c r="C4" s="1046">
        <f>项目基本情况!C18</f>
        <v>5780</v>
      </c>
      <c r="D4" s="1046">
        <f ca="1">结果表!D118</f>
        <v>19936</v>
      </c>
      <c r="E4" s="1046">
        <f ca="1">结果表!E118</f>
        <v>5503</v>
      </c>
      <c r="F4" s="1046">
        <f ca="1">结果表!F118</f>
        <v>1071</v>
      </c>
      <c r="G4" s="1046">
        <f ca="1">结果表!G118</f>
        <v>296</v>
      </c>
      <c r="H4" s="1046">
        <f ca="1">结果表!H118</f>
        <v>21007</v>
      </c>
      <c r="I4" s="1046">
        <f ca="1">结果表!I118</f>
        <v>5799</v>
      </c>
    </row>
    <row r="5" spans="1:9" ht="30" customHeight="1">
      <c r="A5" s="2981" t="s">
        <v>1641</v>
      </c>
      <c r="B5" s="2981"/>
      <c r="C5" s="2981"/>
      <c r="D5" s="2982" t="str">
        <f ca="1">结果表!D119</f>
        <v>壹亿玖仟玖佰叁拾陆万元整</v>
      </c>
      <c r="E5" s="2982"/>
      <c r="F5" s="2982" t="str">
        <f ca="1">结果表!F119</f>
        <v>壹仟零柒拾壹万元整</v>
      </c>
      <c r="G5" s="2982"/>
      <c r="H5" s="2982" t="str">
        <f ca="1">结果表!H119</f>
        <v>贰亿壹仟零柒万元整</v>
      </c>
      <c r="I5" s="2982"/>
    </row>
    <row r="6" spans="1:9" ht="15.75">
      <c r="A6" s="2983" t="str">
        <f>结果表!A120</f>
        <v>估价师知悉的法定优先受偿款</v>
      </c>
      <c r="B6" s="2983"/>
      <c r="C6" s="2983"/>
      <c r="D6" s="2983">
        <f>结果表!D120</f>
        <v>0</v>
      </c>
      <c r="E6" s="2983"/>
      <c r="F6" s="2983"/>
      <c r="G6" s="2983"/>
      <c r="H6" s="2983"/>
      <c r="I6" s="2983"/>
    </row>
    <row r="7" spans="1:9" ht="15">
      <c r="A7" s="2981" t="s">
        <v>1641</v>
      </c>
      <c r="B7" s="2981"/>
      <c r="C7" s="2981"/>
      <c r="D7" s="2984" t="str">
        <f>结果表!D121</f>
        <v>零元整</v>
      </c>
      <c r="E7" s="2985"/>
      <c r="F7" s="2985"/>
      <c r="G7" s="2985"/>
      <c r="H7" s="2985"/>
      <c r="I7" s="2986"/>
    </row>
    <row r="8" spans="1:9" ht="15.75">
      <c r="A8" s="2983" t="str">
        <f>结果表!A122</f>
        <v>房地产抵押价值</v>
      </c>
      <c r="B8" s="2983"/>
      <c r="C8" s="2983"/>
      <c r="D8" s="2983">
        <f ca="1">结果表!D122</f>
        <v>21007</v>
      </c>
      <c r="E8" s="2983"/>
      <c r="F8" s="2983"/>
      <c r="G8" s="2983"/>
      <c r="H8" s="2983"/>
      <c r="I8" s="2983"/>
    </row>
    <row r="9" spans="1:9" ht="15">
      <c r="A9" s="2981" t="s">
        <v>1641</v>
      </c>
      <c r="B9" s="2981"/>
      <c r="C9" s="2981"/>
      <c r="D9" s="2982" t="str">
        <f ca="1">结果表!D123</f>
        <v>贰亿壹仟零柒万元整</v>
      </c>
      <c r="E9" s="2982"/>
      <c r="F9" s="2982"/>
      <c r="G9" s="2982"/>
      <c r="H9" s="2982"/>
      <c r="I9" s="2982"/>
    </row>
    <row r="10" spans="1:9" ht="15.75">
      <c r="A10" s="2983" t="str">
        <f>结果表!A124</f>
        <v/>
      </c>
      <c r="B10" s="2983"/>
      <c r="C10" s="2983"/>
      <c r="D10" s="2983" t="str">
        <f>结果表!D124</f>
        <v>——</v>
      </c>
      <c r="E10" s="2983"/>
      <c r="F10" s="2983"/>
      <c r="G10" s="2983"/>
      <c r="H10" s="2983"/>
      <c r="I10" s="2983"/>
    </row>
    <row r="11" spans="1:9" ht="15">
      <c r="A11" s="2981" t="s">
        <v>1641</v>
      </c>
      <c r="B11" s="2981"/>
      <c r="C11" s="2981"/>
      <c r="D11" s="2982" t="e">
        <f>结果表!D125</f>
        <v>#VALUE!</v>
      </c>
      <c r="E11" s="2982"/>
      <c r="F11" s="2982"/>
      <c r="G11" s="2982"/>
      <c r="H11" s="2982"/>
      <c r="I11" s="2982"/>
    </row>
    <row r="12" spans="1:9" ht="15.75">
      <c r="A12" s="2983" t="str">
        <f>结果表!A126</f>
        <v/>
      </c>
      <c r="B12" s="2983"/>
      <c r="C12" s="2983"/>
      <c r="D12" s="2983" t="str">
        <f>结果表!D126</f>
        <v>——</v>
      </c>
      <c r="E12" s="2983"/>
      <c r="F12" s="2983"/>
      <c r="G12" s="2983"/>
      <c r="H12" s="2983"/>
      <c r="I12" s="2983"/>
    </row>
    <row r="13" spans="1:9" ht="15.75" thickBot="1">
      <c r="A13" s="2987" t="s">
        <v>1641</v>
      </c>
      <c r="B13" s="2987"/>
      <c r="C13" s="2987"/>
      <c r="D13" s="2988" t="e">
        <f>结果表!D127</f>
        <v>#VALUE!</v>
      </c>
      <c r="E13" s="2988"/>
      <c r="F13" s="2988"/>
      <c r="G13" s="2988"/>
      <c r="H13" s="2988"/>
      <c r="I13" s="2988"/>
    </row>
    <row r="14" spans="1:9" ht="15" thickTop="1">
      <c r="A14" s="2989" t="s">
        <v>1646</v>
      </c>
      <c r="B14" s="2989"/>
      <c r="C14" s="2989"/>
      <c r="D14" s="2989"/>
      <c r="E14" s="2989"/>
      <c r="F14" s="2989"/>
      <c r="G14" s="2989"/>
      <c r="H14" s="2989"/>
      <c r="I14" s="2989"/>
    </row>
    <row r="16" spans="1:9" ht="18.75">
      <c r="A16" s="1976" t="s">
        <v>1629</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0" t="s">
        <v>1663</v>
      </c>
      <c r="B1" s="2990"/>
      <c r="C1" s="2990"/>
      <c r="D1" s="2990"/>
    </row>
    <row r="2" spans="1:4" ht="18">
      <c r="A2" s="2991" t="s">
        <v>1647</v>
      </c>
      <c r="B2" s="2991"/>
      <c r="C2" s="2991"/>
      <c r="D2" s="2991"/>
    </row>
    <row r="3" spans="1:4" ht="18.75">
      <c r="A3" s="1979" t="s">
        <v>1648</v>
      </c>
      <c r="B3" s="1979" t="s">
        <v>1649</v>
      </c>
      <c r="C3" s="1979" t="s">
        <v>1650</v>
      </c>
      <c r="D3" s="1979" t="s">
        <v>1651</v>
      </c>
    </row>
    <row r="4" spans="1:4" ht="56.25" customHeight="1">
      <c r="A4" s="1980" t="str">
        <f>项目基本情况!B4</f>
        <v>王鹏</v>
      </c>
      <c r="B4" s="1981">
        <f ca="1">项目基本情况!C4</f>
        <v>1120050019</v>
      </c>
      <c r="C4" s="1982"/>
      <c r="D4" s="1983" t="s">
        <v>1652</v>
      </c>
    </row>
    <row r="5" spans="1:4" ht="56.25" customHeight="1">
      <c r="A5" s="1980" t="str">
        <f>项目基本情况!D4</f>
        <v>郑燚</v>
      </c>
      <c r="B5" s="1981">
        <f ca="1">项目基本情况!E4</f>
        <v>1120070131</v>
      </c>
      <c r="C5" s="1984"/>
      <c r="D5" s="1983" t="s">
        <v>1652</v>
      </c>
    </row>
    <row r="6" spans="1:4" ht="18">
      <c r="A6" s="2991" t="s">
        <v>1653</v>
      </c>
      <c r="B6" s="2991"/>
      <c r="C6" s="2991"/>
      <c r="D6" s="2991"/>
    </row>
    <row r="7" spans="1:4" ht="18.75">
      <c r="A7" s="1979" t="s">
        <v>1648</v>
      </c>
      <c r="B7" s="1981" t="s">
        <v>1654</v>
      </c>
      <c r="C7" s="1979" t="s">
        <v>1650</v>
      </c>
      <c r="D7" s="1979" t="s">
        <v>1651</v>
      </c>
    </row>
    <row r="8" spans="1:4" ht="56.25" customHeight="1">
      <c r="A8" s="1985" t="s">
        <v>869</v>
      </c>
      <c r="B8" s="1985" t="s">
        <v>1</v>
      </c>
      <c r="C8" s="1982"/>
      <c r="D8" s="1983" t="s">
        <v>1652</v>
      </c>
    </row>
    <row r="9" spans="1:4">
      <c r="A9" s="727"/>
      <c r="B9" s="727"/>
      <c r="C9" s="727"/>
      <c r="D9" s="727"/>
    </row>
    <row r="10" spans="1:4" ht="18.75">
      <c r="A10" s="1986" t="s">
        <v>1655</v>
      </c>
      <c r="B10" s="727"/>
      <c r="C10" s="727"/>
      <c r="D10" s="727"/>
    </row>
    <row r="11" spans="1:4" ht="30" customHeight="1">
      <c r="A11" s="2992" t="s">
        <v>1656</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4"/>
      <c r="C12" s="2994"/>
      <c r="D12" s="2994"/>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4"/>
      <c r="C13" s="2994"/>
      <c r="D13" s="2994"/>
    </row>
    <row r="14" spans="1:4" ht="15.75" customHeight="1">
      <c r="A14" s="2993" t="str">
        <f>IF(项目基本情况!B8="抵押","4.本次评估估价师所知悉的法定优先受偿款情况说明如下：","——")</f>
        <v>4.本次评估估价师所知悉的法定优先受偿款情况说明如下：</v>
      </c>
      <c r="B14" s="2994"/>
      <c r="C14" s="2994"/>
      <c r="D14" s="2994"/>
    </row>
    <row r="15" spans="1:4" ht="42" customHeight="1">
      <c r="A15" s="2993" t="str">
        <f>IF(项目基本情况!B8="抵押","（1）"&amp;CONCATENATE(项目基本情况!L20,项目基本情况!L21,项目基本情况!L22),"——")</f>
        <v>（1）根据估价对象《房屋所有权证》原件、《国有土地使用权》复印件，截至价值时点，估价对象抵押权未见登记。</v>
      </c>
      <c r="B15" s="2993"/>
      <c r="C15" s="2993"/>
      <c r="D15" s="2993"/>
    </row>
    <row r="16" spans="1:4" ht="30" customHeight="1">
      <c r="A16" s="2996" t="s">
        <v>1657</v>
      </c>
      <c r="B16" s="2996"/>
      <c r="C16" s="2996"/>
      <c r="D16" s="2996"/>
    </row>
    <row r="17" spans="1:4" ht="144" customHeight="1">
      <c r="A17" s="2996" t="s">
        <v>1658</v>
      </c>
      <c r="B17" s="2996"/>
      <c r="C17" s="2996"/>
      <c r="D17" s="2996"/>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3"/>
      <c r="C20" s="2993"/>
      <c r="D20" s="2993"/>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7"/>
      <c r="C21" s="2997"/>
      <c r="D21" s="2997"/>
    </row>
    <row r="22" spans="1:4" ht="18.75" customHeight="1">
      <c r="A22" s="2998" t="s">
        <v>1659</v>
      </c>
      <c r="B22" s="2998"/>
      <c r="C22" s="2998"/>
      <c r="D22" s="2998"/>
    </row>
    <row r="23" spans="1:4">
      <c r="A23" s="1987"/>
      <c r="B23" s="1959"/>
      <c r="C23" s="1959"/>
      <c r="D23" s="1959"/>
    </row>
    <row r="24" spans="1:4">
      <c r="A24" s="1987"/>
      <c r="B24" s="1959"/>
      <c r="C24" s="1959"/>
      <c r="D24" s="1959"/>
    </row>
    <row r="25" spans="1:4" ht="18.75">
      <c r="A25" s="1988" t="s">
        <v>1660</v>
      </c>
    </row>
    <row r="26" spans="1:4" ht="18">
      <c r="A26" s="1957"/>
    </row>
    <row r="27" spans="1:4" ht="18.75">
      <c r="A27" s="1957" t="s">
        <v>1661</v>
      </c>
    </row>
    <row r="30" spans="1:4" ht="18.75">
      <c r="D30" s="1988" t="s">
        <v>1662</v>
      </c>
    </row>
    <row r="31" spans="1:4" ht="13.5" customHeight="1">
      <c r="C31" s="2995">
        <v>42551</v>
      </c>
      <c r="D31" s="29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1664</v>
      </c>
    </row>
    <row r="3" spans="1:7">
      <c r="A3" s="1993" t="s">
        <v>82</v>
      </c>
      <c r="B3" s="1977" t="s">
        <v>1665</v>
      </c>
      <c r="G3" s="1994"/>
    </row>
    <row r="4" spans="1:7">
      <c r="G4" s="1994"/>
    </row>
    <row r="5" spans="1:7">
      <c r="A5" s="1996" t="s">
        <v>73</v>
      </c>
      <c r="B5" s="1977" t="s">
        <v>1666</v>
      </c>
      <c r="G5" s="1994"/>
    </row>
    <row r="6" spans="1:7">
      <c r="G6" s="1994"/>
    </row>
    <row r="7" spans="1:7">
      <c r="A7" s="1997" t="s">
        <v>135</v>
      </c>
      <c r="B7" s="1977" t="s">
        <v>1667</v>
      </c>
      <c r="G7" s="1994"/>
    </row>
    <row r="8" spans="1:7">
      <c r="G8" s="1994"/>
    </row>
    <row r="9" spans="1:7">
      <c r="A9" s="1998" t="s">
        <v>74</v>
      </c>
      <c r="B9" s="1977" t="s">
        <v>1668</v>
      </c>
    </row>
    <row r="11" spans="1:7">
      <c r="A11" s="1999" t="s">
        <v>75</v>
      </c>
      <c r="B11" s="2000" t="s">
        <v>72</v>
      </c>
    </row>
    <row r="13" spans="1:7">
      <c r="A13" s="2001" t="s">
        <v>1669</v>
      </c>
    </row>
    <row r="15" spans="1:7" ht="13.5">
      <c r="A15" s="3004" t="s">
        <v>1670</v>
      </c>
      <c r="B15" s="2999" t="s">
        <v>136</v>
      </c>
      <c r="C15" s="3000"/>
    </row>
    <row r="16" spans="1:7" ht="13.5">
      <c r="A16" s="3005"/>
      <c r="B16" s="2999" t="s">
        <v>69</v>
      </c>
      <c r="C16" s="3000"/>
    </row>
    <row r="17" spans="1:3" ht="13.5">
      <c r="A17" s="3005"/>
      <c r="B17" s="3002" t="s">
        <v>1671</v>
      </c>
      <c r="C17" s="2002" t="s">
        <v>1670</v>
      </c>
    </row>
    <row r="18" spans="1:3" ht="13.5">
      <c r="A18" s="3005"/>
      <c r="B18" s="3002"/>
      <c r="C18" s="2002" t="s">
        <v>1672</v>
      </c>
    </row>
    <row r="19" spans="1:3" ht="13.5">
      <c r="A19" s="3005"/>
      <c r="B19" s="3002"/>
      <c r="C19" s="2002" t="s">
        <v>1673</v>
      </c>
    </row>
    <row r="20" spans="1:3" ht="13.5">
      <c r="A20" s="3006"/>
      <c r="B20" s="3001" t="s">
        <v>1674</v>
      </c>
      <c r="C20" s="3000"/>
    </row>
    <row r="21" spans="1:3" ht="13.5">
      <c r="A21" s="2003" t="s">
        <v>1675</v>
      </c>
      <c r="B21" s="2004"/>
      <c r="C21" s="2005"/>
    </row>
    <row r="22" spans="1:3" ht="13.5">
      <c r="A22" s="3003" t="s">
        <v>1676</v>
      </c>
      <c r="B22" s="3001" t="s">
        <v>1677</v>
      </c>
      <c r="C22" s="3000"/>
    </row>
    <row r="23" spans="1:3" ht="13.5">
      <c r="A23" s="3003"/>
      <c r="B23" s="3001" t="s">
        <v>1678</v>
      </c>
      <c r="C23" s="3000"/>
    </row>
    <row r="24" spans="1:3" ht="13.5">
      <c r="A24" s="3003"/>
      <c r="B24" s="3001" t="s">
        <v>1679</v>
      </c>
      <c r="C24" s="3000"/>
    </row>
    <row r="25" spans="1:3" ht="13.5">
      <c r="A25" s="3003"/>
      <c r="B25" s="3002" t="s">
        <v>1680</v>
      </c>
      <c r="C25" s="2002" t="s">
        <v>1681</v>
      </c>
    </row>
    <row r="26" spans="1:3" ht="13.5">
      <c r="A26" s="3003"/>
      <c r="B26" s="3002"/>
      <c r="C26" s="2002" t="s">
        <v>1682</v>
      </c>
    </row>
    <row r="27" spans="1:3" ht="13.5">
      <c r="A27" s="3003"/>
      <c r="B27" s="3002"/>
      <c r="C27" s="2002" t="s">
        <v>1683</v>
      </c>
    </row>
    <row r="28" spans="1:3" ht="13.5">
      <c r="A28" s="3003"/>
      <c r="B28" s="3002"/>
      <c r="C28" s="2002" t="s">
        <v>1684</v>
      </c>
    </row>
    <row r="29" spans="1:3" ht="13.5">
      <c r="A29" s="3003"/>
      <c r="B29" s="3002"/>
      <c r="C29" s="2002" t="s">
        <v>1685</v>
      </c>
    </row>
    <row r="30" spans="1:3" ht="13.5">
      <c r="A30" s="3003"/>
      <c r="B30" s="3002"/>
      <c r="C30" s="2002" t="s">
        <v>1686</v>
      </c>
    </row>
    <row r="31" spans="1:3" ht="13.5">
      <c r="A31" s="3003"/>
      <c r="B31" s="3002"/>
      <c r="C31" s="2002" t="s">
        <v>1687</v>
      </c>
    </row>
    <row r="32" spans="1:3" ht="13.5">
      <c r="A32" s="3003"/>
      <c r="B32" s="3002"/>
      <c r="C32" s="2002" t="s">
        <v>1688</v>
      </c>
    </row>
    <row r="33" spans="1:3" ht="13.5">
      <c r="A33" s="3003"/>
      <c r="B33" s="3002"/>
      <c r="C33" s="2002" t="s">
        <v>1689</v>
      </c>
    </row>
    <row r="34" spans="1:3">
      <c r="A34" s="2006" t="s">
        <v>76</v>
      </c>
    </row>
    <row r="37" spans="1:3">
      <c r="A37" s="2006" t="s">
        <v>1690</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43166</v>
      </c>
      <c r="C2" s="1021" t="s">
        <v>826</v>
      </c>
      <c r="D2" s="1021"/>
    </row>
    <row r="3" spans="1:6" ht="24" customHeight="1">
      <c r="A3" s="1022" t="s">
        <v>827</v>
      </c>
      <c r="B3" s="1023" t="s">
        <v>828</v>
      </c>
      <c r="C3" s="2345" t="s">
        <v>829</v>
      </c>
      <c r="D3" s="2348" t="s">
        <v>830</v>
      </c>
      <c r="E3" s="1024" t="s">
        <v>831</v>
      </c>
      <c r="F3" s="1023" t="s">
        <v>829</v>
      </c>
    </row>
    <row r="4" spans="1:6" ht="24" customHeight="1">
      <c r="A4" s="1704" t="s">
        <v>832</v>
      </c>
      <c r="B4" s="1024">
        <f ca="1">IF(C4&lt;B2,"已过期",1119970066)</f>
        <v>1119970066</v>
      </c>
      <c r="C4" s="2346">
        <v>43849</v>
      </c>
      <c r="D4" s="2349" t="s">
        <v>832</v>
      </c>
      <c r="E4" s="1024">
        <f ca="1">IF(F4&lt;B2,"已过期",96010014)</f>
        <v>96010014</v>
      </c>
      <c r="F4" s="1032">
        <v>47118</v>
      </c>
    </row>
    <row r="5" spans="1:6" ht="24" customHeight="1">
      <c r="A5" s="1704" t="s">
        <v>833</v>
      </c>
      <c r="B5" s="1024">
        <f ca="1">IF(C5&lt;B2,"已过期",1119970074)</f>
        <v>1119970074</v>
      </c>
      <c r="C5" s="2346">
        <v>43849</v>
      </c>
      <c r="D5" s="2349" t="s">
        <v>833</v>
      </c>
      <c r="E5" s="1024">
        <f ca="1">IF(F5&lt;B2,"已过期",2002110027)</f>
        <v>2002110027</v>
      </c>
      <c r="F5" s="1032">
        <v>46752</v>
      </c>
    </row>
    <row r="6" spans="1:6" ht="24" customHeight="1">
      <c r="A6" s="1704" t="s">
        <v>834</v>
      </c>
      <c r="B6" s="1024">
        <f ca="1">IF(C6&lt;B2,"已过期",1119970111)</f>
        <v>1119970111</v>
      </c>
      <c r="C6" s="2346">
        <v>43849</v>
      </c>
      <c r="D6" s="2349" t="s">
        <v>834</v>
      </c>
      <c r="E6" s="1024">
        <f ca="1">IF(F6&lt;B2,"已过期",94010078)</f>
        <v>94010078</v>
      </c>
      <c r="F6" s="1032">
        <v>46387</v>
      </c>
    </row>
    <row r="7" spans="1:6" ht="24" customHeight="1">
      <c r="A7" s="1704" t="s">
        <v>835</v>
      </c>
      <c r="B7" s="1024">
        <f ca="1">IF(C7&lt;B2,"已过期",1120050019)</f>
        <v>1120050019</v>
      </c>
      <c r="C7" s="2346">
        <v>43359</v>
      </c>
      <c r="D7" s="2349" t="s">
        <v>835</v>
      </c>
      <c r="E7" s="1024">
        <f ca="1">IF(F7&lt;B2,"已过期",2002110030)</f>
        <v>2002110030</v>
      </c>
      <c r="F7" s="1032">
        <v>46387</v>
      </c>
    </row>
    <row r="8" spans="1:6" ht="24" customHeight="1">
      <c r="A8" s="1704" t="s">
        <v>836</v>
      </c>
      <c r="B8" s="1024">
        <f ca="1">IF(C8&lt;B2,"已过期",1120000080)</f>
        <v>1120000080</v>
      </c>
      <c r="C8" s="2346">
        <v>43849</v>
      </c>
      <c r="D8" s="2349" t="s">
        <v>836</v>
      </c>
      <c r="E8" s="1024">
        <f ca="1">IF(F8&lt;B2,"已过期",2000110082)</f>
        <v>2000110082</v>
      </c>
      <c r="F8" s="1032">
        <v>46387</v>
      </c>
    </row>
    <row r="9" spans="1:6" ht="24" customHeight="1">
      <c r="A9" s="1704" t="s">
        <v>837</v>
      </c>
      <c r="B9" s="1024">
        <f ca="1">IF(C9&lt;B2,"已过期",1419970001)</f>
        <v>1419970001</v>
      </c>
      <c r="C9" s="2346">
        <v>43867</v>
      </c>
      <c r="D9" s="2349" t="s">
        <v>837</v>
      </c>
      <c r="E9" s="1024">
        <f ca="1">IF(F9&lt;B2,"已过期",2002110125)</f>
        <v>2002110125</v>
      </c>
      <c r="F9" s="1032">
        <v>47118</v>
      </c>
    </row>
    <row r="10" spans="1:6" ht="24" customHeight="1">
      <c r="A10" s="1704" t="s">
        <v>838</v>
      </c>
      <c r="B10" s="1024">
        <f ca="1">IF(C10&lt;B2,"已过期",1120060040)</f>
        <v>1120060040</v>
      </c>
      <c r="C10" s="2346">
        <v>43483</v>
      </c>
      <c r="D10" s="2349" t="s">
        <v>838</v>
      </c>
      <c r="E10" s="1024">
        <f ca="1">IF(F10&lt;B2,"已过期",2004110096)</f>
        <v>2004110096</v>
      </c>
      <c r="F10" s="1032">
        <v>47118</v>
      </c>
    </row>
    <row r="11" spans="1:6" ht="24" customHeight="1">
      <c r="A11" s="1704" t="s">
        <v>839</v>
      </c>
      <c r="B11" s="1024">
        <f ca="1">IF(C11&lt;B2,"已过期",1120100036)</f>
        <v>1120100036</v>
      </c>
      <c r="C11" s="2346">
        <v>43622</v>
      </c>
      <c r="D11" s="2349" t="s">
        <v>839</v>
      </c>
      <c r="E11" s="1024">
        <f ca="1">IF(F11&lt;B2,"已过期",2010110070)</f>
        <v>2010110070</v>
      </c>
      <c r="F11" s="1032">
        <v>47907</v>
      </c>
    </row>
    <row r="12" spans="1:6" ht="24" customHeight="1">
      <c r="A12" s="1704"/>
      <c r="B12" s="1024"/>
      <c r="C12" s="2346"/>
      <c r="D12" s="2349"/>
      <c r="E12" s="1024"/>
      <c r="F12" s="1024"/>
    </row>
    <row r="13" spans="1:6" ht="24" customHeight="1">
      <c r="A13" s="1704" t="s">
        <v>840</v>
      </c>
      <c r="B13" s="1024">
        <f ca="1">IF(C13&lt;B2,"已过期",1120070131)</f>
        <v>1120070131</v>
      </c>
      <c r="C13" s="2346">
        <v>43814</v>
      </c>
      <c r="D13" s="2349" t="s">
        <v>840</v>
      </c>
      <c r="E13" s="1024">
        <v>2014110011</v>
      </c>
      <c r="F13" s="1032">
        <v>49302</v>
      </c>
    </row>
    <row r="14" spans="1:6" ht="24" customHeight="1">
      <c r="A14" s="1704" t="s">
        <v>841</v>
      </c>
      <c r="B14" s="1024">
        <f ca="1">IF(C14&lt;B2,"已过期",1120130020)</f>
        <v>1120130020</v>
      </c>
      <c r="C14" s="2346">
        <v>43622</v>
      </c>
      <c r="D14" s="2349"/>
      <c r="E14" s="1024"/>
      <c r="F14" s="1024"/>
    </row>
    <row r="15" spans="1:6" ht="24" customHeight="1">
      <c r="A15" s="1705" t="s">
        <v>1149</v>
      </c>
      <c r="B15" s="1024">
        <v>1120070085</v>
      </c>
      <c r="C15" s="2346">
        <v>43814</v>
      </c>
      <c r="D15" s="2350" t="s">
        <v>1149</v>
      </c>
      <c r="E15" s="1024">
        <v>2004110128</v>
      </c>
      <c r="F15" s="1025">
        <v>47118</v>
      </c>
    </row>
    <row r="16" spans="1:6" ht="24" customHeight="1">
      <c r="A16" s="1704" t="s">
        <v>842</v>
      </c>
      <c r="B16" s="1024">
        <f ca="1">IF(C16&lt;B2,"已过期",1120140022)</f>
        <v>1120140022</v>
      </c>
      <c r="C16" s="2346">
        <v>44029</v>
      </c>
      <c r="D16" s="2349" t="s">
        <v>842</v>
      </c>
      <c r="E16" s="1024">
        <f ca="1">IF(F16&lt;B2,"已过期",2008110059)</f>
        <v>2008110059</v>
      </c>
      <c r="F16" s="1032">
        <v>47177</v>
      </c>
    </row>
    <row r="17" spans="1:7" ht="24" customHeight="1">
      <c r="A17" s="1704"/>
      <c r="B17" s="1024"/>
      <c r="C17" s="2346"/>
      <c r="D17" s="2349"/>
      <c r="E17" s="1024"/>
      <c r="F17" s="1032"/>
    </row>
    <row r="18" spans="1:7" ht="24" customHeight="1">
      <c r="A18" s="1704"/>
      <c r="B18" s="1024"/>
      <c r="C18" s="2346"/>
      <c r="D18" s="2349"/>
      <c r="E18" s="1024"/>
      <c r="F18" s="1032"/>
    </row>
    <row r="19" spans="1:7" ht="24" customHeight="1">
      <c r="A19" s="1704"/>
      <c r="B19" s="1024"/>
      <c r="C19" s="2346"/>
      <c r="D19" s="2349"/>
      <c r="E19" s="1024"/>
      <c r="F19" s="1024"/>
    </row>
    <row r="20" spans="1:7" ht="24" customHeight="1">
      <c r="A20" s="1704"/>
      <c r="B20" s="1024"/>
      <c r="C20" s="2346"/>
      <c r="D20" s="2349"/>
      <c r="E20" s="1024"/>
      <c r="F20" s="1024"/>
    </row>
    <row r="21" spans="1:7" ht="24" customHeight="1">
      <c r="A21" s="1704"/>
      <c r="B21" s="1024"/>
      <c r="C21" s="2346"/>
      <c r="D21" s="2349" t="s">
        <v>843</v>
      </c>
      <c r="E21" s="1024">
        <f ca="1">IF(F21&lt;B2,"已过期",2011110090)</f>
        <v>2011110090</v>
      </c>
      <c r="F21" s="1032">
        <v>48302</v>
      </c>
    </row>
    <row r="22" spans="1:7" ht="24" customHeight="1">
      <c r="A22" s="1704" t="s">
        <v>844</v>
      </c>
      <c r="B22" s="1024">
        <f ca="1">IF(C22&lt;B2,"已过期",1120020033)</f>
        <v>1120020033</v>
      </c>
      <c r="C22" s="2346">
        <v>43304</v>
      </c>
      <c r="D22" s="2349" t="s">
        <v>844</v>
      </c>
      <c r="E22" s="1024">
        <f ca="1">IF(F22&lt;B2,"已过期",2000110137)</f>
        <v>2000110137</v>
      </c>
      <c r="F22" s="1032">
        <v>46387</v>
      </c>
    </row>
    <row r="23" spans="1:7" ht="24" customHeight="1">
      <c r="A23" s="1704" t="s">
        <v>845</v>
      </c>
      <c r="B23" s="1024">
        <f ca="1">IF(C23&lt;B2,"已过期",1120130048)</f>
        <v>1120130048</v>
      </c>
      <c r="C23" s="2346">
        <v>43686</v>
      </c>
      <c r="D23" s="2349"/>
      <c r="E23" s="1024"/>
      <c r="F23" s="1024"/>
    </row>
    <row r="24" spans="1:7" s="1026" customFormat="1" ht="24" customHeight="1">
      <c r="A24" s="1705" t="s">
        <v>1333</v>
      </c>
      <c r="B24" s="1705" t="s">
        <v>1333</v>
      </c>
      <c r="C24" s="2347" t="s">
        <v>1333</v>
      </c>
      <c r="D24" s="2350" t="s">
        <v>1333</v>
      </c>
      <c r="E24" s="1705" t="s">
        <v>1333</v>
      </c>
      <c r="F24" s="1705" t="s">
        <v>1333</v>
      </c>
    </row>
    <row r="25" spans="1:7" ht="24" customHeight="1">
      <c r="A25" s="3007" t="s">
        <v>846</v>
      </c>
      <c r="B25" s="3007"/>
      <c r="C25" s="3007"/>
      <c r="D25" s="3007"/>
      <c r="E25" s="3007"/>
      <c r="F25" s="3007"/>
      <c r="G25" s="3007"/>
    </row>
    <row r="26" spans="1:7" s="1027" customFormat="1" ht="24" customHeight="1">
      <c r="A26" s="3008" t="s">
        <v>847</v>
      </c>
      <c r="B26" s="3008"/>
      <c r="C26" s="3009"/>
      <c r="D26" s="3010" t="s">
        <v>848</v>
      </c>
      <c r="E26" s="3008"/>
      <c r="F26" s="3008"/>
    </row>
    <row r="27" spans="1:7" s="1029" customFormat="1" ht="24" customHeight="1">
      <c r="A27" s="1028" t="s">
        <v>849</v>
      </c>
      <c r="B27" s="1023" t="s">
        <v>850</v>
      </c>
      <c r="C27" s="2345" t="s">
        <v>851</v>
      </c>
      <c r="D27" s="2353" t="s">
        <v>849</v>
      </c>
      <c r="E27" s="1023" t="s">
        <v>850</v>
      </c>
      <c r="F27" s="1023" t="s">
        <v>851</v>
      </c>
    </row>
    <row r="28" spans="1:7" s="1029" customFormat="1" ht="24" customHeight="1">
      <c r="A28" s="1030" t="s">
        <v>852</v>
      </c>
      <c r="B28" s="1031" t="s">
        <v>853</v>
      </c>
      <c r="C28" s="2351">
        <v>43725</v>
      </c>
      <c r="D28" s="2354" t="s">
        <v>854</v>
      </c>
      <c r="E28" s="1030" t="s">
        <v>855</v>
      </c>
      <c r="F28" s="1060">
        <v>44377</v>
      </c>
    </row>
    <row r="29" spans="1:7" s="1029" customFormat="1" ht="24" customHeight="1">
      <c r="A29" s="1030"/>
      <c r="B29" s="1030"/>
      <c r="C29" s="2352"/>
      <c r="D29" s="2354"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2018-03-07T05:22:50Z</dcterms:modified>
</cp:coreProperties>
</file>