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住宅2024-1-0866 北京市昌平区景文东路1号院17号楼7至8层5单元702号\一审\"/>
    </mc:Choice>
  </mc:AlternateContent>
  <bookViews>
    <workbookView xWindow="-120" yWindow="-120" windowWidth="20736" windowHeight="1116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汇总表" sheetId="87" state="hidden" r:id="rId17"/>
    <sheet name="成本法" sheetId="68" r:id="rId18"/>
    <sheet name="假设开发法" sheetId="12" state="hidden" r:id="rId19"/>
    <sheet name="收益法" sheetId="15" state="hidden" r:id="rId20"/>
    <sheet name="基准地价修正" sheetId="43" r:id="rId21"/>
    <sheet name="结果表" sheetId="9" r:id="rId22"/>
    <sheet name="比较法-住宅" sheetId="21" r:id="rId23"/>
    <sheet name="比较法-住宅12.31" sheetId="86" state="hidden" r:id="rId24"/>
    <sheet name="收益法12.31" sheetId="88" state="hidden" r:id="rId25"/>
    <sheet name="Sheet2" sheetId="89" state="hidden" r:id="rId26"/>
    <sheet name="Sheet5" sheetId="93" r:id="rId27"/>
    <sheet name="拍卖" sheetId="94"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Sheet3" sheetId="95" r:id="rId37"/>
    <sheet name="租金案例" sheetId="80" r:id="rId38"/>
    <sheet name="成本法 (元)" sheetId="69" state="hidden" r:id="rId39"/>
    <sheet name="系统读取表" sheetId="74" r:id="rId40"/>
    <sheet name="比较法-商业" sheetId="33" state="hidden" r:id="rId41"/>
    <sheet name="比较法-办公" sheetId="34"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典型户型修正" sheetId="31"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r:id="rId56"/>
    <sheet name="地价" sheetId="71" state="hidden" r:id="rId57"/>
    <sheet name="存贷款利率" sheetId="73" state="hidden" r:id="rId58"/>
  </sheets>
  <externalReferences>
    <externalReference r:id="rId59"/>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40" hidden="1">'比较法-商业'!$A$1:$L$49</definedName>
    <definedName name="_xlnm._FilterDatabase" localSheetId="22" hidden="1">'比较法-住宅'!$A$1:$L$49</definedName>
    <definedName name="_xlnm._FilterDatabase" localSheetId="23"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40">'比较法-商业'!$A$1:$K$54,'比较法-商业'!$A$57:$M$131</definedName>
    <definedName name="_xlnm.Print_Area" localSheetId="22">'比较法-住宅'!$A$1:$K$54,'比较法-住宅'!$A$57:$M$131</definedName>
    <definedName name="_xlnm.Print_Area" localSheetId="23">'比较法-住宅12.31'!$A$1:$K$54,'比较法-住宅12.31'!$A$57:$M$131</definedName>
    <definedName name="_xlnm.Print_Area" localSheetId="17">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20">基准地价修正!$A$1:$J$44,基准地价修正!$A$47:$H$101,基准地价修正!$R$1:$V$16</definedName>
    <definedName name="_xlnm.Print_Area" localSheetId="18">假设开发法!$A$1:$K$32</definedName>
    <definedName name="_xlnm.Print_Area" localSheetId="19">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4">收益法12.31!$A$1:$F$43,收益法12.31!$H$3:$M$29,收益法12.31!$A$45:$F$71,收益法12.31!$I$46:$N$65</definedName>
    <definedName name="_xlnm.Print_Area" localSheetId="13">'数据-汇总表'!$A$1:$P$32</definedName>
    <definedName name="_xlnm.Print_Area" localSheetId="46">'土地比较法-工业'!$A$1:$K$61,'土地比较法-工业'!$A$64:$M$121</definedName>
    <definedName name="_xlnm.Print_Area" localSheetId="45">'土地比较法-住宅、综合'!$A$1:$K$65,'土地比较法-住宅、综合'!$A$68:$M$131</definedName>
    <definedName name="_xlnm.Print_Area" localSheetId="3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3">'比较法-住宅12.31'!$B$88:$M$88</definedName>
    <definedName name="住宅朝向">'比较法-住宅'!$B$88:$M$88</definedName>
    <definedName name="住宅房型" localSheetId="23">'比较法-住宅12.31'!$B$118:$M$118</definedName>
    <definedName name="住宅房型">'比较法-住宅'!$B$118:$M$118</definedName>
    <definedName name="住宅公共部分装修" localSheetId="23">'比较法-住宅12.31'!$B$109:$M$109</definedName>
    <definedName name="住宅公共部分装修">'比较法-住宅'!$B$109:$M$109</definedName>
    <definedName name="住宅基础设施水平" localSheetId="23">'比较法-住宅12.31'!$B$116:$M$116</definedName>
    <definedName name="住宅基础设施水平">'比较法-住宅'!$B$116:$M$116</definedName>
    <definedName name="住宅建筑结构" localSheetId="23">'比较法-住宅12.31'!$B$105:$M$105</definedName>
    <definedName name="住宅建筑结构">'比较法-住宅'!$B$105:$M$105</definedName>
    <definedName name="住宅建筑类型" localSheetId="23">'比较法-住宅12.31'!$B$100:$M$100</definedName>
    <definedName name="住宅建筑类型">'比较法-住宅'!$B$100:$M$100</definedName>
    <definedName name="住宅建筑品质" localSheetId="23">'比较法-住宅12.31'!$B$107:$M$107</definedName>
    <definedName name="住宅建筑品质">'比较法-住宅'!$B$107:$M$107</definedName>
    <definedName name="住宅交易情况" localSheetId="23">'比较法-住宅12.31'!$A$61:$M$61</definedName>
    <definedName name="住宅交易情况">'比较法-住宅'!$A$61:$M$61</definedName>
    <definedName name="住宅楼层" localSheetId="23">'比较法-住宅12.31'!$B$86:$M$86</definedName>
    <definedName name="住宅楼层">'比较法-住宅'!$B$86:$M$86</definedName>
    <definedName name="住宅内部装修" localSheetId="23">'比较法-住宅12.31'!$B$122:$M$122</definedName>
    <definedName name="住宅内部装修">'比较法-住宅'!$B$122:$M$122</definedName>
    <definedName name="住宅物业管理" localSheetId="23">'比较法-住宅12.31'!$B$114:$M$114</definedName>
    <definedName name="住宅物业管理">'比较法-住宅'!$B$114:$M$114</definedName>
    <definedName name="住宅用途" localSheetId="23">'比较法-住宅12.31'!$B$63:$M$63</definedName>
    <definedName name="住宅用途">'比较法-住宅'!$B$63:$M$63</definedName>
    <definedName name="住宅主力户型面积" localSheetId="23">'比较法-住宅12.31'!$B$120:$M$120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73" i="43" l="1"/>
  <c r="G74" i="43"/>
  <c r="G75" i="43"/>
  <c r="G76" i="43"/>
  <c r="G77" i="43"/>
  <c r="G78" i="43"/>
  <c r="G79" i="43"/>
  <c r="G80" i="43"/>
  <c r="G72" i="43"/>
  <c r="D33" i="43"/>
  <c r="M26" i="80" l="1"/>
  <c r="M20" i="80"/>
  <c r="M21" i="80"/>
  <c r="M19" i="80"/>
  <c r="M22" i="80" s="1"/>
  <c r="I47" i="21"/>
  <c r="G47" i="21"/>
  <c r="E47" i="21"/>
  <c r="I44" i="21"/>
  <c r="G44" i="21"/>
  <c r="E44" i="21"/>
  <c r="I33" i="21"/>
  <c r="G33" i="21"/>
  <c r="E33" i="21"/>
  <c r="F90" i="21"/>
  <c r="E90" i="21"/>
  <c r="D90" i="21"/>
  <c r="I7" i="21"/>
  <c r="G7" i="21"/>
  <c r="E7" i="21"/>
  <c r="I5" i="21"/>
  <c r="G5" i="21"/>
  <c r="E5" i="21"/>
  <c r="C5" i="21"/>
  <c r="G3" i="94"/>
  <c r="E3" i="94"/>
  <c r="F4" i="94" s="1"/>
  <c r="M3" i="80"/>
  <c r="M4" i="80"/>
  <c r="M5" i="80"/>
  <c r="M6" i="80"/>
  <c r="M7" i="80"/>
  <c r="M8" i="80"/>
  <c r="M9" i="80"/>
  <c r="M10" i="80"/>
  <c r="M11" i="80"/>
  <c r="M12" i="80"/>
  <c r="M13" i="80"/>
  <c r="M14" i="80"/>
  <c r="M15" i="80"/>
  <c r="N19" i="1"/>
  <c r="D3" i="4"/>
  <c r="C126" i="21"/>
  <c r="E126" i="21"/>
  <c r="C90" i="21"/>
  <c r="I28" i="21"/>
  <c r="G28" i="21"/>
  <c r="W86" i="85"/>
  <c r="E3" i="87"/>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c r="K139" i="86"/>
  <c r="B130" i="86"/>
  <c r="B128" i="86"/>
  <c r="F45" i="86"/>
  <c r="B126" i="86"/>
  <c r="D125" i="86"/>
  <c r="E125" i="86"/>
  <c r="D123" i="86"/>
  <c r="E123" i="86" s="1"/>
  <c r="D119" i="86"/>
  <c r="E119" i="86"/>
  <c r="F119" i="86" s="1"/>
  <c r="G119" i="86" s="1"/>
  <c r="H119" i="86" s="1"/>
  <c r="I119" i="86" s="1"/>
  <c r="J119" i="86" s="1"/>
  <c r="K119" i="86" s="1"/>
  <c r="L119" i="86" s="1"/>
  <c r="M119" i="86" s="1"/>
  <c r="D117" i="86"/>
  <c r="E117" i="86"/>
  <c r="F117" i="86" s="1"/>
  <c r="G117" i="86" s="1"/>
  <c r="D115" i="86"/>
  <c r="E115" i="86" s="1"/>
  <c r="F115" i="86" s="1"/>
  <c r="G115" i="86" s="1"/>
  <c r="H115" i="86" s="1"/>
  <c r="I115" i="86" s="1"/>
  <c r="J115" i="86" s="1"/>
  <c r="K115" i="86" s="1"/>
  <c r="L115" i="86" s="1"/>
  <c r="M115" i="86" s="1"/>
  <c r="D113" i="86"/>
  <c r="E113" i="86"/>
  <c r="F113" i="86" s="1"/>
  <c r="G113" i="86" s="1"/>
  <c r="F37" i="86" s="1"/>
  <c r="H111" i="86"/>
  <c r="G111" i="86"/>
  <c r="F111" i="86"/>
  <c r="E111" i="86"/>
  <c r="D111" i="86"/>
  <c r="C111" i="86"/>
  <c r="D110" i="86"/>
  <c r="E110" i="86"/>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c r="F101" i="86" s="1"/>
  <c r="G101" i="86" s="1"/>
  <c r="H101" i="86" s="1"/>
  <c r="J32" i="86" s="1"/>
  <c r="B98" i="86"/>
  <c r="B96" i="86"/>
  <c r="B94" i="86"/>
  <c r="B92" i="86"/>
  <c r="B90" i="86"/>
  <c r="D89" i="86"/>
  <c r="E89" i="86"/>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I54" i="86"/>
  <c r="J54" i="86"/>
  <c r="G54" i="86"/>
  <c r="H54" i="86"/>
  <c r="E54" i="86"/>
  <c r="F54" i="86"/>
  <c r="P49" i="86"/>
  <c r="P48" i="86"/>
  <c r="K48" i="86"/>
  <c r="V47" i="86"/>
  <c r="T47" i="86"/>
  <c r="R47" i="86"/>
  <c r="P47" i="86"/>
  <c r="Q46" i="86"/>
  <c r="Z46" i="86"/>
  <c r="J46" i="86"/>
  <c r="AC46" i="86"/>
  <c r="H46" i="86"/>
  <c r="U46" i="86" s="1"/>
  <c r="F46" i="86"/>
  <c r="AA46" i="86"/>
  <c r="Q45" i="86"/>
  <c r="Z45" i="86" s="1"/>
  <c r="J45" i="86"/>
  <c r="AC45" i="86"/>
  <c r="H45" i="86"/>
  <c r="AB45" i="86" s="1"/>
  <c r="Q44" i="86"/>
  <c r="Z44" i="86"/>
  <c r="J44" i="86"/>
  <c r="AC44" i="86" s="1"/>
  <c r="H44" i="86"/>
  <c r="AB44" i="86"/>
  <c r="F44" i="86"/>
  <c r="AA44" i="86" s="1"/>
  <c r="Q43" i="86"/>
  <c r="Z43" i="86"/>
  <c r="J43" i="86"/>
  <c r="AC43" i="86" s="1"/>
  <c r="Q42" i="86"/>
  <c r="Z42" i="86"/>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c r="J38" i="86"/>
  <c r="AC38" i="86"/>
  <c r="H38" i="86"/>
  <c r="AB38" i="86"/>
  <c r="F38" i="86"/>
  <c r="AA38" i="86"/>
  <c r="Q37" i="86"/>
  <c r="Z37" i="86"/>
  <c r="Q36" i="86"/>
  <c r="Z36" i="86"/>
  <c r="Q35" i="86"/>
  <c r="Z35" i="86"/>
  <c r="J35" i="86"/>
  <c r="AC35" i="86"/>
  <c r="H35" i="86"/>
  <c r="AB35" i="86"/>
  <c r="F35" i="86"/>
  <c r="AA35" i="86"/>
  <c r="W34" i="86"/>
  <c r="Q34" i="86"/>
  <c r="Z34" i="86"/>
  <c r="J34" i="86"/>
  <c r="AC34" i="86" s="1"/>
  <c r="H34" i="86"/>
  <c r="AB34" i="86" s="1"/>
  <c r="F34" i="86"/>
  <c r="AA34" i="86" s="1"/>
  <c r="Q33" i="86"/>
  <c r="Z33" i="86" s="1"/>
  <c r="Q32" i="86"/>
  <c r="Z32" i="86" s="1"/>
  <c r="Q31" i="86"/>
  <c r="Z31" i="86" s="1"/>
  <c r="J31" i="86"/>
  <c r="W31" i="86" s="1"/>
  <c r="AC31" i="86"/>
  <c r="W30" i="86"/>
  <c r="Q30" i="86"/>
  <c r="Z30" i="86"/>
  <c r="J30" i="86"/>
  <c r="AC30" i="86" s="1"/>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AA27" i="86" s="1"/>
  <c r="Z26" i="86"/>
  <c r="Q26" i="86"/>
  <c r="Q25" i="86"/>
  <c r="Z25" i="86" s="1"/>
  <c r="J25" i="86"/>
  <c r="W25" i="86" s="1"/>
  <c r="H25" i="86"/>
  <c r="AB25" i="86" s="1"/>
  <c r="F25" i="86"/>
  <c r="S25" i="86" s="1"/>
  <c r="Q23" i="86"/>
  <c r="Z23" i="86" s="1"/>
  <c r="J23" i="86"/>
  <c r="AC23" i="86" s="1"/>
  <c r="H23" i="86"/>
  <c r="AB23" i="86" s="1"/>
  <c r="F23" i="86"/>
  <c r="AA23" i="86" s="1"/>
  <c r="C23" i="86"/>
  <c r="Q21" i="86"/>
  <c r="Z21" i="86"/>
  <c r="J21" i="86"/>
  <c r="AC21" i="86"/>
  <c r="H21" i="86"/>
  <c r="AB21" i="86"/>
  <c r="F21" i="86"/>
  <c r="AA21" i="86"/>
  <c r="C21" i="86"/>
  <c r="Q19" i="86"/>
  <c r="Z19" i="86" s="1"/>
  <c r="J19" i="86"/>
  <c r="AC19" i="86" s="1"/>
  <c r="H19" i="86"/>
  <c r="F19" i="86"/>
  <c r="AA19" i="86" s="1"/>
  <c r="C19" i="86"/>
  <c r="Q17" i="86"/>
  <c r="Z17" i="86"/>
  <c r="C17" i="86"/>
  <c r="Q15" i="86"/>
  <c r="Z15" i="86" s="1"/>
  <c r="J15" i="86"/>
  <c r="AC15" i="86" s="1"/>
  <c r="H15" i="86"/>
  <c r="AB15" i="86" s="1"/>
  <c r="F15" i="86"/>
  <c r="AA15" i="86" s="1"/>
  <c r="C15" i="86"/>
  <c r="Q14" i="86"/>
  <c r="Z14" i="86"/>
  <c r="J14" i="86"/>
  <c r="AC14" i="86"/>
  <c r="H14" i="86"/>
  <c r="AB14" i="86"/>
  <c r="F14" i="86"/>
  <c r="AA14" i="86"/>
  <c r="Q13" i="86"/>
  <c r="Z13" i="86"/>
  <c r="J13" i="86"/>
  <c r="AC13" i="86"/>
  <c r="H13" i="86"/>
  <c r="AB13" i="86"/>
  <c r="F13" i="86"/>
  <c r="AA13" i="86"/>
  <c r="Q12" i="86"/>
  <c r="Z12" i="86"/>
  <c r="J12" i="86"/>
  <c r="AC12" i="86"/>
  <c r="H12" i="86"/>
  <c r="AB12" i="86"/>
  <c r="F12" i="86"/>
  <c r="AA12" i="86"/>
  <c r="Q11" i="86"/>
  <c r="Z11" i="86"/>
  <c r="J11" i="86"/>
  <c r="AC11" i="86"/>
  <c r="H11" i="86"/>
  <c r="AB11" i="86" s="1"/>
  <c r="F11" i="86"/>
  <c r="AA11" i="86"/>
  <c r="Q10" i="86"/>
  <c r="Z10" i="86" s="1"/>
  <c r="J10" i="86"/>
  <c r="AC10" i="86"/>
  <c r="H10" i="86"/>
  <c r="AB10" i="86" s="1"/>
  <c r="F10" i="86"/>
  <c r="AA10" i="86"/>
  <c r="Q9" i="86"/>
  <c r="Z9" i="86" s="1"/>
  <c r="J9" i="86"/>
  <c r="AC9" i="86"/>
  <c r="H9" i="86"/>
  <c r="AB9" i="86" s="1"/>
  <c r="F9" i="86"/>
  <c r="AA9" i="86"/>
  <c r="S8" i="86"/>
  <c r="J8" i="86"/>
  <c r="AC8" i="86" s="1"/>
  <c r="H8" i="86"/>
  <c r="AB8" i="86" s="1"/>
  <c r="U8" i="86"/>
  <c r="F8" i="86"/>
  <c r="AA8" i="86" s="1"/>
  <c r="C58" i="86"/>
  <c r="D58" i="86" s="1"/>
  <c r="E58" i="86" s="1"/>
  <c r="B2" i="86"/>
  <c r="D5" i="9"/>
  <c r="S45" i="86"/>
  <c r="AA45" i="86"/>
  <c r="AC25" i="86"/>
  <c r="H27" i="86"/>
  <c r="U27" i="86" s="1"/>
  <c r="AA29" i="86"/>
  <c r="W35" i="86"/>
  <c r="W43" i="86"/>
  <c r="J27" i="86"/>
  <c r="AC27" i="86" s="1"/>
  <c r="AB29" i="86"/>
  <c r="W39" i="86"/>
  <c r="D22" i="88"/>
  <c r="L46" i="88"/>
  <c r="D23" i="88"/>
  <c r="W8" i="86"/>
  <c r="AA25" i="86"/>
  <c r="K145" i="86"/>
  <c r="P61" i="88"/>
  <c r="AB27" i="86"/>
  <c r="AA28" i="86"/>
  <c r="F58" i="86"/>
  <c r="I101" i="86"/>
  <c r="J101" i="86" s="1"/>
  <c r="K101" i="86" s="1"/>
  <c r="L101" i="86" s="1"/>
  <c r="M101" i="86" s="1"/>
  <c r="H32" i="86"/>
  <c r="AB32" i="86" s="1"/>
  <c r="F32" i="86"/>
  <c r="J26" i="86"/>
  <c r="J36" i="86"/>
  <c r="G110" i="86"/>
  <c r="H110" i="86" s="1"/>
  <c r="I110" i="86" s="1"/>
  <c r="J110" i="86" s="1"/>
  <c r="K110" i="86"/>
  <c r="L110" i="86"/>
  <c r="M110" i="86" s="1"/>
  <c r="S11" i="86"/>
  <c r="U12" i="86"/>
  <c r="U25" i="86"/>
  <c r="S41" i="86"/>
  <c r="H113" i="86"/>
  <c r="J37" i="86"/>
  <c r="AC37" i="86" s="1"/>
  <c r="S10" i="86"/>
  <c r="W12" i="86"/>
  <c r="S14" i="86"/>
  <c r="S15" i="86"/>
  <c r="F17" i="86"/>
  <c r="S19" i="86"/>
  <c r="S21" i="86"/>
  <c r="S23" i="86"/>
  <c r="S27" i="86"/>
  <c r="U30" i="86"/>
  <c r="U34" i="86"/>
  <c r="W38" i="86"/>
  <c r="H31" i="86"/>
  <c r="U31" i="86" s="1"/>
  <c r="F31" i="86"/>
  <c r="AA31" i="86" s="1"/>
  <c r="W9" i="86"/>
  <c r="W13" i="86"/>
  <c r="U10" i="86"/>
  <c r="W11" i="86"/>
  <c r="S13" i="86"/>
  <c r="U14" i="86"/>
  <c r="U15" i="86"/>
  <c r="H17" i="86"/>
  <c r="U21" i="86"/>
  <c r="U23" i="86"/>
  <c r="H37" i="86"/>
  <c r="F125" i="86"/>
  <c r="G125" i="86"/>
  <c r="H43" i="86"/>
  <c r="F43" i="86"/>
  <c r="S9" i="86"/>
  <c r="U9" i="86"/>
  <c r="W10" i="86"/>
  <c r="S12" i="86"/>
  <c r="U13" i="86"/>
  <c r="W14" i="86"/>
  <c r="W15" i="86"/>
  <c r="J17" i="86"/>
  <c r="AC17" i="86" s="1"/>
  <c r="W19" i="86"/>
  <c r="W21" i="86"/>
  <c r="W23" i="86"/>
  <c r="F42" i="86"/>
  <c r="AA42" i="86" s="1"/>
  <c r="S40" i="86"/>
  <c r="U41" i="86"/>
  <c r="S44" i="86"/>
  <c r="U45" i="86"/>
  <c r="W46" i="86"/>
  <c r="K144" i="86"/>
  <c r="U28" i="86"/>
  <c r="W29" i="86"/>
  <c r="S35" i="86"/>
  <c r="S39" i="86"/>
  <c r="U40" i="86"/>
  <c r="W41" i="86"/>
  <c r="U44" i="86"/>
  <c r="W45" i="86"/>
  <c r="K141" i="86"/>
  <c r="W28" i="86"/>
  <c r="S30" i="86"/>
  <c r="S34" i="86"/>
  <c r="U35" i="86"/>
  <c r="S38" i="86"/>
  <c r="U39" i="86"/>
  <c r="W40" i="86"/>
  <c r="W44" i="86"/>
  <c r="S46" i="86"/>
  <c r="W27" i="86"/>
  <c r="AB17" i="86"/>
  <c r="U17" i="86"/>
  <c r="AA37" i="86"/>
  <c r="S37" i="86"/>
  <c r="U32" i="86"/>
  <c r="W37" i="86"/>
  <c r="AB31" i="86"/>
  <c r="W26" i="86"/>
  <c r="AC26" i="86"/>
  <c r="S42" i="86"/>
  <c r="AA17" i="86"/>
  <c r="S17" i="86"/>
  <c r="H26" i="86"/>
  <c r="AC32" i="86"/>
  <c r="W32" i="86"/>
  <c r="AB26" i="86"/>
  <c r="U26" i="86"/>
  <c r="B55" i="1"/>
  <c r="B56" i="1"/>
  <c r="B57" i="1"/>
  <c r="B58" i="1"/>
  <c r="B59" i="1"/>
  <c r="B54" i="1"/>
  <c r="G50" i="83"/>
  <c r="C50" i="83"/>
  <c r="O20" i="83"/>
  <c r="N20" i="83"/>
  <c r="M20" i="83"/>
  <c r="L20" i="83"/>
  <c r="K20" i="83"/>
  <c r="J20" i="83"/>
  <c r="I20" i="83"/>
  <c r="H20" i="83"/>
  <c r="G20" i="83"/>
  <c r="F20" i="83"/>
  <c r="E20" i="83"/>
  <c r="D20" i="83"/>
  <c r="D21" i="83" s="1"/>
  <c r="C20" i="83"/>
  <c r="C21" i="83" s="1"/>
  <c r="C22" i="83" s="1"/>
  <c r="B20" i="83"/>
  <c r="D13" i="83"/>
  <c r="E13" i="83"/>
  <c r="F13" i="83"/>
  <c r="G13" i="83"/>
  <c r="H13" i="83"/>
  <c r="I13" i="83"/>
  <c r="J13" i="83"/>
  <c r="K13" i="83"/>
  <c r="L13" i="83"/>
  <c r="M13" i="83"/>
  <c r="N13" i="83"/>
  <c r="O13" i="83"/>
  <c r="P13" i="83"/>
  <c r="Q13" i="83"/>
  <c r="R13" i="83"/>
  <c r="S13" i="83"/>
  <c r="T13" i="83"/>
  <c r="U13" i="83"/>
  <c r="V13" i="83"/>
  <c r="W13" i="83"/>
  <c r="X13" i="83"/>
  <c r="A13" i="83"/>
  <c r="C13" i="83"/>
  <c r="C14" i="83" s="1"/>
  <c r="D14" i="83" s="1"/>
  <c r="B13" i="83"/>
  <c r="B14" i="83"/>
  <c r="B15" i="83"/>
  <c r="M2" i="80"/>
  <c r="O20" i="1"/>
  <c r="N21" i="1"/>
  <c r="N6" i="1"/>
  <c r="Y6" i="1" s="1"/>
  <c r="F19" i="6"/>
  <c r="B7" i="78"/>
  <c r="B6" i="78"/>
  <c r="C6" i="78" s="1"/>
  <c r="B21" i="83"/>
  <c r="I7" i="79"/>
  <c r="C15" i="83"/>
  <c r="B22" i="83"/>
  <c r="I29" i="79"/>
  <c r="I28" i="79"/>
  <c r="N28" i="79"/>
  <c r="M28" i="79"/>
  <c r="P28" i="79" s="1"/>
  <c r="L28" i="79"/>
  <c r="N29" i="79"/>
  <c r="M29" i="79"/>
  <c r="P29" i="79" s="1"/>
  <c r="L29" i="79"/>
  <c r="O6" i="79"/>
  <c r="N6" i="79"/>
  <c r="M6" i="79"/>
  <c r="P6" i="79" s="1"/>
  <c r="L6" i="79"/>
  <c r="K6" i="79"/>
  <c r="O7" i="79"/>
  <c r="N7" i="79"/>
  <c r="M7" i="79"/>
  <c r="P7" i="79"/>
  <c r="L7" i="79"/>
  <c r="K7" i="79"/>
  <c r="G14" i="73"/>
  <c r="F14" i="73"/>
  <c r="E14" i="73"/>
  <c r="L30" i="79"/>
  <c r="M30" i="79"/>
  <c r="P30" i="79"/>
  <c r="N30" i="79"/>
  <c r="L31" i="79"/>
  <c r="M31" i="79"/>
  <c r="P31" i="79"/>
  <c r="N31" i="79"/>
  <c r="L32" i="79"/>
  <c r="M32" i="79"/>
  <c r="N32" i="79"/>
  <c r="I30" i="79"/>
  <c r="I31" i="79"/>
  <c r="I32" i="79"/>
  <c r="I8" i="79"/>
  <c r="I9" i="79"/>
  <c r="I10" i="79"/>
  <c r="K8" i="79"/>
  <c r="L8" i="79"/>
  <c r="M8" i="79"/>
  <c r="P8" i="79" s="1"/>
  <c r="N8" i="79"/>
  <c r="U8" i="79" s="1"/>
  <c r="O8" i="79"/>
  <c r="K9" i="79"/>
  <c r="L9" i="79"/>
  <c r="M9" i="79"/>
  <c r="N9" i="79"/>
  <c r="O9" i="79"/>
  <c r="K10" i="79"/>
  <c r="L10" i="79"/>
  <c r="M10" i="79"/>
  <c r="P10" i="79" s="1"/>
  <c r="N10" i="79"/>
  <c r="O10" i="79"/>
  <c r="B10" i="74"/>
  <c r="AH5" i="71"/>
  <c r="AG5" i="71"/>
  <c r="AE5" i="71"/>
  <c r="AF5" i="71" s="1"/>
  <c r="AD5" i="71"/>
  <c r="AB5" i="71"/>
  <c r="AA5" i="71"/>
  <c r="Y5" i="71"/>
  <c r="Z5" i="71" s="1"/>
  <c r="X5" i="71"/>
  <c r="Q5" i="71"/>
  <c r="P5" i="71"/>
  <c r="O5" i="71"/>
  <c r="N5" i="71"/>
  <c r="AH6" i="71"/>
  <c r="AG6" i="71"/>
  <c r="AE6" i="71"/>
  <c r="AF6" i="71"/>
  <c r="AD6" i="71"/>
  <c r="AB6" i="71"/>
  <c r="AA6" i="71"/>
  <c r="Y6" i="71"/>
  <c r="Z6" i="71"/>
  <c r="X6" i="71"/>
  <c r="Q6" i="71"/>
  <c r="P6" i="71"/>
  <c r="O6" i="71"/>
  <c r="N6" i="71"/>
  <c r="AH7" i="71"/>
  <c r="AG7" i="71"/>
  <c r="AE7" i="71"/>
  <c r="AF7" i="71" s="1"/>
  <c r="AD7" i="71"/>
  <c r="AB7" i="71"/>
  <c r="AA7" i="71"/>
  <c r="Y7" i="71"/>
  <c r="Z7" i="71" s="1"/>
  <c r="X7" i="71"/>
  <c r="Q7" i="71"/>
  <c r="P7" i="71"/>
  <c r="O7" i="71"/>
  <c r="N7" i="71"/>
  <c r="C7" i="78"/>
  <c r="C5" i="78"/>
  <c r="F13" i="1"/>
  <c r="D13" i="1"/>
  <c r="D12" i="1"/>
  <c r="D11" i="1"/>
  <c r="D10" i="1"/>
  <c r="D9" i="1"/>
  <c r="D8" i="1"/>
  <c r="D7" i="1"/>
  <c r="D6" i="1"/>
  <c r="I2" i="43"/>
  <c r="M1" i="43" s="1"/>
  <c r="F116" i="43"/>
  <c r="N111" i="43"/>
  <c r="N112" i="43" s="1"/>
  <c r="M111" i="43"/>
  <c r="M112" i="43"/>
  <c r="L111" i="43"/>
  <c r="L112" i="43" s="1"/>
  <c r="K111" i="43"/>
  <c r="K112" i="43"/>
  <c r="J111" i="43"/>
  <c r="J112" i="43" s="1"/>
  <c r="I111" i="43"/>
  <c r="I112" i="43"/>
  <c r="H111" i="43"/>
  <c r="H112" i="43" s="1"/>
  <c r="G111" i="43"/>
  <c r="G112" i="43"/>
  <c r="F111" i="43"/>
  <c r="F112" i="43" s="1"/>
  <c r="E111" i="43"/>
  <c r="E112" i="43"/>
  <c r="D111" i="43"/>
  <c r="D112" i="43" s="1"/>
  <c r="C111" i="43"/>
  <c r="C112" i="43"/>
  <c r="M101" i="43"/>
  <c r="N101" i="43" s="1"/>
  <c r="K101" i="43"/>
  <c r="J101" i="43"/>
  <c r="M100" i="43"/>
  <c r="N100" i="43" s="1"/>
  <c r="K100" i="43"/>
  <c r="J100" i="43"/>
  <c r="M99" i="43"/>
  <c r="N99" i="43" s="1"/>
  <c r="K99" i="43"/>
  <c r="J99" i="43"/>
  <c r="M98" i="43"/>
  <c r="N98" i="43" s="1"/>
  <c r="K98" i="43"/>
  <c r="J98" i="43"/>
  <c r="M97" i="43"/>
  <c r="N97" i="43" s="1"/>
  <c r="K97" i="43"/>
  <c r="J97" i="43"/>
  <c r="M96" i="43"/>
  <c r="N96" i="43" s="1"/>
  <c r="K96" i="43"/>
  <c r="J96" i="43"/>
  <c r="M95" i="43"/>
  <c r="N95" i="43" s="1"/>
  <c r="K95" i="43"/>
  <c r="J95" i="43"/>
  <c r="M94" i="43"/>
  <c r="N94" i="43" s="1"/>
  <c r="K94" i="43"/>
  <c r="J94" i="43"/>
  <c r="M93" i="43"/>
  <c r="N93" i="43" s="1"/>
  <c r="K93" i="43"/>
  <c r="J93" i="43"/>
  <c r="B95" i="43"/>
  <c r="D101" i="43"/>
  <c r="D100" i="43"/>
  <c r="D99" i="43"/>
  <c r="D98" i="43"/>
  <c r="D97" i="43"/>
  <c r="D96" i="43"/>
  <c r="D95" i="43"/>
  <c r="E93" i="43" s="1"/>
  <c r="B91" i="43" s="1"/>
  <c r="D94" i="43"/>
  <c r="D93" i="43"/>
  <c r="Y10" i="43"/>
  <c r="AJ9" i="43"/>
  <c r="AJ10" i="43" s="1"/>
  <c r="AI9" i="43"/>
  <c r="AI10" i="43" s="1"/>
  <c r="AH9" i="43"/>
  <c r="AH10" i="43"/>
  <c r="AG9" i="43"/>
  <c r="AG10" i="43" s="1"/>
  <c r="AF9" i="43"/>
  <c r="AF10" i="43" s="1"/>
  <c r="AE9" i="43"/>
  <c r="AE10" i="43" s="1"/>
  <c r="AD9" i="43"/>
  <c r="AD10" i="43" s="1"/>
  <c r="AC9" i="43"/>
  <c r="AC10" i="43" s="1"/>
  <c r="AB9" i="43"/>
  <c r="AB10" i="43"/>
  <c r="AA9" i="43"/>
  <c r="AA10" i="43" s="1"/>
  <c r="Z9" i="43"/>
  <c r="Z10" i="43"/>
  <c r="M23" i="43"/>
  <c r="G24" i="43"/>
  <c r="G18" i="43" s="1"/>
  <c r="I23" i="43"/>
  <c r="G17" i="43"/>
  <c r="C13" i="43"/>
  <c r="G2" i="43"/>
  <c r="C27" i="43" s="1"/>
  <c r="AB40" i="79"/>
  <c r="AA40" i="79"/>
  <c r="Z40" i="79"/>
  <c r="W40" i="79"/>
  <c r="N40" i="79"/>
  <c r="M40" i="79"/>
  <c r="P40" i="79" s="1"/>
  <c r="L40" i="79"/>
  <c r="I40" i="79"/>
  <c r="AD40" i="79" s="1"/>
  <c r="AB39" i="79"/>
  <c r="AA39" i="79"/>
  <c r="Z39" i="79"/>
  <c r="N39" i="79"/>
  <c r="U39" i="79" s="1"/>
  <c r="M39" i="79"/>
  <c r="T39" i="79" s="1"/>
  <c r="W39" i="79" s="1"/>
  <c r="L39" i="79"/>
  <c r="I39" i="79"/>
  <c r="AD39" i="79"/>
  <c r="AB38" i="79"/>
  <c r="AA38" i="79"/>
  <c r="Z38" i="79"/>
  <c r="N38" i="79"/>
  <c r="U38" i="79"/>
  <c r="M38" i="79"/>
  <c r="L38" i="79"/>
  <c r="I38" i="79"/>
  <c r="AB37" i="79"/>
  <c r="AA37" i="79"/>
  <c r="Z37" i="79"/>
  <c r="N37" i="79"/>
  <c r="U37" i="79" s="1"/>
  <c r="M37" i="79"/>
  <c r="L37" i="79"/>
  <c r="I37" i="79"/>
  <c r="AB36" i="79"/>
  <c r="AA36" i="79"/>
  <c r="Z36" i="79"/>
  <c r="N36" i="79"/>
  <c r="M36" i="79"/>
  <c r="L36" i="79"/>
  <c r="I36" i="79"/>
  <c r="AB35" i="79"/>
  <c r="AA35" i="79"/>
  <c r="Z35" i="79"/>
  <c r="Z25" i="79" s="1"/>
  <c r="N35" i="79"/>
  <c r="M35" i="79"/>
  <c r="L35" i="79"/>
  <c r="I35" i="79"/>
  <c r="AB34" i="79"/>
  <c r="AA34" i="79"/>
  <c r="Z34" i="79"/>
  <c r="N34" i="79"/>
  <c r="U30" i="79" s="1"/>
  <c r="M34" i="79"/>
  <c r="L34" i="79"/>
  <c r="I34" i="79"/>
  <c r="AB33" i="79"/>
  <c r="AA33" i="79"/>
  <c r="Z33" i="79"/>
  <c r="N33" i="79"/>
  <c r="M33" i="79"/>
  <c r="L33" i="79"/>
  <c r="I33" i="79"/>
  <c r="AB27" i="79"/>
  <c r="AB25" i="79" s="1"/>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c r="Z17" i="79"/>
  <c r="Y17" i="79"/>
  <c r="O17" i="79"/>
  <c r="V16" i="79" s="1"/>
  <c r="V17" i="79"/>
  <c r="N17" i="79"/>
  <c r="U17" i="79" s="1"/>
  <c r="M17" i="79"/>
  <c r="L17" i="79"/>
  <c r="K17" i="79"/>
  <c r="R17" i="79"/>
  <c r="I17" i="79"/>
  <c r="AC16" i="79"/>
  <c r="AB16" i="79"/>
  <c r="AA16" i="79"/>
  <c r="AD16" i="79"/>
  <c r="Z16" i="79"/>
  <c r="Y16" i="79"/>
  <c r="O16" i="79"/>
  <c r="N16" i="79"/>
  <c r="U16" i="79" s="1"/>
  <c r="M16" i="79"/>
  <c r="L16" i="79"/>
  <c r="K16" i="79"/>
  <c r="R16" i="79" s="1"/>
  <c r="I16" i="79"/>
  <c r="AC15" i="79"/>
  <c r="AC3" i="79" s="1"/>
  <c r="AB15" i="79"/>
  <c r="AA15" i="79"/>
  <c r="AD15" i="79"/>
  <c r="Z15" i="79"/>
  <c r="Y15" i="79"/>
  <c r="O15" i="79"/>
  <c r="N15" i="79"/>
  <c r="U15" i="79" s="1"/>
  <c r="M15" i="79"/>
  <c r="L15" i="79"/>
  <c r="K15" i="79"/>
  <c r="R6" i="79" s="1"/>
  <c r="I15" i="79"/>
  <c r="AC14" i="79"/>
  <c r="AB14" i="79"/>
  <c r="AA14" i="79"/>
  <c r="AA3" i="79" s="1"/>
  <c r="AD3" i="79" s="1"/>
  <c r="Z14" i="79"/>
  <c r="Y14" i="79"/>
  <c r="O14" i="79"/>
  <c r="V14" i="79" s="1"/>
  <c r="N14" i="79"/>
  <c r="M14" i="79"/>
  <c r="L14" i="79"/>
  <c r="K14" i="79"/>
  <c r="I14" i="79"/>
  <c r="AC13" i="79"/>
  <c r="AB13" i="79"/>
  <c r="AB3" i="79" s="1"/>
  <c r="AA13" i="79"/>
  <c r="AD13" i="79" s="1"/>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c r="Z11" i="79"/>
  <c r="Y11" i="79"/>
  <c r="O11" i="79"/>
  <c r="N11" i="79"/>
  <c r="U11" i="79" s="1"/>
  <c r="M11" i="79"/>
  <c r="L11" i="79"/>
  <c r="K11" i="79"/>
  <c r="I11" i="79"/>
  <c r="AC5" i="79"/>
  <c r="AB5" i="79"/>
  <c r="AA5" i="79"/>
  <c r="AD5" i="79"/>
  <c r="Z5" i="79"/>
  <c r="Y5" i="79"/>
  <c r="O5" i="79"/>
  <c r="N5" i="79"/>
  <c r="M5" i="79"/>
  <c r="L5" i="79"/>
  <c r="K5" i="79"/>
  <c r="R3" i="79" s="1"/>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V3" i="79"/>
  <c r="U34" i="79"/>
  <c r="R15" i="79"/>
  <c r="Y3" i="79"/>
  <c r="V13" i="79"/>
  <c r="Z3" i="79"/>
  <c r="U3" i="79"/>
  <c r="U36" i="79"/>
  <c r="AD37" i="79"/>
  <c r="T34" i="79"/>
  <c r="U35" i="79"/>
  <c r="T31" i="79"/>
  <c r="W31" i="79" s="1"/>
  <c r="T29" i="79"/>
  <c r="W29" i="79" s="1"/>
  <c r="T37" i="79"/>
  <c r="W37" i="79" s="1"/>
  <c r="S33" i="79"/>
  <c r="S32" i="79"/>
  <c r="U31" i="79"/>
  <c r="U32" i="79"/>
  <c r="T38" i="79"/>
  <c r="W38" i="79" s="1"/>
  <c r="P15" i="79"/>
  <c r="T15" i="79"/>
  <c r="W15" i="79" s="1"/>
  <c r="R11" i="79"/>
  <c r="P13" i="79"/>
  <c r="T13" i="79"/>
  <c r="W13" i="79" s="1"/>
  <c r="P17" i="79"/>
  <c r="T17" i="79"/>
  <c r="W17" i="79"/>
  <c r="P11" i="79"/>
  <c r="T5" i="79"/>
  <c r="W5" i="79"/>
  <c r="V9" i="79"/>
  <c r="U9" i="79"/>
  <c r="U5" i="79"/>
  <c r="P14" i="79"/>
  <c r="P16" i="79"/>
  <c r="W34" i="79"/>
  <c r="P12" i="79"/>
  <c r="M3" i="43"/>
  <c r="F93" i="43"/>
  <c r="H98" i="43" s="1"/>
  <c r="P27" i="79"/>
  <c r="P34" i="79"/>
  <c r="P36" i="79"/>
  <c r="P38" i="79"/>
  <c r="P33" i="79"/>
  <c r="P35" i="79"/>
  <c r="P39" i="79"/>
  <c r="E25" i="78"/>
  <c r="E24" i="78"/>
  <c r="F23" i="78"/>
  <c r="F24" i="78"/>
  <c r="G24" i="78" s="1"/>
  <c r="E23" i="78"/>
  <c r="E22" i="78"/>
  <c r="G22" i="78"/>
  <c r="F12" i="78"/>
  <c r="C15" i="78" s="1"/>
  <c r="F11" i="78"/>
  <c r="C18" i="78" s="1"/>
  <c r="D7" i="78"/>
  <c r="D6" i="78"/>
  <c r="D5" i="78"/>
  <c r="G23" i="78"/>
  <c r="B15" i="78"/>
  <c r="B18" i="78"/>
  <c r="G16" i="73"/>
  <c r="F16" i="73"/>
  <c r="E16" i="73"/>
  <c r="G17" i="73"/>
  <c r="F17" i="73"/>
  <c r="E17" i="73"/>
  <c r="G18" i="73"/>
  <c r="F18" i="73"/>
  <c r="E18" i="73"/>
  <c r="G13" i="73"/>
  <c r="F13" i="73"/>
  <c r="E13" i="73"/>
  <c r="AH8" i="71"/>
  <c r="AG8" i="71"/>
  <c r="AE8" i="71"/>
  <c r="AF8" i="71" s="1"/>
  <c r="AD8" i="71"/>
  <c r="Q8" i="71"/>
  <c r="P8" i="71"/>
  <c r="O8" i="71"/>
  <c r="N8" i="71"/>
  <c r="R43" i="77"/>
  <c r="R40" i="77"/>
  <c r="R41" i="77"/>
  <c r="F36" i="77"/>
  <c r="R34" i="77"/>
  <c r="R33" i="77"/>
  <c r="C30" i="77"/>
  <c r="R27" i="77"/>
  <c r="M24" i="77"/>
  <c r="R23" i="77"/>
  <c r="C23" i="77"/>
  <c r="D23" i="77" s="1"/>
  <c r="R22" i="77"/>
  <c r="R21" i="77"/>
  <c r="R24" i="77" s="1"/>
  <c r="N19" i="77"/>
  <c r="R18" i="77"/>
  <c r="D18" i="77"/>
  <c r="R17" i="77"/>
  <c r="R19" i="77" s="1"/>
  <c r="D17" i="77"/>
  <c r="R16" i="77"/>
  <c r="D16" i="77"/>
  <c r="D15" i="77"/>
  <c r="D11" i="77" s="1"/>
  <c r="E11" i="77" s="1"/>
  <c r="E7" i="77" s="1"/>
  <c r="C27" i="77" s="1"/>
  <c r="M14" i="77"/>
  <c r="N14" i="77" s="1"/>
  <c r="D14" i="77"/>
  <c r="R13" i="77"/>
  <c r="R12" i="77"/>
  <c r="D12" i="77"/>
  <c r="R11" i="77"/>
  <c r="R10" i="77"/>
  <c r="D10" i="77"/>
  <c r="R9" i="77"/>
  <c r="D9" i="77"/>
  <c r="R8" i="77"/>
  <c r="R7" i="77"/>
  <c r="R4" i="77"/>
  <c r="R3" i="77"/>
  <c r="R14" i="77"/>
  <c r="D29" i="77"/>
  <c r="R35" i="77"/>
  <c r="U34" i="77" s="1"/>
  <c r="AH9" i="71"/>
  <c r="AG9" i="71"/>
  <c r="AE9" i="71"/>
  <c r="AF9" i="71" s="1"/>
  <c r="AD9" i="71"/>
  <c r="Q9" i="71"/>
  <c r="P9" i="71"/>
  <c r="O9" i="71"/>
  <c r="N9" i="71"/>
  <c r="AH10" i="71"/>
  <c r="AG10" i="71"/>
  <c r="AE10" i="71"/>
  <c r="AF10" i="71" s="1"/>
  <c r="AD10" i="71"/>
  <c r="Q10" i="71"/>
  <c r="P10" i="71"/>
  <c r="O10" i="71"/>
  <c r="N10" i="71"/>
  <c r="E24" i="43"/>
  <c r="P32" i="43" s="1"/>
  <c r="Q32" i="43"/>
  <c r="O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c r="K3" i="71"/>
  <c r="AG3" i="71" s="1"/>
  <c r="J3" i="71"/>
  <c r="AE3" i="7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c r="P25" i="71"/>
  <c r="E24" i="71"/>
  <c r="E23" i="71"/>
  <c r="E22" i="71"/>
  <c r="O25" i="71"/>
  <c r="N25" i="71"/>
  <c r="A2" i="53"/>
  <c r="K59" i="67"/>
  <c r="P61" i="67" s="1"/>
  <c r="K59" i="15"/>
  <c r="P74" i="15"/>
  <c r="D115" i="39"/>
  <c r="E115" i="39"/>
  <c r="F115" i="39"/>
  <c r="G115" i="39"/>
  <c r="H115" i="39"/>
  <c r="I115" i="39"/>
  <c r="J115" i="39"/>
  <c r="K115" i="39"/>
  <c r="L115" i="39"/>
  <c r="M115" i="39"/>
  <c r="C115" i="39"/>
  <c r="A21" i="62"/>
  <c r="B67" i="72"/>
  <c r="A20" i="62"/>
  <c r="A22" i="51"/>
  <c r="A21" i="51"/>
  <c r="B16" i="72"/>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c r="E109" i="9"/>
  <c r="A124" i="9"/>
  <c r="A10" i="52" s="1"/>
  <c r="B55" i="72"/>
  <c r="B44" i="72"/>
  <c r="B42" i="72"/>
  <c r="B69" i="72"/>
  <c r="B68" i="72"/>
  <c r="B63" i="72"/>
  <c r="B62" i="72"/>
  <c r="B60" i="72"/>
  <c r="B66" i="72"/>
  <c r="B10" i="72"/>
  <c r="C53" i="10"/>
  <c r="B51" i="10"/>
  <c r="B19" i="72"/>
  <c r="A18" i="51"/>
  <c r="B13" i="72" s="1"/>
  <c r="B49" i="48"/>
  <c r="B5" i="72"/>
  <c r="D89" i="71"/>
  <c r="F88" i="71"/>
  <c r="F87" i="71"/>
  <c r="F86" i="71"/>
  <c r="E88" i="71"/>
  <c r="E87" i="71" s="1"/>
  <c r="E86" i="71" s="1"/>
  <c r="C88" i="71"/>
  <c r="B88" i="71"/>
  <c r="B87" i="71"/>
  <c r="B86" i="71" s="1"/>
  <c r="D85" i="71"/>
  <c r="F84" i="71"/>
  <c r="F83" i="71"/>
  <c r="F82" i="71" s="1"/>
  <c r="E84" i="71"/>
  <c r="E83" i="71" s="1"/>
  <c r="E82" i="71"/>
  <c r="C84" i="71"/>
  <c r="D84" i="71" s="1"/>
  <c r="B84" i="71"/>
  <c r="B83" i="71"/>
  <c r="B82" i="71"/>
  <c r="D81" i="71"/>
  <c r="Q80" i="71"/>
  <c r="P80" i="71"/>
  <c r="O80" i="71"/>
  <c r="N80" i="71"/>
  <c r="F80" i="71"/>
  <c r="F79" i="71"/>
  <c r="F78"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B71" i="71"/>
  <c r="B70" i="71" s="1"/>
  <c r="Q71" i="71"/>
  <c r="P71" i="71"/>
  <c r="O71" i="71"/>
  <c r="N71" i="71"/>
  <c r="Q70" i="71"/>
  <c r="P70" i="71"/>
  <c r="O70" i="71"/>
  <c r="N70" i="71"/>
  <c r="Q69" i="71"/>
  <c r="P69" i="71"/>
  <c r="O69" i="71"/>
  <c r="N69" i="71"/>
  <c r="D69" i="71"/>
  <c r="F68" i="71"/>
  <c r="V68" i="71" s="1"/>
  <c r="E68" i="71"/>
  <c r="C68" i="71"/>
  <c r="T68" i="71" s="1"/>
  <c r="B68" i="71"/>
  <c r="S68" i="71"/>
  <c r="B67" i="71"/>
  <c r="D65" i="71"/>
  <c r="Q64" i="71"/>
  <c r="P64" i="71"/>
  <c r="O64" i="71"/>
  <c r="N64" i="71"/>
  <c r="Q63" i="71"/>
  <c r="P63" i="71"/>
  <c r="O63" i="71"/>
  <c r="N63" i="71"/>
  <c r="Q62" i="71"/>
  <c r="P62" i="71"/>
  <c r="O62" i="71"/>
  <c r="N62" i="71"/>
  <c r="Q61" i="71"/>
  <c r="F62" i="71"/>
  <c r="F63" i="71" s="1"/>
  <c r="F64" i="71" s="1"/>
  <c r="V64" i="71" s="1"/>
  <c r="P61" i="71"/>
  <c r="E62" i="71" s="1"/>
  <c r="O61" i="71"/>
  <c r="C62" i="71" s="1"/>
  <c r="C63" i="71" s="1"/>
  <c r="C64" i="71" s="1"/>
  <c r="D64" i="71" s="1"/>
  <c r="N61" i="71"/>
  <c r="B62" i="71"/>
  <c r="B63" i="71" s="1"/>
  <c r="B64" i="71" s="1"/>
  <c r="S64" i="7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c r="S52" i="71" s="1"/>
  <c r="D49" i="71"/>
  <c r="T48" i="71"/>
  <c r="Q48" i="71"/>
  <c r="P48" i="71"/>
  <c r="O48" i="71"/>
  <c r="N48" i="71"/>
  <c r="D48" i="71"/>
  <c r="Q47" i="71"/>
  <c r="P47" i="71"/>
  <c r="O47" i="71"/>
  <c r="N47" i="71"/>
  <c r="Q46" i="71"/>
  <c r="P46" i="71"/>
  <c r="E48" i="71"/>
  <c r="U48" i="71"/>
  <c r="O46" i="71"/>
  <c r="N46" i="71"/>
  <c r="Q45" i="71"/>
  <c r="F46" i="71"/>
  <c r="F47" i="71" s="1"/>
  <c r="F48" i="71" s="1"/>
  <c r="V48" i="71" s="1"/>
  <c r="P45" i="71"/>
  <c r="E46" i="71" s="1"/>
  <c r="E47"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c r="D41" i="71"/>
  <c r="Q40" i="71"/>
  <c r="P40" i="71"/>
  <c r="O40" i="71"/>
  <c r="N40" i="71"/>
  <c r="Q39" i="71"/>
  <c r="AB39" i="71" s="1"/>
  <c r="P39" i="71"/>
  <c r="O39" i="71"/>
  <c r="N39" i="71"/>
  <c r="X39" i="71"/>
  <c r="Q38" i="71"/>
  <c r="P38" i="71"/>
  <c r="O38" i="71"/>
  <c r="Y38" i="71"/>
  <c r="Z38" i="71" s="1"/>
  <c r="N38" i="71"/>
  <c r="Q37" i="71"/>
  <c r="P37" i="71"/>
  <c r="O37" i="71"/>
  <c r="C38" i="71" s="1"/>
  <c r="N37" i="71"/>
  <c r="D37" i="71"/>
  <c r="Q36" i="71"/>
  <c r="P36" i="71"/>
  <c r="O36" i="71"/>
  <c r="N36" i="71"/>
  <c r="Q35" i="71"/>
  <c r="P35" i="71"/>
  <c r="O35" i="71"/>
  <c r="N35" i="71"/>
  <c r="Q34" i="71"/>
  <c r="P34" i="71"/>
  <c r="O34" i="71"/>
  <c r="N34" i="71"/>
  <c r="Q33" i="71"/>
  <c r="F34" i="71" s="1"/>
  <c r="P33" i="71"/>
  <c r="E34" i="71" s="1"/>
  <c r="E35" i="71"/>
  <c r="E36" i="71" s="1"/>
  <c r="U36" i="71" s="1"/>
  <c r="O33" i="71"/>
  <c r="N33" i="71"/>
  <c r="D33" i="71"/>
  <c r="Q32" i="71"/>
  <c r="P32" i="71"/>
  <c r="O32" i="71"/>
  <c r="Y32" i="71"/>
  <c r="Z32" i="71" s="1"/>
  <c r="N32" i="71"/>
  <c r="Q31" i="71"/>
  <c r="P31" i="71"/>
  <c r="O31" i="71"/>
  <c r="N31" i="71"/>
  <c r="Q30" i="71"/>
  <c r="P30" i="71"/>
  <c r="O30" i="71"/>
  <c r="N30" i="71"/>
  <c r="Q29" i="71"/>
  <c r="F30" i="71"/>
  <c r="F31" i="71" s="1"/>
  <c r="F32" i="71" s="1"/>
  <c r="V32" i="71"/>
  <c r="P29" i="71"/>
  <c r="O29" i="71"/>
  <c r="C30" i="71"/>
  <c r="N29" i="71"/>
  <c r="B30" i="71" s="1"/>
  <c r="B31" i="71" s="1"/>
  <c r="B32" i="71" s="1"/>
  <c r="S32" i="71" s="1"/>
  <c r="D29" i="71"/>
  <c r="O28" i="71"/>
  <c r="N28" i="71"/>
  <c r="B28" i="71"/>
  <c r="B27" i="71" s="1"/>
  <c r="B26" i="71" s="1"/>
  <c r="B34" i="71"/>
  <c r="B35" i="71"/>
  <c r="B36" i="71" s="1"/>
  <c r="S36" i="71" s="1"/>
  <c r="N68" i="71"/>
  <c r="C34" i="71"/>
  <c r="D34" i="71" s="1"/>
  <c r="AA35" i="71"/>
  <c r="P28" i="71"/>
  <c r="Q28" i="71"/>
  <c r="D63" i="71"/>
  <c r="D62" i="71"/>
  <c r="O68" i="71"/>
  <c r="D68" i="71"/>
  <c r="C67" i="71"/>
  <c r="C66" i="71" s="1"/>
  <c r="Q68" i="71"/>
  <c r="C71" i="71"/>
  <c r="C70" i="71" s="1"/>
  <c r="D70" i="71" s="1"/>
  <c r="D72" i="71"/>
  <c r="E75" i="71"/>
  <c r="E74" i="71"/>
  <c r="C79" i="71"/>
  <c r="D80" i="71"/>
  <c r="O67" i="71"/>
  <c r="D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Q29" i="39"/>
  <c r="Z29" i="39"/>
  <c r="D102" i="39"/>
  <c r="E102" i="39" s="1"/>
  <c r="F102" i="39" s="1"/>
  <c r="G102" i="39"/>
  <c r="F29" i="39"/>
  <c r="AA29" i="39" s="1"/>
  <c r="Q18" i="36"/>
  <c r="Z18" i="36"/>
  <c r="D66" i="36"/>
  <c r="E66" i="36" s="1"/>
  <c r="F66" i="36" s="1"/>
  <c r="G66" i="36"/>
  <c r="H18" i="36"/>
  <c r="U18" i="36" s="1"/>
  <c r="F18" i="36"/>
  <c r="AA18" i="36"/>
  <c r="C18" i="36"/>
  <c r="Q18" i="35"/>
  <c r="Z18" i="35" s="1"/>
  <c r="D68" i="35"/>
  <c r="E68" i="35"/>
  <c r="F68" i="35" s="1"/>
  <c r="G68" i="35" s="1"/>
  <c r="F18" i="35"/>
  <c r="C18" i="35"/>
  <c r="Q21" i="37"/>
  <c r="Z21" i="37"/>
  <c r="D77" i="37"/>
  <c r="E77" i="37" s="1"/>
  <c r="C21" i="37"/>
  <c r="Q21" i="34"/>
  <c r="Z21" i="34" s="1"/>
  <c r="D84" i="34"/>
  <c r="E84" i="34"/>
  <c r="F84" i="34" s="1"/>
  <c r="F21" i="34"/>
  <c r="AA21" i="34" s="1"/>
  <c r="C21" i="34"/>
  <c r="Q21" i="33"/>
  <c r="Z21" i="33" s="1"/>
  <c r="D83" i="33"/>
  <c r="E83" i="33" s="1"/>
  <c r="F83" i="33"/>
  <c r="G83" i="33"/>
  <c r="C21" i="33"/>
  <c r="C21" i="21"/>
  <c r="Q21" i="21"/>
  <c r="Z21" i="21"/>
  <c r="D83" i="21"/>
  <c r="F21" i="21"/>
  <c r="D81" i="21"/>
  <c r="H19" i="21"/>
  <c r="G20" i="20"/>
  <c r="C25" i="40" s="1"/>
  <c r="C22" i="20"/>
  <c r="C29" i="39" s="1"/>
  <c r="B100" i="43"/>
  <c r="S18" i="36"/>
  <c r="F94" i="40"/>
  <c r="G94" i="40" s="1"/>
  <c r="H25" i="40"/>
  <c r="AB25" i="40"/>
  <c r="J25" i="40"/>
  <c r="W25" i="40" s="1"/>
  <c r="H29" i="39"/>
  <c r="U29" i="39" s="1"/>
  <c r="AB29" i="39"/>
  <c r="J29" i="39"/>
  <c r="AC29" i="39" s="1"/>
  <c r="J18" i="36"/>
  <c r="AC18" i="36"/>
  <c r="H18" i="35"/>
  <c r="AB18" i="35" s="1"/>
  <c r="J18" i="35"/>
  <c r="AC18" i="35" s="1"/>
  <c r="W18" i="35"/>
  <c r="F77" i="37"/>
  <c r="G77" i="37" s="1"/>
  <c r="H21" i="37"/>
  <c r="U21" i="37" s="1"/>
  <c r="F21" i="37"/>
  <c r="S21" i="37" s="1"/>
  <c r="AA21" i="37"/>
  <c r="H21" i="34"/>
  <c r="AB21" i="34" s="1"/>
  <c r="H21" i="33"/>
  <c r="U21" i="33" s="1"/>
  <c r="F21" i="33"/>
  <c r="AA21" i="33" s="1"/>
  <c r="E83" i="21"/>
  <c r="F83" i="21" s="1"/>
  <c r="G83" i="21"/>
  <c r="H1" i="69"/>
  <c r="U25" i="40"/>
  <c r="W18" i="36"/>
  <c r="AB21" i="37"/>
  <c r="U18" i="35"/>
  <c r="J21" i="37"/>
  <c r="G84" i="34"/>
  <c r="J21" i="34"/>
  <c r="W21" i="34"/>
  <c r="J21" i="33"/>
  <c r="W21" i="33" s="1"/>
  <c r="H21" i="21"/>
  <c r="U21" i="21" s="1"/>
  <c r="F38" i="69"/>
  <c r="E37" i="69"/>
  <c r="F36" i="69"/>
  <c r="F35" i="69"/>
  <c r="F21" i="69"/>
  <c r="F40" i="69"/>
  <c r="F20" i="69"/>
  <c r="F39" i="69" s="1"/>
  <c r="E10" i="69"/>
  <c r="E9" i="69"/>
  <c r="C7" i="69"/>
  <c r="AC21" i="33"/>
  <c r="J21" i="21"/>
  <c r="AC21" i="21" s="1"/>
  <c r="C40" i="69"/>
  <c r="F38" i="68"/>
  <c r="E37" i="68"/>
  <c r="F36" i="68"/>
  <c r="F35" i="68"/>
  <c r="F21" i="68"/>
  <c r="F40" i="68" s="1"/>
  <c r="F20" i="68"/>
  <c r="F39" i="68"/>
  <c r="E10" i="68"/>
  <c r="E9" i="68"/>
  <c r="Q72" i="67"/>
  <c r="Q59" i="67"/>
  <c r="Q58" i="67"/>
  <c r="Q51" i="67"/>
  <c r="J50" i="67"/>
  <c r="M47" i="67"/>
  <c r="D46" i="67"/>
  <c r="F33" i="67"/>
  <c r="F61" i="67" s="1"/>
  <c r="F23" i="67"/>
  <c r="D24" i="67"/>
  <c r="F21" i="67"/>
  <c r="F20" i="67"/>
  <c r="M19" i="67"/>
  <c r="F18" i="67"/>
  <c r="F17" i="67"/>
  <c r="F15" i="67"/>
  <c r="S2" i="4"/>
  <c r="C51" i="10"/>
  <c r="A13" i="51" s="1"/>
  <c r="B11" i="72" s="1"/>
  <c r="S1" i="4"/>
  <c r="A4" i="51"/>
  <c r="B6" i="72"/>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s="1"/>
  <c r="M79" i="43"/>
  <c r="N79" i="43"/>
  <c r="K79" i="43"/>
  <c r="J79" i="43" s="1"/>
  <c r="M78" i="43"/>
  <c r="N78" i="43"/>
  <c r="K78" i="43"/>
  <c r="J78" i="43" s="1"/>
  <c r="D78" i="43"/>
  <c r="M77" i="43"/>
  <c r="N77" i="43" s="1"/>
  <c r="K77" i="43"/>
  <c r="J77" i="43" s="1"/>
  <c r="D77" i="43"/>
  <c r="M76" i="43"/>
  <c r="N76" i="43" s="1"/>
  <c r="K76" i="43"/>
  <c r="J76" i="43"/>
  <c r="M75" i="43"/>
  <c r="N75" i="43" s="1"/>
  <c r="K75" i="43"/>
  <c r="J75" i="43"/>
  <c r="M74" i="43"/>
  <c r="N74" i="43" s="1"/>
  <c r="K74" i="43"/>
  <c r="J74" i="43"/>
  <c r="M73" i="43"/>
  <c r="N73" i="43" s="1"/>
  <c r="K73" i="43"/>
  <c r="J73" i="43"/>
  <c r="M72" i="43"/>
  <c r="N72" i="43" s="1"/>
  <c r="K72" i="43"/>
  <c r="J72" i="43"/>
  <c r="M69" i="43"/>
  <c r="N69" i="43"/>
  <c r="K69" i="43"/>
  <c r="J69" i="43"/>
  <c r="M68" i="43"/>
  <c r="N68" i="43"/>
  <c r="K68" i="43"/>
  <c r="J68" i="43"/>
  <c r="D68" i="43"/>
  <c r="M67" i="43"/>
  <c r="N67" i="43" s="1"/>
  <c r="K67" i="43"/>
  <c r="J67" i="43" s="1"/>
  <c r="M66" i="43"/>
  <c r="N66" i="43" s="1"/>
  <c r="K66" i="43"/>
  <c r="J66" i="43"/>
  <c r="M65" i="43"/>
  <c r="N65" i="43" s="1"/>
  <c r="K65" i="43"/>
  <c r="J65" i="43"/>
  <c r="M64" i="43"/>
  <c r="N64" i="43" s="1"/>
  <c r="K64" i="43"/>
  <c r="J64" i="43" s="1"/>
  <c r="M63" i="43"/>
  <c r="N63" i="43" s="1"/>
  <c r="K63" i="43"/>
  <c r="J63" i="43" s="1"/>
  <c r="M62" i="43"/>
  <c r="N62" i="43" s="1"/>
  <c r="K62" i="43"/>
  <c r="J62" i="43"/>
  <c r="M61" i="43"/>
  <c r="N61" i="43" s="1"/>
  <c r="K61" i="43"/>
  <c r="J61" i="43"/>
  <c r="M58" i="43"/>
  <c r="N58" i="43" s="1"/>
  <c r="K58" i="43"/>
  <c r="J58" i="43" s="1"/>
  <c r="D58" i="43"/>
  <c r="M57" i="43"/>
  <c r="N57" i="43"/>
  <c r="K57" i="43"/>
  <c r="J57" i="43"/>
  <c r="D57" i="43"/>
  <c r="M56" i="43"/>
  <c r="N56" i="43" s="1"/>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c r="K51" i="43"/>
  <c r="J51" i="43"/>
  <c r="D51" i="43"/>
  <c r="M50" i="43"/>
  <c r="N50" i="43" s="1"/>
  <c r="K50" i="43"/>
  <c r="J50" i="43" s="1"/>
  <c r="D50" i="43"/>
  <c r="Q72" i="15"/>
  <c r="Q58" i="15"/>
  <c r="Q51" i="15"/>
  <c r="Q59" i="15"/>
  <c r="AE13" i="1"/>
  <c r="M47" i="15"/>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G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A57" i="3" s="1"/>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A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L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L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A445" i="3" s="1"/>
  <c r="BC445" i="3"/>
  <c r="BB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A436" i="3" s="1"/>
  <c r="BC436" i="3"/>
  <c r="BB436" i="3"/>
  <c r="AX436" i="3"/>
  <c r="AW436" i="3"/>
  <c r="AV436" i="3"/>
  <c r="AC436" i="3"/>
  <c r="G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4" i="40"/>
  <c r="I54" i="40"/>
  <c r="C54" i="40" s="1"/>
  <c r="H53" i="40"/>
  <c r="I53" i="40"/>
  <c r="C53" i="40"/>
  <c r="H52" i="40"/>
  <c r="I52" i="40" s="1"/>
  <c r="C52" i="40" s="1"/>
  <c r="H64" i="39"/>
  <c r="I64" i="39" s="1"/>
  <c r="C64" i="39" s="1"/>
  <c r="H63" i="39"/>
  <c r="I63" i="39"/>
  <c r="C63" i="39" s="1"/>
  <c r="H59" i="39"/>
  <c r="I59" i="39"/>
  <c r="C59" i="39"/>
  <c r="H58" i="39"/>
  <c r="I58" i="39" s="1"/>
  <c r="C58" i="39" s="1"/>
  <c r="H57" i="39"/>
  <c r="I57" i="39" s="1"/>
  <c r="C57" i="39" s="1"/>
  <c r="H60" i="39"/>
  <c r="I60" i="39"/>
  <c r="C60" i="39" s="1"/>
  <c r="H62" i="39"/>
  <c r="I62" i="39"/>
  <c r="C62" i="39"/>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G13" i="1"/>
  <c r="H15" i="4"/>
  <c r="F9" i="1"/>
  <c r="G9" i="1" s="1"/>
  <c r="G15" i="4"/>
  <c r="F12" i="1"/>
  <c r="G12" i="1"/>
  <c r="F15" i="4"/>
  <c r="F11" i="1"/>
  <c r="G11" i="1"/>
  <c r="D15" i="4"/>
  <c r="F7" i="1"/>
  <c r="G7" i="1" s="1"/>
  <c r="C15" i="4"/>
  <c r="F6" i="1"/>
  <c r="L21" i="4"/>
  <c r="F19" i="4"/>
  <c r="F2" i="52"/>
  <c r="B50" i="72"/>
  <c r="D2" i="52"/>
  <c r="B46" i="72" s="1"/>
  <c r="B8" i="53"/>
  <c r="B23" i="72"/>
  <c r="L4" i="9"/>
  <c r="B17" i="72"/>
  <c r="B15" i="72"/>
  <c r="A3" i="51"/>
  <c r="C8" i="11"/>
  <c r="B40" i="48"/>
  <c r="B3" i="72"/>
  <c r="F35" i="4"/>
  <c r="J55" i="39" s="1"/>
  <c r="H38" i="43"/>
  <c r="H39" i="43"/>
  <c r="H40" i="43"/>
  <c r="H41" i="43"/>
  <c r="H42" i="43"/>
  <c r="H37" i="43"/>
  <c r="J24" i="43"/>
  <c r="C22" i="43"/>
  <c r="C10" i="43"/>
  <c r="C11" i="43"/>
  <c r="C9" i="43"/>
  <c r="F33" i="15"/>
  <c r="F61" i="15" s="1"/>
  <c r="M19" i="15"/>
  <c r="BR13" i="3"/>
  <c r="B22" i="1"/>
  <c r="G41" i="69" s="1"/>
  <c r="B23" i="1"/>
  <c r="B24" i="1"/>
  <c r="F34" i="68" s="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c r="F30" i="36"/>
  <c r="AA30" i="36" s="1"/>
  <c r="C26" i="35"/>
  <c r="C79" i="35"/>
  <c r="J31" i="35"/>
  <c r="H31" i="35"/>
  <c r="F31" i="35"/>
  <c r="AA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c r="F38" i="34"/>
  <c r="S38" i="34" s="1"/>
  <c r="D112" i="34"/>
  <c r="E112" i="34"/>
  <c r="F112" i="34" s="1"/>
  <c r="G112" i="34" s="1"/>
  <c r="H112" i="34" s="1"/>
  <c r="I112" i="34" s="1"/>
  <c r="J112" i="34" s="1"/>
  <c r="K112" i="34" s="1"/>
  <c r="L112" i="34" s="1"/>
  <c r="M112" i="34" s="1"/>
  <c r="F40" i="33"/>
  <c r="AA40" i="33" s="1"/>
  <c r="J41" i="33"/>
  <c r="W41" i="33"/>
  <c r="D113" i="33"/>
  <c r="E113" i="33" s="1"/>
  <c r="F37" i="33"/>
  <c r="D111" i="33"/>
  <c r="E111" i="33"/>
  <c r="F111" i="33" s="1"/>
  <c r="S515" i="31"/>
  <c r="S516" i="31"/>
  <c r="S517" i="31"/>
  <c r="S518" i="31"/>
  <c r="S519" i="31"/>
  <c r="S520" i="31"/>
  <c r="S521" i="31"/>
  <c r="S522" i="31"/>
  <c r="S523" i="31"/>
  <c r="S524" i="31"/>
  <c r="F41" i="21"/>
  <c r="AA41" i="21" s="1"/>
  <c r="J41" i="21"/>
  <c r="AC41" i="21"/>
  <c r="H41" i="21"/>
  <c r="D80" i="39"/>
  <c r="E80" i="39" s="1"/>
  <c r="F80" i="39" s="1"/>
  <c r="G80" i="39" s="1"/>
  <c r="H80" i="39"/>
  <c r="I80" i="39" s="1"/>
  <c r="J80" i="39" s="1"/>
  <c r="K80" i="39" s="1"/>
  <c r="L80" i="39" s="1"/>
  <c r="M80" i="39" s="1"/>
  <c r="D76" i="40"/>
  <c r="E76" i="40" s="1"/>
  <c r="F76" i="40" s="1"/>
  <c r="G76" i="40" s="1"/>
  <c r="H76" i="40" s="1"/>
  <c r="I76" i="40"/>
  <c r="J76" i="40" s="1"/>
  <c r="K76" i="40" s="1"/>
  <c r="L76" i="40" s="1"/>
  <c r="M76" i="40" s="1"/>
  <c r="B120" i="40"/>
  <c r="B118" i="40"/>
  <c r="H39" i="40" s="1"/>
  <c r="U39" i="40" s="1"/>
  <c r="B116" i="40"/>
  <c r="D115" i="40"/>
  <c r="E115" i="40"/>
  <c r="F115" i="40" s="1"/>
  <c r="G115" i="40" s="1"/>
  <c r="H115" i="40" s="1"/>
  <c r="I115" i="40"/>
  <c r="J115" i="40" s="1"/>
  <c r="K115" i="40" s="1"/>
  <c r="L115" i="40" s="1"/>
  <c r="M115" i="40" s="1"/>
  <c r="D113" i="40"/>
  <c r="E113" i="40" s="1"/>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c r="K100" i="40" s="1"/>
  <c r="L100" i="40" s="1"/>
  <c r="M100" i="40" s="1"/>
  <c r="D98" i="40"/>
  <c r="J28" i="40"/>
  <c r="AC28" i="40" s="1"/>
  <c r="D96" i="40"/>
  <c r="E96" i="40" s="1"/>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c r="G108" i="39" s="1"/>
  <c r="H108" i="39" s="1"/>
  <c r="I108" i="39" s="1"/>
  <c r="J108" i="39" s="1"/>
  <c r="K108" i="39"/>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c r="G98" i="39" s="1"/>
  <c r="Q39" i="39"/>
  <c r="Z39" i="39" s="1"/>
  <c r="Q40" i="39"/>
  <c r="Z40" i="39" s="1"/>
  <c r="Q41" i="39"/>
  <c r="Z41" i="39" s="1"/>
  <c r="Q42" i="39"/>
  <c r="Z42" i="39"/>
  <c r="Q43" i="39"/>
  <c r="Z43" i="39" s="1"/>
  <c r="Q44" i="39"/>
  <c r="Z44" i="39" s="1"/>
  <c r="Q45" i="39"/>
  <c r="Z45" i="39" s="1"/>
  <c r="Q38" i="39"/>
  <c r="Z38" i="39" s="1"/>
  <c r="Q36" i="39"/>
  <c r="Z36" i="39" s="1"/>
  <c r="Q37" i="39"/>
  <c r="Z37" i="39" s="1"/>
  <c r="B130" i="39"/>
  <c r="H45" i="39" s="1"/>
  <c r="B128" i="39"/>
  <c r="B126" i="39"/>
  <c r="J43" i="39" s="1"/>
  <c r="D125" i="39"/>
  <c r="E125" i="39"/>
  <c r="F125" i="39"/>
  <c r="G125" i="39" s="1"/>
  <c r="H125" i="39" s="1"/>
  <c r="I125" i="39" s="1"/>
  <c r="J125" i="39" s="1"/>
  <c r="K125" i="39"/>
  <c r="L125" i="39" s="1"/>
  <c r="M125" i="39" s="1"/>
  <c r="D121" i="39"/>
  <c r="E121" i="39" s="1"/>
  <c r="F121" i="39" s="1"/>
  <c r="G121" i="39" s="1"/>
  <c r="H121" i="39"/>
  <c r="I121" i="39" s="1"/>
  <c r="J121" i="39" s="1"/>
  <c r="K121" i="39" s="1"/>
  <c r="L121" i="39" s="1"/>
  <c r="M121" i="39" s="1"/>
  <c r="B103" i="39"/>
  <c r="D96" i="39"/>
  <c r="J23" i="39"/>
  <c r="D94" i="39"/>
  <c r="E94" i="39" s="1"/>
  <c r="F94" i="39" s="1"/>
  <c r="D92" i="39"/>
  <c r="E92" i="39"/>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c r="Q23" i="39"/>
  <c r="Z23" i="39" s="1"/>
  <c r="Q21" i="39"/>
  <c r="Z21" i="39" s="1"/>
  <c r="Q19" i="39"/>
  <c r="Z19" i="39" s="1"/>
  <c r="Q17" i="39"/>
  <c r="Z17" i="39" s="1"/>
  <c r="Q15" i="39"/>
  <c r="Z15" i="39" s="1"/>
  <c r="Q14" i="39"/>
  <c r="Z14" i="39"/>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s="1"/>
  <c r="F105" i="37"/>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F79" i="37" s="1"/>
  <c r="G79" i="37" s="1"/>
  <c r="D75" i="37"/>
  <c r="E75" i="37" s="1"/>
  <c r="D73" i="37"/>
  <c r="E73" i="37"/>
  <c r="F73" i="37"/>
  <c r="G73" i="37" s="1"/>
  <c r="D71" i="37"/>
  <c r="H15" i="37"/>
  <c r="AB15" i="37"/>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c r="J78" i="36" s="1"/>
  <c r="K78" i="36" s="1"/>
  <c r="L78" i="36" s="1"/>
  <c r="M78" i="36" s="1"/>
  <c r="B75" i="36"/>
  <c r="B73" i="36"/>
  <c r="B71" i="36"/>
  <c r="J23" i="36"/>
  <c r="AC23" i="36" s="1"/>
  <c r="D70" i="36"/>
  <c r="H22" i="36"/>
  <c r="AB22" i="36"/>
  <c r="D68" i="36"/>
  <c r="E68" i="36"/>
  <c r="F68" i="36" s="1"/>
  <c r="G68" i="36" s="1"/>
  <c r="D64" i="36"/>
  <c r="E64" i="36"/>
  <c r="F64" i="36" s="1"/>
  <c r="G64" i="36" s="1"/>
  <c r="J16" i="36"/>
  <c r="W16" i="36"/>
  <c r="D62" i="36"/>
  <c r="E62" i="36"/>
  <c r="F62" i="36" s="1"/>
  <c r="G62" i="36"/>
  <c r="B59" i="36"/>
  <c r="B57" i="36"/>
  <c r="B55" i="36"/>
  <c r="C51" i="36"/>
  <c r="J9" i="36"/>
  <c r="AC9" i="36" s="1"/>
  <c r="P37" i="36"/>
  <c r="P36" i="36"/>
  <c r="V35" i="36"/>
  <c r="T35" i="36"/>
  <c r="R35" i="36"/>
  <c r="P35" i="36"/>
  <c r="Q34" i="36"/>
  <c r="Z34" i="36" s="1"/>
  <c r="Q33" i="36"/>
  <c r="Z33" i="36"/>
  <c r="Q32" i="36"/>
  <c r="Z32" i="36" s="1"/>
  <c r="Q31" i="36"/>
  <c r="Z31" i="36"/>
  <c r="Q30" i="36"/>
  <c r="Z30" i="36" s="1"/>
  <c r="Q29" i="36"/>
  <c r="Z29" i="36"/>
  <c r="Q28" i="36"/>
  <c r="Z28" i="36" s="1"/>
  <c r="J28" i="36"/>
  <c r="Q27" i="36"/>
  <c r="Z27" i="36"/>
  <c r="Q26" i="36"/>
  <c r="Z26" i="36"/>
  <c r="H26" i="36"/>
  <c r="Q25" i="36"/>
  <c r="Z25" i="36" s="1"/>
  <c r="Q24" i="36"/>
  <c r="Z24" i="36" s="1"/>
  <c r="Q23" i="36"/>
  <c r="Z23" i="36"/>
  <c r="F23" i="36"/>
  <c r="AA23" i="36"/>
  <c r="Q22" i="36"/>
  <c r="Z22" i="36"/>
  <c r="J22" i="36"/>
  <c r="AC22" i="36"/>
  <c r="Q20" i="36"/>
  <c r="Z20" i="36"/>
  <c r="Q16" i="36"/>
  <c r="Z16" i="36"/>
  <c r="Q14" i="36"/>
  <c r="Z14" i="36"/>
  <c r="Q13" i="36"/>
  <c r="Z13" i="36"/>
  <c r="Q12" i="36"/>
  <c r="Z12" i="36"/>
  <c r="H12" i="36"/>
  <c r="Q11" i="36"/>
  <c r="Z11" i="36" s="1"/>
  <c r="Q10" i="36"/>
  <c r="Z10" i="36"/>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S27" i="35" s="1"/>
  <c r="J22" i="35"/>
  <c r="B101" i="35"/>
  <c r="H36" i="35"/>
  <c r="AB36" i="35"/>
  <c r="B99" i="35"/>
  <c r="B97" i="35"/>
  <c r="F34" i="35"/>
  <c r="AA34" i="35"/>
  <c r="B77" i="35"/>
  <c r="B75"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c r="Q34" i="35"/>
  <c r="Z34" i="35" s="1"/>
  <c r="J34" i="35"/>
  <c r="AC34" i="35"/>
  <c r="H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c r="H124" i="34" s="1"/>
  <c r="I124" i="34" s="1"/>
  <c r="J124" i="34" s="1"/>
  <c r="K124" i="34" s="1"/>
  <c r="L124" i="34" s="1"/>
  <c r="M124" i="34" s="1"/>
  <c r="H43" i="34"/>
  <c r="AB43" i="34" s="1"/>
  <c r="D118" i="34"/>
  <c r="E118" i="34" s="1"/>
  <c r="F118" i="34"/>
  <c r="G118" i="34" s="1"/>
  <c r="D116" i="34"/>
  <c r="E116" i="34" s="1"/>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s="1"/>
  <c r="L92" i="34" s="1"/>
  <c r="M92" i="34"/>
  <c r="B91" i="34"/>
  <c r="B89" i="34"/>
  <c r="J27" i="34" s="1"/>
  <c r="AC27" i="34" s="1"/>
  <c r="D88" i="34"/>
  <c r="E88" i="34" s="1"/>
  <c r="F88" i="34" s="1"/>
  <c r="G88" i="34" s="1"/>
  <c r="H88" i="34" s="1"/>
  <c r="I88" i="34"/>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S12" i="34"/>
  <c r="Q11" i="34"/>
  <c r="Z11" i="34" s="1"/>
  <c r="Q10" i="34"/>
  <c r="Z10" i="34"/>
  <c r="F10" i="34"/>
  <c r="AA10" i="34" s="1"/>
  <c r="Q9" i="34"/>
  <c r="Z9" i="34"/>
  <c r="J8" i="34"/>
  <c r="AC8" i="34" s="1"/>
  <c r="H8" i="34"/>
  <c r="U8" i="34"/>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AC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S9" i="21" s="1"/>
  <c r="G18" i="20"/>
  <c r="B90" i="43" s="1"/>
  <c r="G19" i="20"/>
  <c r="B87" i="43"/>
  <c r="G16" i="20"/>
  <c r="B84" i="43" s="1"/>
  <c r="G15" i="20"/>
  <c r="B83" i="43"/>
  <c r="C24" i="20"/>
  <c r="C21" i="20"/>
  <c r="B99" i="43" s="1"/>
  <c r="B76" i="43"/>
  <c r="C20" i="20"/>
  <c r="B101" i="43"/>
  <c r="B79" i="43"/>
  <c r="C18" i="20"/>
  <c r="C17" i="20"/>
  <c r="B61" i="43" s="1"/>
  <c r="C16" i="20"/>
  <c r="C17" i="39"/>
  <c r="C15" i="20"/>
  <c r="B72" i="43" s="1"/>
  <c r="E54" i="21"/>
  <c r="F54" i="21"/>
  <c r="I54" i="21"/>
  <c r="J54" i="21" s="1"/>
  <c r="G54" i="21"/>
  <c r="H54" i="21"/>
  <c r="D125" i="21"/>
  <c r="E125" i="21" s="1"/>
  <c r="D123" i="21"/>
  <c r="E123" i="21" s="1"/>
  <c r="D119" i="21"/>
  <c r="F40" i="21" s="1"/>
  <c r="AA40" i="21" s="1"/>
  <c r="D117" i="21"/>
  <c r="E117" i="21" s="1"/>
  <c r="F117" i="21" s="1"/>
  <c r="G117" i="21"/>
  <c r="D115" i="21"/>
  <c r="E115" i="21" s="1"/>
  <c r="F115" i="21"/>
  <c r="G115" i="21" s="1"/>
  <c r="H115" i="21" s="1"/>
  <c r="I115" i="21" s="1"/>
  <c r="J115" i="21" s="1"/>
  <c r="K115" i="21" s="1"/>
  <c r="L115" i="21" s="1"/>
  <c r="M115" i="21" s="1"/>
  <c r="D113" i="21"/>
  <c r="E113" i="21" s="1"/>
  <c r="F113" i="21" s="1"/>
  <c r="G113" i="21" s="1"/>
  <c r="D110" i="21"/>
  <c r="E110" i="21"/>
  <c r="F110" i="21" s="1"/>
  <c r="D108" i="21"/>
  <c r="E108" i="21"/>
  <c r="F108" i="21"/>
  <c r="G108" i="21" s="1"/>
  <c r="H108" i="21" s="1"/>
  <c r="I108" i="21" s="1"/>
  <c r="J108" i="21" s="1"/>
  <c r="K108" i="21"/>
  <c r="L108" i="21" s="1"/>
  <c r="M108" i="21" s="1"/>
  <c r="D106" i="21"/>
  <c r="E106" i="21" s="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s="1"/>
  <c r="F79" i="21" s="1"/>
  <c r="G79" i="21" s="1"/>
  <c r="D85" i="21"/>
  <c r="D77" i="21"/>
  <c r="E77" i="21"/>
  <c r="F77" i="21" s="1"/>
  <c r="G77" i="21" s="1"/>
  <c r="B130" i="21"/>
  <c r="J46" i="21"/>
  <c r="W46" i="21" s="1"/>
  <c r="B128" i="21"/>
  <c r="J45" i="21" s="1"/>
  <c r="W45" i="21" s="1"/>
  <c r="B126" i="21"/>
  <c r="B98" i="21"/>
  <c r="H31" i="21" s="1"/>
  <c r="B96" i="21"/>
  <c r="H30" i="21" s="1"/>
  <c r="U30" i="21"/>
  <c r="B94" i="21"/>
  <c r="J29" i="21"/>
  <c r="B92" i="21"/>
  <c r="F28" i="21"/>
  <c r="B90" i="21"/>
  <c r="J27" i="21"/>
  <c r="W27" i="21" s="1"/>
  <c r="B74" i="21"/>
  <c r="H14" i="21"/>
  <c r="U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AB34" i="21" s="1"/>
  <c r="H38" i="21"/>
  <c r="U38" i="21"/>
  <c r="F38" i="21"/>
  <c r="S38" i="21"/>
  <c r="F39" i="21"/>
  <c r="AA39"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c r="F35" i="39"/>
  <c r="AA35" i="39"/>
  <c r="J36" i="39"/>
  <c r="AC36" i="39"/>
  <c r="U9" i="39"/>
  <c r="U30" i="37"/>
  <c r="W31" i="37"/>
  <c r="E103" i="37"/>
  <c r="F103" i="37" s="1"/>
  <c r="G103" i="37" s="1"/>
  <c r="H103" i="37" s="1"/>
  <c r="I103" i="37" s="1"/>
  <c r="J103" i="37" s="1"/>
  <c r="K103" i="37" s="1"/>
  <c r="L103" i="37" s="1"/>
  <c r="M103" i="37" s="1"/>
  <c r="F39" i="37"/>
  <c r="S39" i="37"/>
  <c r="F29" i="36"/>
  <c r="AA29" i="36"/>
  <c r="F16" i="36"/>
  <c r="AA16" i="36" s="1"/>
  <c r="U31" i="36"/>
  <c r="J33" i="36"/>
  <c r="AC33" i="36" s="1"/>
  <c r="H22" i="35"/>
  <c r="U31" i="35"/>
  <c r="W34" i="35"/>
  <c r="S31" i="35"/>
  <c r="F36" i="34"/>
  <c r="J35" i="34"/>
  <c r="U34" i="34"/>
  <c r="H39" i="33"/>
  <c r="AB39" i="33" s="1"/>
  <c r="U33" i="33"/>
  <c r="H39" i="37"/>
  <c r="F11" i="40"/>
  <c r="AA11" i="40" s="1"/>
  <c r="H11" i="40"/>
  <c r="AB11" i="40" s="1"/>
  <c r="W8" i="40"/>
  <c r="AB39" i="40"/>
  <c r="AA9" i="40"/>
  <c r="AC9" i="40"/>
  <c r="U9" i="40"/>
  <c r="S34" i="40"/>
  <c r="U34" i="40"/>
  <c r="F42" i="39"/>
  <c r="AA42" i="39"/>
  <c r="F41" i="39"/>
  <c r="S41" i="39" s="1"/>
  <c r="H40" i="39"/>
  <c r="AB40" i="39"/>
  <c r="H39" i="39"/>
  <c r="U39" i="39" s="1"/>
  <c r="S38" i="39"/>
  <c r="S34" i="39"/>
  <c r="H34" i="39"/>
  <c r="U34" i="39" s="1"/>
  <c r="H31" i="39"/>
  <c r="F31" i="39"/>
  <c r="AA31" i="39"/>
  <c r="H19" i="39"/>
  <c r="AB19" i="39" s="1"/>
  <c r="F19" i="39"/>
  <c r="AA19" i="39" s="1"/>
  <c r="H17" i="39"/>
  <c r="AB17" i="39" s="1"/>
  <c r="F17" i="39"/>
  <c r="AA17" i="39"/>
  <c r="J23" i="40"/>
  <c r="AC23" i="40" s="1"/>
  <c r="F21" i="40"/>
  <c r="AA21" i="40" s="1"/>
  <c r="J21" i="40"/>
  <c r="W21" i="40" s="1"/>
  <c r="H42" i="39"/>
  <c r="AB42" i="39"/>
  <c r="J34" i="39"/>
  <c r="AC34" i="39" s="1"/>
  <c r="J31" i="39"/>
  <c r="H27" i="39"/>
  <c r="U27" i="39"/>
  <c r="J19" i="39"/>
  <c r="AC19" i="39"/>
  <c r="J17" i="39"/>
  <c r="J27" i="39"/>
  <c r="AC27" i="39" s="1"/>
  <c r="F27" i="39"/>
  <c r="C25" i="39"/>
  <c r="C27" i="39"/>
  <c r="H11" i="39"/>
  <c r="S40" i="39"/>
  <c r="C15" i="39"/>
  <c r="H32" i="33"/>
  <c r="AB32" i="33"/>
  <c r="J11" i="21"/>
  <c r="W11" i="21"/>
  <c r="H37" i="40"/>
  <c r="U37" i="40"/>
  <c r="H36" i="40"/>
  <c r="AB36" i="40"/>
  <c r="F35" i="40"/>
  <c r="H23" i="40"/>
  <c r="AB23" i="40" s="1"/>
  <c r="H17" i="40"/>
  <c r="U17" i="40" s="1"/>
  <c r="J15" i="40"/>
  <c r="W15" i="40" s="1"/>
  <c r="J11" i="40"/>
  <c r="AB8" i="39"/>
  <c r="W32" i="40"/>
  <c r="F37" i="39"/>
  <c r="AA37" i="39" s="1"/>
  <c r="J34" i="36"/>
  <c r="W34" i="36"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c r="F34" i="36"/>
  <c r="S34" i="36"/>
  <c r="F14" i="35"/>
  <c r="AA14" i="35"/>
  <c r="F23" i="35"/>
  <c r="AA23" i="35"/>
  <c r="J32" i="35"/>
  <c r="AC32" i="35"/>
  <c r="J16" i="35"/>
  <c r="AC16" i="35"/>
  <c r="H16" i="35"/>
  <c r="U16" i="35"/>
  <c r="F16" i="35"/>
  <c r="S16" i="35"/>
  <c r="H14" i="35"/>
  <c r="AB14" i="35"/>
  <c r="J29" i="35"/>
  <c r="H33" i="35"/>
  <c r="U33" i="35" s="1"/>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H36" i="34"/>
  <c r="U36" i="34"/>
  <c r="F37" i="34"/>
  <c r="AA37" i="34"/>
  <c r="S35" i="34"/>
  <c r="F28" i="34"/>
  <c r="AA28" i="34" s="1"/>
  <c r="F25" i="34"/>
  <c r="S25" i="34" s="1"/>
  <c r="H23" i="34"/>
  <c r="U23" i="34" s="1"/>
  <c r="J23" i="34"/>
  <c r="F19" i="34"/>
  <c r="H17" i="34"/>
  <c r="F15" i="34"/>
  <c r="AA15" i="34"/>
  <c r="J15" i="34"/>
  <c r="W15" i="34"/>
  <c r="H15" i="34"/>
  <c r="W8" i="34"/>
  <c r="J28" i="34"/>
  <c r="W28" i="34"/>
  <c r="F41" i="33"/>
  <c r="AA41" i="33"/>
  <c r="S38"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c r="U34" i="37"/>
  <c r="S34" i="37"/>
  <c r="AA34" i="37"/>
  <c r="J43" i="34"/>
  <c r="AB42" i="34"/>
  <c r="J40" i="34"/>
  <c r="F114" i="34"/>
  <c r="G114" i="34"/>
  <c r="H114" i="34" s="1"/>
  <c r="I114" i="34" s="1"/>
  <c r="J114" i="34" s="1"/>
  <c r="K114" i="34" s="1"/>
  <c r="L114" i="34" s="1"/>
  <c r="M114" i="34" s="1"/>
  <c r="H38" i="34"/>
  <c r="AB38" i="34"/>
  <c r="J36" i="34"/>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F27" i="33"/>
  <c r="AA27" i="33" s="1"/>
  <c r="J13" i="33"/>
  <c r="H13" i="33"/>
  <c r="U13" i="33"/>
  <c r="F13" i="33"/>
  <c r="S13" i="33"/>
  <c r="J29" i="33"/>
  <c r="W29" i="33"/>
  <c r="AC29" i="33"/>
  <c r="H29" i="33"/>
  <c r="U29" i="33" s="1"/>
  <c r="F29" i="33"/>
  <c r="S29" i="33" s="1"/>
  <c r="J31" i="33"/>
  <c r="H31" i="33"/>
  <c r="AB31" i="33"/>
  <c r="F31" i="33"/>
  <c r="H45" i="33"/>
  <c r="U45" i="33" s="1"/>
  <c r="J45" i="33"/>
  <c r="F45" i="33"/>
  <c r="J14" i="34"/>
  <c r="W14" i="34" s="1"/>
  <c r="F14" i="34"/>
  <c r="S14" i="34" s="1"/>
  <c r="H14" i="34"/>
  <c r="H30" i="34"/>
  <c r="F30" i="34"/>
  <c r="S30" i="34" s="1"/>
  <c r="J30" i="34"/>
  <c r="AC30" i="34" s="1"/>
  <c r="H32" i="34"/>
  <c r="AB32" i="34" s="1"/>
  <c r="F32" i="34"/>
  <c r="J32" i="34"/>
  <c r="W32" i="34"/>
  <c r="H46" i="34"/>
  <c r="U46" i="34"/>
  <c r="F46" i="34"/>
  <c r="S46" i="34"/>
  <c r="J46" i="34"/>
  <c r="H11" i="35"/>
  <c r="AB11" i="35" s="1"/>
  <c r="J11" i="35"/>
  <c r="W11" i="35" s="1"/>
  <c r="F11" i="35"/>
  <c r="S11" i="35" s="1"/>
  <c r="J26" i="36"/>
  <c r="H28" i="36"/>
  <c r="U28" i="36"/>
  <c r="H32" i="36"/>
  <c r="AB32" i="36"/>
  <c r="J32" i="36"/>
  <c r="W32" i="36"/>
  <c r="J11" i="36"/>
  <c r="AC11" i="36"/>
  <c r="H11" i="36"/>
  <c r="U11" i="36"/>
  <c r="F11" i="36"/>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c r="H37" i="37"/>
  <c r="U37" i="37"/>
  <c r="H40" i="37"/>
  <c r="J40" i="37"/>
  <c r="F40" i="37"/>
  <c r="AA40" i="37"/>
  <c r="H14" i="33"/>
  <c r="F14" i="33"/>
  <c r="J14" i="33"/>
  <c r="H30" i="33"/>
  <c r="F30" i="33"/>
  <c r="J30" i="33"/>
  <c r="H44" i="33"/>
  <c r="J44" i="33"/>
  <c r="AC44" i="33" s="1"/>
  <c r="F44" i="33"/>
  <c r="S44" i="33" s="1"/>
  <c r="J46" i="33"/>
  <c r="AC46" i="33" s="1"/>
  <c r="F46" i="33"/>
  <c r="AA46" i="33" s="1"/>
  <c r="H46" i="33"/>
  <c r="H13" i="34"/>
  <c r="U13" i="34"/>
  <c r="J13" i="34"/>
  <c r="W13" i="34"/>
  <c r="F13" i="34"/>
  <c r="AA13" i="34"/>
  <c r="J29" i="34"/>
  <c r="W29" i="34"/>
  <c r="F29" i="34"/>
  <c r="S29" i="34"/>
  <c r="H29" i="34"/>
  <c r="J31" i="34"/>
  <c r="H31" i="34"/>
  <c r="AB31" i="34"/>
  <c r="F31" i="34"/>
  <c r="S31" i="34"/>
  <c r="H45" i="34"/>
  <c r="J45" i="34"/>
  <c r="W45" i="34" s="1"/>
  <c r="F45" i="34"/>
  <c r="S45" i="34" s="1"/>
  <c r="H47" i="34"/>
  <c r="U47" i="34" s="1"/>
  <c r="F47" i="34"/>
  <c r="J47" i="34"/>
  <c r="F13" i="35"/>
  <c r="AA13" i="35" s="1"/>
  <c r="J13" i="35"/>
  <c r="AC13" i="35" s="1"/>
  <c r="H13" i="35"/>
  <c r="J25" i="35"/>
  <c r="W25" i="35"/>
  <c r="F25" i="35"/>
  <c r="S25" i="35"/>
  <c r="H25" i="35"/>
  <c r="AB25" i="35"/>
  <c r="J35" i="35"/>
  <c r="AC35" i="35"/>
  <c r="F35" i="35"/>
  <c r="AA35" i="35"/>
  <c r="H35" i="35"/>
  <c r="AB35" i="35"/>
  <c r="J25" i="36"/>
  <c r="W25" i="36"/>
  <c r="F25" i="36"/>
  <c r="S25" i="36"/>
  <c r="H25" i="36"/>
  <c r="AB25" i="36"/>
  <c r="H13" i="37"/>
  <c r="AB13" i="37"/>
  <c r="F13" i="37"/>
  <c r="J13" i="37"/>
  <c r="W13" i="37" s="1"/>
  <c r="F28" i="37"/>
  <c r="AA28" i="37" s="1"/>
  <c r="J28" i="37"/>
  <c r="AC28" i="37" s="1"/>
  <c r="H28" i="37"/>
  <c r="U28" i="37" s="1"/>
  <c r="H38" i="37"/>
  <c r="J38" i="37"/>
  <c r="AC38" i="37"/>
  <c r="F38" i="37"/>
  <c r="S38" i="37"/>
  <c r="F43" i="39"/>
  <c r="AA43" i="39"/>
  <c r="H43" i="39"/>
  <c r="J14" i="39"/>
  <c r="AC14" i="39" s="1"/>
  <c r="F14" i="39"/>
  <c r="AA14" i="39" s="1"/>
  <c r="H14" i="39"/>
  <c r="AB14" i="39" s="1"/>
  <c r="H12" i="40"/>
  <c r="H30" i="40"/>
  <c r="AB30" i="40"/>
  <c r="F33" i="40"/>
  <c r="H33" i="40"/>
  <c r="U33" i="40" s="1"/>
  <c r="J35" i="40"/>
  <c r="AC35" i="40" s="1"/>
  <c r="J37" i="40"/>
  <c r="AC37" i="40" s="1"/>
  <c r="H13" i="40"/>
  <c r="J13" i="40"/>
  <c r="W13" i="40"/>
  <c r="F13" i="40"/>
  <c r="AA13" i="40"/>
  <c r="F14" i="37"/>
  <c r="S14" i="37"/>
  <c r="F27" i="37"/>
  <c r="AA27" i="37"/>
  <c r="F13" i="39"/>
  <c r="J13" i="39"/>
  <c r="W13" i="39" s="1"/>
  <c r="H13" i="39"/>
  <c r="AB13" i="39" s="1"/>
  <c r="H14" i="40"/>
  <c r="AB14" i="40" s="1"/>
  <c r="J14" i="40"/>
  <c r="W14" i="40" s="1"/>
  <c r="F14" i="40"/>
  <c r="AA14" i="40" s="1"/>
  <c r="J14" i="37"/>
  <c r="AC14" i="37" s="1"/>
  <c r="J27" i="37"/>
  <c r="AC27" i="37" s="1"/>
  <c r="AA44" i="33"/>
  <c r="U31" i="34"/>
  <c r="J36" i="37"/>
  <c r="AC36" i="37"/>
  <c r="J10" i="36"/>
  <c r="AC10" i="36"/>
  <c r="AB26" i="33"/>
  <c r="AA14" i="37"/>
  <c r="U31" i="33"/>
  <c r="BA586" i="3"/>
  <c r="F15" i="21"/>
  <c r="S15" i="21"/>
  <c r="J41" i="39"/>
  <c r="W41" i="39"/>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AZ546" i="3" s="1"/>
  <c r="BL538" i="3"/>
  <c r="BL534" i="3"/>
  <c r="BL530" i="3"/>
  <c r="BL512" i="3"/>
  <c r="BL582" i="3"/>
  <c r="BL578" i="3"/>
  <c r="BL574" i="3"/>
  <c r="BL570" i="3"/>
  <c r="BL562" i="3"/>
  <c r="AZ562" i="3"/>
  <c r="BL556" i="3"/>
  <c r="BL552" i="3"/>
  <c r="BL540" i="3"/>
  <c r="BL536" i="3"/>
  <c r="G533" i="3"/>
  <c r="G529" i="3"/>
  <c r="BL528" i="3"/>
  <c r="G525" i="3"/>
  <c r="BL500" i="3"/>
  <c r="BA584" i="3"/>
  <c r="BA582" i="3"/>
  <c r="AZ582" i="3" s="1"/>
  <c r="BA580" i="3"/>
  <c r="AZ580" i="3" s="1"/>
  <c r="BA578" i="3"/>
  <c r="AZ578" i="3" s="1"/>
  <c r="BA576" i="3"/>
  <c r="BA574" i="3"/>
  <c r="AZ574" i="3"/>
  <c r="BA572" i="3"/>
  <c r="BA570" i="3"/>
  <c r="AZ570" i="3" s="1"/>
  <c r="BA566" i="3"/>
  <c r="BA564" i="3"/>
  <c r="BA562" i="3"/>
  <c r="BA560" i="3"/>
  <c r="AZ560" i="3" s="1"/>
  <c r="BA556" i="3"/>
  <c r="AZ556" i="3"/>
  <c r="BA552" i="3"/>
  <c r="AZ552" i="3"/>
  <c r="BA546" i="3"/>
  <c r="BA544" i="3"/>
  <c r="BA540" i="3"/>
  <c r="BA536" i="3"/>
  <c r="AZ536" i="3" s="1"/>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c r="BQ557" i="3"/>
  <c r="BQ583" i="3"/>
  <c r="BL583" i="3" s="1"/>
  <c r="BQ581" i="3"/>
  <c r="BL581" i="3" s="1"/>
  <c r="BQ579" i="3"/>
  <c r="BL579" i="3" s="1"/>
  <c r="BQ577" i="3"/>
  <c r="BL577" i="3" s="1"/>
  <c r="BQ575" i="3"/>
  <c r="BL575" i="3" s="1"/>
  <c r="BQ573" i="3"/>
  <c r="BL573" i="3" s="1"/>
  <c r="AZ573" i="3" s="1"/>
  <c r="BQ571" i="3"/>
  <c r="BL571" i="3"/>
  <c r="BQ569" i="3"/>
  <c r="BQ567" i="3"/>
  <c r="BL567" i="3" s="1"/>
  <c r="BQ565" i="3"/>
  <c r="BQ563" i="3"/>
  <c r="BL563" i="3"/>
  <c r="AZ563" i="3" s="1"/>
  <c r="BQ561" i="3"/>
  <c r="BL561" i="3" s="1"/>
  <c r="AZ561" i="3" s="1"/>
  <c r="BQ559" i="3"/>
  <c r="G559" i="3"/>
  <c r="G555" i="3"/>
  <c r="G553" i="3"/>
  <c r="G549" i="3"/>
  <c r="G547" i="3"/>
  <c r="G545" i="3"/>
  <c r="G541" i="3"/>
  <c r="G539" i="3"/>
  <c r="G537" i="3"/>
  <c r="BQ555" i="3"/>
  <c r="BL555" i="3" s="1"/>
  <c r="BQ553" i="3"/>
  <c r="BQ551" i="3"/>
  <c r="BL551" i="3"/>
  <c r="BQ549" i="3"/>
  <c r="BQ547" i="3"/>
  <c r="BL547" i="3" s="1"/>
  <c r="BQ545" i="3"/>
  <c r="BL545" i="3" s="1"/>
  <c r="BQ543" i="3"/>
  <c r="BQ541" i="3"/>
  <c r="BL541" i="3"/>
  <c r="BQ539" i="3"/>
  <c r="BL539" i="3"/>
  <c r="BQ537" i="3"/>
  <c r="BL537" i="3"/>
  <c r="BQ535" i="3"/>
  <c r="BQ533" i="3"/>
  <c r="BL533" i="3" s="1"/>
  <c r="BQ531" i="3"/>
  <c r="BL531" i="3" s="1"/>
  <c r="AZ531" i="3" s="1"/>
  <c r="BQ529" i="3"/>
  <c r="BL529" i="3"/>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s="1"/>
  <c r="E125" i="33"/>
  <c r="F125" i="33" s="1"/>
  <c r="G125" i="33" s="1"/>
  <c r="H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F31" i="40"/>
  <c r="AA31" i="40"/>
  <c r="H31" i="40"/>
  <c r="U31" i="40"/>
  <c r="F32" i="40"/>
  <c r="S32" i="40"/>
  <c r="H32" i="40"/>
  <c r="J36" i="40"/>
  <c r="W36" i="40" s="1"/>
  <c r="H19" i="37"/>
  <c r="AB19" i="37"/>
  <c r="H42" i="33"/>
  <c r="AB42" i="33"/>
  <c r="J43" i="33"/>
  <c r="AC43" i="33" s="1"/>
  <c r="S28" i="31"/>
  <c r="S27" i="31"/>
  <c r="S26" i="31"/>
  <c r="U35" i="35"/>
  <c r="W23" i="35"/>
  <c r="W14" i="37"/>
  <c r="W26" i="37"/>
  <c r="AB13" i="34"/>
  <c r="AC46" i="21"/>
  <c r="F43" i="33"/>
  <c r="AA43" i="33"/>
  <c r="AC15" i="34"/>
  <c r="G107" i="37"/>
  <c r="H107" i="37" s="1"/>
  <c r="I107" i="37" s="1"/>
  <c r="J107" i="37" s="1"/>
  <c r="K107" i="37" s="1"/>
  <c r="L107" i="37" s="1"/>
  <c r="M107" i="37" s="1"/>
  <c r="H19" i="34"/>
  <c r="AB19" i="34"/>
  <c r="F36" i="35"/>
  <c r="S36" i="35"/>
  <c r="J9" i="37"/>
  <c r="W9" i="37"/>
  <c r="H9" i="37"/>
  <c r="U9" i="37"/>
  <c r="F9" i="37"/>
  <c r="S9" i="37"/>
  <c r="J12" i="37"/>
  <c r="W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J15" i="37"/>
  <c r="W15" i="37" s="1"/>
  <c r="AT6" i="3"/>
  <c r="H19" i="40"/>
  <c r="U19" i="40"/>
  <c r="F88" i="40"/>
  <c r="G88" i="40"/>
  <c r="F19" i="40"/>
  <c r="S19" i="40"/>
  <c r="AC13" i="40"/>
  <c r="AB33" i="40"/>
  <c r="AC43" i="39"/>
  <c r="W43" i="39"/>
  <c r="U45" i="39"/>
  <c r="AB45" i="39"/>
  <c r="H37" i="39"/>
  <c r="AB37" i="39"/>
  <c r="AC37" i="39"/>
  <c r="W37" i="39"/>
  <c r="H25" i="39"/>
  <c r="AB25" i="39"/>
  <c r="J25" i="39"/>
  <c r="W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52" i="37"/>
  <c r="D52" i="37" s="1"/>
  <c r="C7" i="34"/>
  <c r="C7" i="36"/>
  <c r="C46" i="36"/>
  <c r="D46" i="36" s="1"/>
  <c r="E46" i="36" s="1"/>
  <c r="F46" i="36" s="1"/>
  <c r="G46" i="36" s="1"/>
  <c r="H46" i="36" s="1"/>
  <c r="I46" i="36" s="1"/>
  <c r="J11" i="39"/>
  <c r="AC11" i="39" s="1"/>
  <c r="F11" i="39"/>
  <c r="AA11" i="39" s="1"/>
  <c r="S11" i="39"/>
  <c r="G4" i="4"/>
  <c r="I4" i="4"/>
  <c r="F61" i="43"/>
  <c r="H64" i="43" s="1"/>
  <c r="AZ28" i="3"/>
  <c r="BL549" i="3"/>
  <c r="G546" i="3"/>
  <c r="G524" i="3"/>
  <c r="G303" i="3"/>
  <c r="BL304" i="3"/>
  <c r="G305" i="3"/>
  <c r="BL306" i="3"/>
  <c r="BA308" i="3"/>
  <c r="AZ308" i="3"/>
  <c r="BA309" i="3"/>
  <c r="BL309" i="3"/>
  <c r="AZ309" i="3" s="1"/>
  <c r="G310" i="3"/>
  <c r="BA311" i="3"/>
  <c r="G319" i="3"/>
  <c r="BL320" i="3"/>
  <c r="G321" i="3"/>
  <c r="BL322" i="3"/>
  <c r="BA324" i="3"/>
  <c r="BA325" i="3"/>
  <c r="AZ325" i="3"/>
  <c r="BL325" i="3"/>
  <c r="G326" i="3"/>
  <c r="BA327" i="3"/>
  <c r="G335" i="3"/>
  <c r="BL336" i="3"/>
  <c r="G337" i="3"/>
  <c r="BL338" i="3"/>
  <c r="BA340" i="3"/>
  <c r="BA341" i="3"/>
  <c r="AZ341" i="3"/>
  <c r="BL341" i="3"/>
  <c r="BA343" i="3"/>
  <c r="BA345" i="3"/>
  <c r="AZ345" i="3"/>
  <c r="BL355" i="3"/>
  <c r="G356" i="3"/>
  <c r="BL357" i="3"/>
  <c r="BA359" i="3"/>
  <c r="AZ359" i="3" s="1"/>
  <c r="BA360" i="3"/>
  <c r="AZ360" i="3" s="1"/>
  <c r="BL360" i="3"/>
  <c r="G361" i="3"/>
  <c r="BA362" i="3"/>
  <c r="G370" i="3"/>
  <c r="BL371" i="3"/>
  <c r="G372" i="3"/>
  <c r="BL373" i="3"/>
  <c r="BA375" i="3"/>
  <c r="AZ375" i="3"/>
  <c r="BA376" i="3"/>
  <c r="AZ376" i="3"/>
  <c r="BL376" i="3"/>
  <c r="G377" i="3"/>
  <c r="BA378" i="3"/>
  <c r="BL378" i="3"/>
  <c r="G379" i="3"/>
  <c r="BA380" i="3"/>
  <c r="G388" i="3"/>
  <c r="BL389" i="3"/>
  <c r="G390" i="3"/>
  <c r="BL391" i="3"/>
  <c r="BA393" i="3"/>
  <c r="AZ393" i="3"/>
  <c r="BA394" i="3"/>
  <c r="AZ394" i="3"/>
  <c r="BL394" i="3"/>
  <c r="G113" i="3"/>
  <c r="BA115" i="3"/>
  <c r="AZ115" i="3"/>
  <c r="BL116" i="3"/>
  <c r="G117" i="3"/>
  <c r="BA119" i="3"/>
  <c r="AZ119" i="3"/>
  <c r="BL120" i="3"/>
  <c r="G121" i="3"/>
  <c r="BA123" i="3"/>
  <c r="BL124" i="3"/>
  <c r="G125" i="3"/>
  <c r="BA127" i="3"/>
  <c r="BL128" i="3"/>
  <c r="AZ128" i="3" s="1"/>
  <c r="G129" i="3"/>
  <c r="BA131" i="3"/>
  <c r="BL132" i="3"/>
  <c r="G133" i="3"/>
  <c r="BA135" i="3"/>
  <c r="BL136" i="3"/>
  <c r="G137" i="3"/>
  <c r="BA139" i="3"/>
  <c r="BL140" i="3"/>
  <c r="G141" i="3"/>
  <c r="BA143" i="3"/>
  <c r="BL144" i="3"/>
  <c r="AZ144" i="3"/>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c r="BL172" i="3"/>
  <c r="G173" i="3"/>
  <c r="BA175" i="3"/>
  <c r="BL176" i="3"/>
  <c r="AZ176" i="3" s="1"/>
  <c r="G177" i="3"/>
  <c r="BA179" i="3"/>
  <c r="AZ179" i="3"/>
  <c r="BL180" i="3"/>
  <c r="G181" i="3"/>
  <c r="BA183" i="3"/>
  <c r="AZ183" i="3"/>
  <c r="BL184" i="3"/>
  <c r="G185" i="3"/>
  <c r="BA187" i="3"/>
  <c r="BL188" i="3"/>
  <c r="AZ188" i="3" s="1"/>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AZ347" i="3"/>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c r="BA382" i="3"/>
  <c r="AZ382" i="3"/>
  <c r="BL382" i="3"/>
  <c r="G383" i="3"/>
  <c r="G386" i="3"/>
  <c r="BL387" i="3"/>
  <c r="BA389" i="3"/>
  <c r="AZ389" i="3"/>
  <c r="BA390" i="3"/>
  <c r="BL390" i="3"/>
  <c r="G391" i="3"/>
  <c r="G394" i="3"/>
  <c r="AZ194" i="3"/>
  <c r="BA16" i="3"/>
  <c r="BL303" i="3"/>
  <c r="G304" i="3"/>
  <c r="BA306" i="3"/>
  <c r="AZ306" i="3" s="1"/>
  <c r="BL307" i="3"/>
  <c r="G308" i="3"/>
  <c r="BA310" i="3"/>
  <c r="AZ310" i="3" s="1"/>
  <c r="BL311" i="3"/>
  <c r="G312" i="3"/>
  <c r="BA314" i="3"/>
  <c r="BL315" i="3"/>
  <c r="G316" i="3"/>
  <c r="BA318" i="3"/>
  <c r="BL319" i="3"/>
  <c r="AZ319" i="3"/>
  <c r="G320" i="3"/>
  <c r="BA322" i="3"/>
  <c r="AZ322" i="3" s="1"/>
  <c r="BL323" i="3"/>
  <c r="G324" i="3"/>
  <c r="BA326" i="3"/>
  <c r="AZ326" i="3"/>
  <c r="BL327" i="3"/>
  <c r="AZ327" i="3"/>
  <c r="G328" i="3"/>
  <c r="BA330" i="3"/>
  <c r="AZ330" i="3" s="1"/>
  <c r="BL331" i="3"/>
  <c r="G332" i="3"/>
  <c r="BA334" i="3"/>
  <c r="AZ334" i="3" s="1"/>
  <c r="BL335" i="3"/>
  <c r="G336" i="3"/>
  <c r="BA338" i="3"/>
  <c r="AZ338" i="3"/>
  <c r="BL339" i="3"/>
  <c r="AZ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AZ377" i="3"/>
  <c r="AZ370" i="3"/>
  <c r="BA379" i="3"/>
  <c r="BL380" i="3"/>
  <c r="G381" i="3"/>
  <c r="BA383" i="3"/>
  <c r="BL384" i="3"/>
  <c r="AZ384" i="3" s="1"/>
  <c r="G385" i="3"/>
  <c r="BA387" i="3"/>
  <c r="BL388" i="3"/>
  <c r="G389" i="3"/>
  <c r="BA391" i="3"/>
  <c r="BL392" i="3"/>
  <c r="G393" i="3"/>
  <c r="BD5" i="3"/>
  <c r="AZ549" i="3"/>
  <c r="G548" i="3"/>
  <c r="G538" i="3"/>
  <c r="G520" i="3"/>
  <c r="AZ343" i="3"/>
  <c r="G17" i="3"/>
  <c r="BA17" i="3"/>
  <c r="BA15" i="3"/>
  <c r="AZ15" i="3" s="1"/>
  <c r="BR5" i="3"/>
  <c r="AZ390" i="3"/>
  <c r="U36" i="40"/>
  <c r="F83" i="43"/>
  <c r="H85" i="43" s="1"/>
  <c r="F50" i="43"/>
  <c r="H54" i="43" s="1"/>
  <c r="U17" i="39"/>
  <c r="S14" i="35"/>
  <c r="G8" i="1"/>
  <c r="G10" i="1"/>
  <c r="AC44" i="34"/>
  <c r="S15" i="37"/>
  <c r="U13" i="37"/>
  <c r="J37" i="33"/>
  <c r="W37" i="33" s="1"/>
  <c r="AC17" i="34"/>
  <c r="F106" i="33"/>
  <c r="G106" i="33"/>
  <c r="H106" i="33" s="1"/>
  <c r="I106" i="33" s="1"/>
  <c r="J106" i="33" s="1"/>
  <c r="K106" i="33" s="1"/>
  <c r="L106" i="33" s="1"/>
  <c r="M106" i="33" s="1"/>
  <c r="J34" i="33"/>
  <c r="F33" i="34"/>
  <c r="S33" i="34" s="1"/>
  <c r="H20" i="36"/>
  <c r="AB20" i="36" s="1"/>
  <c r="J20" i="36"/>
  <c r="W20" i="36" s="1"/>
  <c r="J27" i="36"/>
  <c r="W27" i="36"/>
  <c r="AC33" i="40"/>
  <c r="F111" i="40"/>
  <c r="G111" i="40" s="1"/>
  <c r="H111" i="40"/>
  <c r="I111" i="40" s="1"/>
  <c r="J111" i="40" s="1"/>
  <c r="K111" i="40" s="1"/>
  <c r="L111" i="40" s="1"/>
  <c r="M111" i="40" s="1"/>
  <c r="H35" i="40"/>
  <c r="AB35" i="40" s="1"/>
  <c r="AC29" i="35"/>
  <c r="W29" i="35"/>
  <c r="H35" i="37"/>
  <c r="U35" i="37" s="1"/>
  <c r="AC14" i="35"/>
  <c r="H20" i="35"/>
  <c r="U20" i="35"/>
  <c r="F20" i="35"/>
  <c r="S20" i="35" s="1"/>
  <c r="AA20" i="35"/>
  <c r="AB23" i="35"/>
  <c r="AB29" i="36"/>
  <c r="U29" i="36"/>
  <c r="H32" i="37"/>
  <c r="AB32" i="37" s="1"/>
  <c r="F96" i="37"/>
  <c r="G96" i="37" s="1"/>
  <c r="H96" i="37"/>
  <c r="I96" i="37" s="1"/>
  <c r="J96" i="37" s="1"/>
  <c r="K96" i="37" s="1"/>
  <c r="L96" i="37" s="1"/>
  <c r="M96" i="37" s="1"/>
  <c r="H27" i="40"/>
  <c r="U27" i="40" s="1"/>
  <c r="J27" i="40"/>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F35" i="33"/>
  <c r="S35" i="33" s="1"/>
  <c r="F39" i="34"/>
  <c r="J39" i="34"/>
  <c r="W39" i="34"/>
  <c r="F40" i="34"/>
  <c r="F43" i="34"/>
  <c r="AA43" i="34" s="1"/>
  <c r="H44" i="34"/>
  <c r="AC38" i="39"/>
  <c r="F39" i="39"/>
  <c r="J39" i="39"/>
  <c r="AC39" i="39" s="1"/>
  <c r="E96" i="39"/>
  <c r="F96" i="39" s="1"/>
  <c r="G96" i="39" s="1"/>
  <c r="C40" i="11"/>
  <c r="AZ72" i="3"/>
  <c r="AZ82" i="3"/>
  <c r="F23" i="39"/>
  <c r="S23" i="39" s="1"/>
  <c r="H27" i="36"/>
  <c r="U27" i="36" s="1"/>
  <c r="F27" i="36"/>
  <c r="AA27" i="36" s="1"/>
  <c r="H33" i="34"/>
  <c r="F32" i="37"/>
  <c r="AA32" i="37" s="1"/>
  <c r="F20" i="36"/>
  <c r="AA20" i="36" s="1"/>
  <c r="J33" i="34"/>
  <c r="H23" i="39"/>
  <c r="U23" i="39"/>
  <c r="D48" i="9"/>
  <c r="M52" i="9"/>
  <c r="K9" i="1"/>
  <c r="M9" i="1"/>
  <c r="D93" i="9"/>
  <c r="K6" i="1"/>
  <c r="AC26" i="33"/>
  <c r="W26" i="33"/>
  <c r="AB34" i="36"/>
  <c r="U34" i="36"/>
  <c r="AB33" i="36"/>
  <c r="U33" i="36"/>
  <c r="AC12" i="39"/>
  <c r="W12" i="39"/>
  <c r="AA32" i="36"/>
  <c r="S32" i="36"/>
  <c r="AZ441" i="3"/>
  <c r="BL14" i="3"/>
  <c r="AC13" i="34"/>
  <c r="W28" i="37"/>
  <c r="S19" i="39"/>
  <c r="F12" i="33"/>
  <c r="AA12" i="33" s="1"/>
  <c r="H12" i="39"/>
  <c r="AB12" i="39"/>
  <c r="F39" i="40"/>
  <c r="AA39" i="40"/>
  <c r="BA14" i="3"/>
  <c r="AZ14" i="3"/>
  <c r="B12" i="1"/>
  <c r="E12" i="1"/>
  <c r="B10" i="1"/>
  <c r="AZ84" i="3"/>
  <c r="K12" i="1"/>
  <c r="M12" i="1"/>
  <c r="S13" i="1"/>
  <c r="AR13" i="1"/>
  <c r="R13" i="1"/>
  <c r="J51" i="67"/>
  <c r="C42" i="1"/>
  <c r="AA34" i="33"/>
  <c r="B41" i="1"/>
  <c r="AB37" i="40"/>
  <c r="AA32" i="40"/>
  <c r="S17" i="40"/>
  <c r="AC17" i="40"/>
  <c r="AC15" i="40"/>
  <c r="AB27" i="40"/>
  <c r="AA19" i="40"/>
  <c r="S28" i="40"/>
  <c r="AA27" i="40"/>
  <c r="U21" i="40"/>
  <c r="AB19" i="40"/>
  <c r="U37" i="39"/>
  <c r="S43" i="39"/>
  <c r="S37" i="39"/>
  <c r="U35" i="39"/>
  <c r="F32" i="39"/>
  <c r="F106" i="39"/>
  <c r="G106" i="39" s="1"/>
  <c r="H106" i="39"/>
  <c r="I106" i="39" s="1"/>
  <c r="J106" i="39" s="1"/>
  <c r="K106" i="39" s="1"/>
  <c r="L106" i="39" s="1"/>
  <c r="M106" i="39" s="1"/>
  <c r="U25" i="39"/>
  <c r="AB27" i="39"/>
  <c r="J21" i="39"/>
  <c r="W21" i="39" s="1"/>
  <c r="F21" i="39"/>
  <c r="G94" i="39"/>
  <c r="H21" i="39"/>
  <c r="W19" i="39"/>
  <c r="U19" i="39"/>
  <c r="S17" i="39"/>
  <c r="S15" i="39"/>
  <c r="S9" i="39"/>
  <c r="U14" i="39"/>
  <c r="AC13" i="39"/>
  <c r="S23" i="36"/>
  <c r="U13" i="36"/>
  <c r="S33" i="36"/>
  <c r="AA26" i="36"/>
  <c r="AA22" i="36"/>
  <c r="W14" i="36"/>
  <c r="AB14" i="36"/>
  <c r="U22" i="36"/>
  <c r="S16" i="36"/>
  <c r="S24" i="36"/>
  <c r="U16" i="36"/>
  <c r="S23" i="35"/>
  <c r="U29" i="35"/>
  <c r="U28" i="35"/>
  <c r="AB27" i="35"/>
  <c r="U36" i="35"/>
  <c r="U32" i="35"/>
  <c r="AC30" i="35"/>
  <c r="S32" i="35"/>
  <c r="S28" i="35"/>
  <c r="AB16" i="35"/>
  <c r="AC20" i="35"/>
  <c r="S22" i="35"/>
  <c r="U14" i="35"/>
  <c r="AA11" i="35"/>
  <c r="AC9" i="35"/>
  <c r="W9" i="35"/>
  <c r="W13" i="35"/>
  <c r="F9" i="35"/>
  <c r="S9" i="35" s="1"/>
  <c r="H9" i="35"/>
  <c r="U9" i="35" s="1"/>
  <c r="W27" i="37"/>
  <c r="U29" i="37"/>
  <c r="S32" i="37"/>
  <c r="AB31" i="37"/>
  <c r="W30" i="37"/>
  <c r="S36" i="37"/>
  <c r="AA38" i="37"/>
  <c r="W38" i="37"/>
  <c r="AC35" i="37"/>
  <c r="W39" i="37"/>
  <c r="S30" i="37"/>
  <c r="J17" i="37"/>
  <c r="W17" i="37"/>
  <c r="F17" i="37"/>
  <c r="AA17" i="37"/>
  <c r="F75" i="37"/>
  <c r="F19" i="37"/>
  <c r="S19" i="37" s="1"/>
  <c r="F23" i="37"/>
  <c r="S23" i="37" s="1"/>
  <c r="U15" i="37"/>
  <c r="H10" i="37"/>
  <c r="AB10" i="37"/>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s="1"/>
  <c r="H121" i="33" s="1"/>
  <c r="I121" i="33" s="1"/>
  <c r="J121" i="33" s="1"/>
  <c r="K121" i="33" s="1"/>
  <c r="L121" i="33" s="1"/>
  <c r="M121" i="33" s="1"/>
  <c r="S42" i="33"/>
  <c r="F36" i="33"/>
  <c r="AA36" i="33"/>
  <c r="G111" i="33"/>
  <c r="G108" i="33"/>
  <c r="H108" i="33" s="1"/>
  <c r="I108" i="33" s="1"/>
  <c r="J108" i="33" s="1"/>
  <c r="K108" i="33" s="1"/>
  <c r="L108" i="33" s="1"/>
  <c r="M108" i="33" s="1"/>
  <c r="J35" i="33"/>
  <c r="S37" i="33"/>
  <c r="AA37" i="33"/>
  <c r="F101" i="33"/>
  <c r="G101" i="33" s="1"/>
  <c r="H101" i="33"/>
  <c r="I101" i="33" s="1"/>
  <c r="J101" i="33" s="1"/>
  <c r="K101" i="33" s="1"/>
  <c r="L101" i="33" s="1"/>
  <c r="M101" i="33" s="1"/>
  <c r="J32" i="33"/>
  <c r="AC32" i="33" s="1"/>
  <c r="S46" i="33"/>
  <c r="W43" i="33"/>
  <c r="F91" i="33"/>
  <c r="G91" i="33" s="1"/>
  <c r="H91" i="33" s="1"/>
  <c r="I91" i="33" s="1"/>
  <c r="J91" i="33" s="1"/>
  <c r="K91" i="33" s="1"/>
  <c r="L91" i="33" s="1"/>
  <c r="M91" i="33" s="1"/>
  <c r="H27" i="33"/>
  <c r="F87" i="33"/>
  <c r="G87" i="33"/>
  <c r="H87" i="33" s="1"/>
  <c r="I87" i="33" s="1"/>
  <c r="J87" i="33" s="1"/>
  <c r="K87" i="33" s="1"/>
  <c r="L87" i="33" s="1"/>
  <c r="M87" i="33" s="1"/>
  <c r="H25" i="33"/>
  <c r="F25" i="33"/>
  <c r="J23" i="33"/>
  <c r="AC23" i="33" s="1"/>
  <c r="F85" i="33"/>
  <c r="H23" i="33"/>
  <c r="U23" i="33" s="1"/>
  <c r="F81" i="33"/>
  <c r="G81" i="33"/>
  <c r="F19" i="33"/>
  <c r="S19" i="33"/>
  <c r="W19" i="33"/>
  <c r="J17" i="33"/>
  <c r="W17" i="33" s="1"/>
  <c r="F79" i="33"/>
  <c r="S15" i="33"/>
  <c r="W15" i="33"/>
  <c r="U9" i="33"/>
  <c r="J10" i="33"/>
  <c r="W10" i="33" s="1"/>
  <c r="H10" i="33"/>
  <c r="U10" i="33" s="1"/>
  <c r="AC11" i="33"/>
  <c r="W41" i="21"/>
  <c r="J15" i="21"/>
  <c r="AC15" i="21"/>
  <c r="W15" i="21"/>
  <c r="E85" i="21"/>
  <c r="F23" i="21" s="1"/>
  <c r="D120" i="9"/>
  <c r="D121" i="9"/>
  <c r="D7" i="52" s="1"/>
  <c r="C18" i="9"/>
  <c r="D18" i="9" s="1"/>
  <c r="BA13" i="3"/>
  <c r="BL17" i="3"/>
  <c r="AZ17" i="3"/>
  <c r="BL13" i="3"/>
  <c r="J56" i="9"/>
  <c r="J57" i="9" s="1"/>
  <c r="J59" i="9" s="1"/>
  <c r="J61" i="9" s="1"/>
  <c r="E32" i="6"/>
  <c r="G1" i="68"/>
  <c r="K1" i="12"/>
  <c r="E19" i="69"/>
  <c r="E19" i="68"/>
  <c r="E19" i="11"/>
  <c r="E1" i="73"/>
  <c r="G22" i="69"/>
  <c r="G22" i="68"/>
  <c r="G26" i="12"/>
  <c r="G22" i="11"/>
  <c r="B19" i="53"/>
  <c r="B37" i="72" s="1"/>
  <c r="C7" i="39"/>
  <c r="C67" i="39" s="1"/>
  <c r="C7" i="35"/>
  <c r="C48" i="35" s="1"/>
  <c r="D48" i="35" s="1"/>
  <c r="E48" i="35" s="1"/>
  <c r="C7" i="33"/>
  <c r="C7" i="21"/>
  <c r="C7" i="40"/>
  <c r="C63" i="40"/>
  <c r="M47" i="9"/>
  <c r="G23" i="43"/>
  <c r="L20" i="6"/>
  <c r="B6" i="1"/>
  <c r="E6" i="1" s="1"/>
  <c r="K11" i="1"/>
  <c r="M11" i="1" s="1"/>
  <c r="O11" i="1"/>
  <c r="B9" i="1"/>
  <c r="E9" i="1"/>
  <c r="K7" i="1"/>
  <c r="M7" i="1"/>
  <c r="O7" i="1"/>
  <c r="P7" i="1"/>
  <c r="G1" i="15"/>
  <c r="G1" i="69"/>
  <c r="G1" i="67"/>
  <c r="W23" i="40"/>
  <c r="S37" i="40"/>
  <c r="AB28" i="40"/>
  <c r="W28" i="40"/>
  <c r="W34" i="40"/>
  <c r="S36" i="40"/>
  <c r="W37" i="40"/>
  <c r="AC14" i="40"/>
  <c r="S13" i="40"/>
  <c r="AA15" i="40"/>
  <c r="U11" i="40"/>
  <c r="S31" i="40"/>
  <c r="U15" i="40"/>
  <c r="AB17" i="40"/>
  <c r="U8" i="40"/>
  <c r="S8" i="40"/>
  <c r="U42" i="39"/>
  <c r="U41" i="39"/>
  <c r="U13" i="39"/>
  <c r="AA13" i="39"/>
  <c r="S13" i="39"/>
  <c r="U43" i="39"/>
  <c r="AB43" i="39"/>
  <c r="AB11" i="39"/>
  <c r="U11" i="39"/>
  <c r="AA27" i="39"/>
  <c r="S27" i="39"/>
  <c r="W17" i="39"/>
  <c r="AC17" i="39"/>
  <c r="W31" i="39"/>
  <c r="AC31"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c r="S46" i="21"/>
  <c r="H45" i="21"/>
  <c r="U45" i="21" s="1"/>
  <c r="F13" i="21"/>
  <c r="S13" i="21" s="1"/>
  <c r="H9" i="21"/>
  <c r="AB9" i="21" s="1"/>
  <c r="J9" i="2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c r="B73" i="72" s="1"/>
  <c r="S12" i="33"/>
  <c r="J32" i="39"/>
  <c r="AC32" i="39" s="1"/>
  <c r="H32" i="39"/>
  <c r="AB32" i="39"/>
  <c r="AA32" i="39"/>
  <c r="S32" i="39"/>
  <c r="AB21" i="39"/>
  <c r="U21" i="39"/>
  <c r="J19" i="37"/>
  <c r="W19" i="37" s="1"/>
  <c r="G75" i="37"/>
  <c r="J23" i="37"/>
  <c r="W23" i="37"/>
  <c r="J10" i="37"/>
  <c r="W10" i="37"/>
  <c r="G63" i="37"/>
  <c r="H63" i="37"/>
  <c r="I63" i="37" s="1"/>
  <c r="J63" i="37" s="1"/>
  <c r="K63" i="37" s="1"/>
  <c r="L63" i="37" s="1"/>
  <c r="M63" i="37" s="1"/>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AB36" i="33" s="1"/>
  <c r="S36" i="33"/>
  <c r="W32" i="33"/>
  <c r="U27" i="33"/>
  <c r="AB27" i="33"/>
  <c r="J27" i="33"/>
  <c r="AC27" i="33"/>
  <c r="U25" i="33"/>
  <c r="AB25" i="33"/>
  <c r="J25" i="33"/>
  <c r="AC25" i="33" s="1"/>
  <c r="AB23" i="33"/>
  <c r="F23" i="33"/>
  <c r="S23" i="33"/>
  <c r="G85" i="33"/>
  <c r="W23" i="33"/>
  <c r="AA19" i="33"/>
  <c r="H19" i="33"/>
  <c r="U19" i="33" s="1"/>
  <c r="G79" i="33"/>
  <c r="H17" i="33"/>
  <c r="U17" i="33" s="1"/>
  <c r="F17" i="33"/>
  <c r="S17" i="33"/>
  <c r="AC17" i="33"/>
  <c r="J23" i="21"/>
  <c r="W23" i="21" s="1"/>
  <c r="F85" i="21"/>
  <c r="G85" i="21" s="1"/>
  <c r="H23" i="21"/>
  <c r="U23" i="21" s="1"/>
  <c r="D6" i="52"/>
  <c r="AP7" i="1"/>
  <c r="AB45" i="21"/>
  <c r="U32" i="39"/>
  <c r="W32" i="39"/>
  <c r="AC19" i="37"/>
  <c r="J11" i="37"/>
  <c r="AC11" i="37"/>
  <c r="J11" i="34"/>
  <c r="W11" i="34" s="1"/>
  <c r="W27" i="33"/>
  <c r="AA23" i="33"/>
  <c r="AB17" i="33"/>
  <c r="H109" i="9"/>
  <c r="M49" i="9"/>
  <c r="H112" i="9"/>
  <c r="D21" i="53"/>
  <c r="B39" i="72" s="1"/>
  <c r="H111" i="9"/>
  <c r="D126" i="9"/>
  <c r="AD3" i="71"/>
  <c r="J1" i="73"/>
  <c r="C22" i="71"/>
  <c r="C21" i="71"/>
  <c r="D23" i="71"/>
  <c r="D24" i="71"/>
  <c r="U24" i="71"/>
  <c r="S24" i="71"/>
  <c r="T24" i="71"/>
  <c r="AB22" i="71"/>
  <c r="X20" i="71"/>
  <c r="X19" i="71"/>
  <c r="AA20" i="71"/>
  <c r="AA19" i="71"/>
  <c r="X23" i="71"/>
  <c r="Y19" i="71"/>
  <c r="Z19" i="71" s="1"/>
  <c r="AB20" i="71"/>
  <c r="AB19" i="71"/>
  <c r="Y20" i="71"/>
  <c r="Z20" i="71" s="1"/>
  <c r="X3" i="71"/>
  <c r="E21" i="71"/>
  <c r="E20" i="71"/>
  <c r="AC23" i="37"/>
  <c r="AZ575" i="3"/>
  <c r="AZ583" i="3"/>
  <c r="S39" i="40"/>
  <c r="W30" i="40"/>
  <c r="AA31" i="37"/>
  <c r="AB31" i="40"/>
  <c r="S43" i="33"/>
  <c r="AC13" i="37"/>
  <c r="AA25" i="35"/>
  <c r="W37" i="37"/>
  <c r="AZ379" i="3"/>
  <c r="AZ351" i="3"/>
  <c r="AZ378" i="3"/>
  <c r="W16" i="35"/>
  <c r="AZ539" i="3"/>
  <c r="AZ577" i="3"/>
  <c r="AZ576" i="3"/>
  <c r="U17" i="34"/>
  <c r="AB17" i="34"/>
  <c r="AA31" i="21"/>
  <c r="AC41" i="39"/>
  <c r="AA14" i="21"/>
  <c r="U27" i="34"/>
  <c r="AB41" i="34"/>
  <c r="AA33" i="34"/>
  <c r="AC15" i="37"/>
  <c r="AA33" i="35"/>
  <c r="AZ391" i="3"/>
  <c r="AZ380" i="3"/>
  <c r="AZ311" i="3"/>
  <c r="W11" i="39"/>
  <c r="U11" i="33"/>
  <c r="U14" i="40"/>
  <c r="S15" i="34"/>
  <c r="AZ403" i="3"/>
  <c r="D22" i="71"/>
  <c r="AB47" i="34"/>
  <c r="S27" i="37"/>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c r="BA398" i="3"/>
  <c r="BL401" i="3"/>
  <c r="G402" i="3"/>
  <c r="G404" i="3"/>
  <c r="BL404" i="3"/>
  <c r="BL405" i="3"/>
  <c r="G406" i="3"/>
  <c r="BA407" i="3"/>
  <c r="AZ407" i="3" s="1"/>
  <c r="BA408" i="3"/>
  <c r="BA412" i="3"/>
  <c r="AZ412" i="3"/>
  <c r="BL424" i="3"/>
  <c r="G425" i="3"/>
  <c r="BL425" i="3"/>
  <c r="G427" i="3"/>
  <c r="BA429" i="3"/>
  <c r="BA430" i="3"/>
  <c r="AZ430" i="3" s="1"/>
  <c r="AZ225" i="3"/>
  <c r="U40" i="33"/>
  <c r="F27" i="34"/>
  <c r="H11" i="21"/>
  <c r="U11" i="21"/>
  <c r="F11" i="21"/>
  <c r="S11" i="21"/>
  <c r="W28" i="35"/>
  <c r="F43" i="21"/>
  <c r="S43" i="21" s="1"/>
  <c r="J43" i="21"/>
  <c r="AC43" i="21" s="1"/>
  <c r="F9" i="33"/>
  <c r="AA9" i="33" s="1"/>
  <c r="G566" i="3"/>
  <c r="BA550" i="3"/>
  <c r="AZ404" i="3"/>
  <c r="AZ434" i="3"/>
  <c r="AZ444" i="3"/>
  <c r="BL450" i="3"/>
  <c r="G237" i="3"/>
  <c r="AC12" i="34"/>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c r="BL398" i="3"/>
  <c r="BA400" i="3"/>
  <c r="AZ400" i="3" s="1"/>
  <c r="BA401" i="3"/>
  <c r="AZ401" i="3" s="1"/>
  <c r="BA405" i="3"/>
  <c r="AZ405" i="3" s="1"/>
  <c r="BL408" i="3"/>
  <c r="G409" i="3"/>
  <c r="G410" i="3"/>
  <c r="BA410" i="3"/>
  <c r="AZ410" i="3"/>
  <c r="G413" i="3"/>
  <c r="BA413" i="3"/>
  <c r="AZ413" i="3" s="1"/>
  <c r="BL415" i="3"/>
  <c r="BA418" i="3"/>
  <c r="BL419" i="3"/>
  <c r="G421" i="3"/>
  <c r="BL421" i="3"/>
  <c r="G423" i="3"/>
  <c r="G424" i="3"/>
  <c r="BA424" i="3"/>
  <c r="AZ424" i="3"/>
  <c r="BA426" i="3"/>
  <c r="BA427" i="3"/>
  <c r="BA432" i="3"/>
  <c r="AZ432" i="3"/>
  <c r="BL438" i="3"/>
  <c r="G440" i="3"/>
  <c r="G441" i="3"/>
  <c r="BL442" i="3"/>
  <c r="BA443" i="3"/>
  <c r="BL446" i="3"/>
  <c r="BA456" i="3"/>
  <c r="BL459" i="3"/>
  <c r="AZ459" i="3" s="1"/>
  <c r="G460" i="3"/>
  <c r="BA476" i="3"/>
  <c r="AZ476" i="3"/>
  <c r="BL485" i="3"/>
  <c r="G490" i="3"/>
  <c r="G397" i="3"/>
  <c r="BL214" i="3"/>
  <c r="AZ214" i="3" s="1"/>
  <c r="AZ228" i="3"/>
  <c r="BA399" i="3"/>
  <c r="AZ399" i="3"/>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c r="AZ447" i="3"/>
  <c r="BA452" i="3"/>
  <c r="AZ452" i="3" s="1"/>
  <c r="BA454" i="3"/>
  <c r="BA455" i="3"/>
  <c r="AZ455" i="3"/>
  <c r="BL458" i="3"/>
  <c r="AZ458" i="3"/>
  <c r="G468" i="3"/>
  <c r="BA474" i="3"/>
  <c r="BA481" i="3"/>
  <c r="BL489" i="3"/>
  <c r="AZ489" i="3" s="1"/>
  <c r="G366" i="3"/>
  <c r="AZ220" i="3"/>
  <c r="BL451" i="3"/>
  <c r="AZ451" i="3" s="1"/>
  <c r="BL454" i="3"/>
  <c r="BL456" i="3"/>
  <c r="G463" i="3"/>
  <c r="BA463" i="3"/>
  <c r="AZ463" i="3"/>
  <c r="BA464" i="3"/>
  <c r="BA466" i="3"/>
  <c r="BL469" i="3"/>
  <c r="BL471" i="3"/>
  <c r="BL473" i="3"/>
  <c r="G481" i="3"/>
  <c r="BA485" i="3"/>
  <c r="BA488" i="3"/>
  <c r="BA489" i="3"/>
  <c r="BA491" i="3"/>
  <c r="AZ491" i="3"/>
  <c r="BA307" i="3"/>
  <c r="AZ307" i="3"/>
  <c r="BA315" i="3"/>
  <c r="AZ315" i="3"/>
  <c r="BL317" i="3"/>
  <c r="AZ317" i="3"/>
  <c r="BL328" i="3"/>
  <c r="AZ328" i="3"/>
  <c r="BA332" i="3"/>
  <c r="AZ332" i="3"/>
  <c r="BL340" i="3"/>
  <c r="AZ340" i="3"/>
  <c r="BL346" i="3"/>
  <c r="AZ346" i="3"/>
  <c r="BA350" i="3"/>
  <c r="BA353" i="3"/>
  <c r="AZ353" i="3"/>
  <c r="BA358" i="3"/>
  <c r="AZ358" i="3"/>
  <c r="BA366" i="3"/>
  <c r="AZ366" i="3"/>
  <c r="BL368" i="3"/>
  <c r="G380" i="3"/>
  <c r="G384" i="3"/>
  <c r="BL386" i="3"/>
  <c r="BA392" i="3"/>
  <c r="AZ392" i="3"/>
  <c r="BA395" i="3"/>
  <c r="BL208" i="3"/>
  <c r="BL209" i="3"/>
  <c r="AZ209" i="3"/>
  <c r="G212" i="3"/>
  <c r="BA212" i="3"/>
  <c r="AZ212" i="3" s="1"/>
  <c r="BA213" i="3"/>
  <c r="AZ213" i="3" s="1"/>
  <c r="BL216" i="3"/>
  <c r="BL218" i="3"/>
  <c r="BL230" i="3"/>
  <c r="BL232" i="3"/>
  <c r="BA233" i="3"/>
  <c r="AZ233" i="3" s="1"/>
  <c r="BA234" i="3"/>
  <c r="BL246" i="3"/>
  <c r="BL249" i="3"/>
  <c r="BA250" i="3"/>
  <c r="BL258" i="3"/>
  <c r="BL259" i="3"/>
  <c r="AZ259" i="3" s="1"/>
  <c r="BL261" i="3"/>
  <c r="BA274" i="3"/>
  <c r="AZ274" i="3"/>
  <c r="BA280" i="3"/>
  <c r="AZ280" i="3"/>
  <c r="BA284" i="3"/>
  <c r="AZ284" i="3"/>
  <c r="BA285" i="3"/>
  <c r="BA295" i="3"/>
  <c r="BL295" i="3"/>
  <c r="BA116" i="3"/>
  <c r="AZ116" i="3" s="1"/>
  <c r="BA120" i="3"/>
  <c r="AZ120" i="3" s="1"/>
  <c r="BA145" i="3"/>
  <c r="BL181" i="3"/>
  <c r="O66" i="71"/>
  <c r="D66" i="71"/>
  <c r="O65" i="71"/>
  <c r="D30" i="71"/>
  <c r="C31" i="71"/>
  <c r="G417" i="3"/>
  <c r="BL418" i="3"/>
  <c r="BA419" i="3"/>
  <c r="BA423" i="3"/>
  <c r="AZ423" i="3"/>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c r="BA450" i="3"/>
  <c r="G451" i="3"/>
  <c r="BL452" i="3"/>
  <c r="BA453" i="3"/>
  <c r="AZ453" i="3" s="1"/>
  <c r="BL461" i="3"/>
  <c r="BA462" i="3"/>
  <c r="BL467" i="3"/>
  <c r="AZ467" i="3" s="1"/>
  <c r="G469" i="3"/>
  <c r="BL470" i="3"/>
  <c r="BA473" i="3"/>
  <c r="AZ473" i="3" s="1"/>
  <c r="BL475" i="3"/>
  <c r="BA477" i="3"/>
  <c r="AZ477" i="3"/>
  <c r="G479" i="3"/>
  <c r="BL479" i="3"/>
  <c r="BL480" i="3"/>
  <c r="BL482" i="3"/>
  <c r="G484" i="3"/>
  <c r="G485" i="3"/>
  <c r="BA487" i="3"/>
  <c r="AZ487" i="3"/>
  <c r="G491" i="3"/>
  <c r="BA303" i="3"/>
  <c r="AZ303" i="3" s="1"/>
  <c r="BL314" i="3"/>
  <c r="AZ314" i="3" s="1"/>
  <c r="BL316" i="3"/>
  <c r="BL324" i="3"/>
  <c r="AZ324" i="3"/>
  <c r="BA335" i="3"/>
  <c r="AZ335" i="3"/>
  <c r="G345" i="3"/>
  <c r="BA349" i="3"/>
  <c r="AZ349" i="3" s="1"/>
  <c r="BL350" i="3"/>
  <c r="AZ350" i="3" s="1"/>
  <c r="BA352" i="3"/>
  <c r="AZ352" i="3"/>
  <c r="BL365" i="3"/>
  <c r="AZ365" i="3"/>
  <c r="BA368" i="3"/>
  <c r="G378" i="3"/>
  <c r="BL383" i="3"/>
  <c r="AZ383" i="3"/>
  <c r="BA386" i="3"/>
  <c r="AZ386" i="3"/>
  <c r="G392" i="3"/>
  <c r="BL395" i="3"/>
  <c r="BL396" i="3"/>
  <c r="AZ396" i="3"/>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BA242" i="3"/>
  <c r="BL243" i="3"/>
  <c r="AZ243" i="3" s="1"/>
  <c r="BA253" i="3"/>
  <c r="BA254" i="3"/>
  <c r="BA266" i="3"/>
  <c r="BA267" i="3"/>
  <c r="BL268" i="3"/>
  <c r="BL269" i="3"/>
  <c r="AZ269" i="3" s="1"/>
  <c r="BL271" i="3"/>
  <c r="BL275" i="3"/>
  <c r="AZ275" i="3"/>
  <c r="G277" i="3"/>
  <c r="BL277" i="3"/>
  <c r="BL285" i="3"/>
  <c r="BL290" i="3"/>
  <c r="BA292" i="3"/>
  <c r="BA299" i="3"/>
  <c r="BA301" i="3"/>
  <c r="AZ301" i="3"/>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c r="BA316" i="3"/>
  <c r="AZ316" i="3"/>
  <c r="BA323" i="3"/>
  <c r="AZ323" i="3"/>
  <c r="BA331" i="3"/>
  <c r="AZ331" i="3"/>
  <c r="BL333" i="3"/>
  <c r="AZ333" i="3"/>
  <c r="G339" i="3"/>
  <c r="BL348" i="3"/>
  <c r="AZ348" i="3" s="1"/>
  <c r="BL354" i="3"/>
  <c r="AZ354" i="3" s="1"/>
  <c r="BL363" i="3"/>
  <c r="AZ363" i="3" s="1"/>
  <c r="BL367" i="3"/>
  <c r="AZ367" i="3" s="1"/>
  <c r="BA374" i="3"/>
  <c r="AZ374" i="3" s="1"/>
  <c r="BA385" i="3"/>
  <c r="AZ385" i="3" s="1"/>
  <c r="BA388" i="3"/>
  <c r="AZ388" i="3" s="1"/>
  <c r="G395" i="3"/>
  <c r="BL397" i="3"/>
  <c r="AZ397" i="3"/>
  <c r="BA210" i="3"/>
  <c r="BA211" i="3"/>
  <c r="G214" i="3"/>
  <c r="G215" i="3"/>
  <c r="BL215" i="3"/>
  <c r="BL219" i="3"/>
  <c r="G221" i="3"/>
  <c r="BL221" i="3"/>
  <c r="AZ221" i="3"/>
  <c r="BL222" i="3"/>
  <c r="BL223" i="3"/>
  <c r="BL224" i="3"/>
  <c r="G226" i="3"/>
  <c r="BL226" i="3"/>
  <c r="AZ226" i="3" s="1"/>
  <c r="BL227" i="3"/>
  <c r="G229" i="3"/>
  <c r="BL229" i="3"/>
  <c r="G235" i="3"/>
  <c r="BL239" i="3"/>
  <c r="BA240" i="3"/>
  <c r="AZ240" i="3"/>
  <c r="BL242" i="3"/>
  <c r="BA246" i="3"/>
  <c r="BL250" i="3"/>
  <c r="G251" i="3"/>
  <c r="BL251" i="3"/>
  <c r="AZ251" i="3"/>
  <c r="BA258" i="3"/>
  <c r="G264" i="3"/>
  <c r="BL264" i="3"/>
  <c r="AZ264" i="3" s="1"/>
  <c r="BA265" i="3"/>
  <c r="G280" i="3"/>
  <c r="BA286" i="3"/>
  <c r="BA287" i="3"/>
  <c r="AZ287" i="3"/>
  <c r="G290" i="3"/>
  <c r="G297" i="3"/>
  <c r="G302" i="3"/>
  <c r="BA114" i="3"/>
  <c r="BL122" i="3"/>
  <c r="BL137" i="3"/>
  <c r="G139" i="3"/>
  <c r="BA146" i="3"/>
  <c r="BL150" i="3"/>
  <c r="AZ150" i="3"/>
  <c r="BL153" i="3"/>
  <c r="BL159" i="3"/>
  <c r="AZ159" i="3"/>
  <c r="BA184" i="3"/>
  <c r="AZ184" i="3"/>
  <c r="G203" i="3"/>
  <c r="BA204" i="3"/>
  <c r="AZ204" i="3" s="1"/>
  <c r="BA232" i="3"/>
  <c r="AZ232" i="3" s="1"/>
  <c r="BA237" i="3"/>
  <c r="AZ237" i="3" s="1"/>
  <c r="G242" i="3"/>
  <c r="G243" i="3"/>
  <c r="BL244" i="3"/>
  <c r="BA245" i="3"/>
  <c r="AZ245" i="3" s="1"/>
  <c r="BL247" i="3"/>
  <c r="BA248" i="3"/>
  <c r="AZ248" i="3"/>
  <c r="BA249" i="3"/>
  <c r="AZ249" i="3"/>
  <c r="BL252" i="3"/>
  <c r="BL253" i="3"/>
  <c r="BL254" i="3"/>
  <c r="G256" i="3"/>
  <c r="BL256" i="3"/>
  <c r="BA257" i="3"/>
  <c r="AZ257" i="3"/>
  <c r="G260" i="3"/>
  <c r="BA260" i="3"/>
  <c r="AZ260" i="3" s="1"/>
  <c r="BA261" i="3"/>
  <c r="AZ261" i="3" s="1"/>
  <c r="BA262" i="3"/>
  <c r="G267" i="3"/>
  <c r="G268" i="3"/>
  <c r="G270" i="3"/>
  <c r="BA270" i="3"/>
  <c r="AZ270" i="3" s="1"/>
  <c r="BA271" i="3"/>
  <c r="BA272" i="3"/>
  <c r="BL278" i="3"/>
  <c r="AZ278" i="3" s="1"/>
  <c r="BL279" i="3"/>
  <c r="AZ279" i="3"/>
  <c r="BL280" i="3"/>
  <c r="BL281" i="3"/>
  <c r="G283" i="3"/>
  <c r="BA283" i="3"/>
  <c r="AZ283" i="3" s="1"/>
  <c r="BL286" i="3"/>
  <c r="AZ286" i="3" s="1"/>
  <c r="G287" i="3"/>
  <c r="BA289" i="3"/>
  <c r="BA290" i="3"/>
  <c r="AZ290" i="3"/>
  <c r="G293" i="3"/>
  <c r="BA298" i="3"/>
  <c r="G301" i="3"/>
  <c r="BL114" i="3"/>
  <c r="BL117" i="3"/>
  <c r="AZ117" i="3" s="1"/>
  <c r="BL123" i="3"/>
  <c r="AZ123" i="3" s="1"/>
  <c r="BL125" i="3"/>
  <c r="G127" i="3"/>
  <c r="BL131" i="3"/>
  <c r="AZ131" i="3" s="1"/>
  <c r="G135" i="3"/>
  <c r="BA138" i="3"/>
  <c r="G152" i="3"/>
  <c r="BA152" i="3"/>
  <c r="AZ152" i="3"/>
  <c r="BL154" i="3"/>
  <c r="BA156" i="3"/>
  <c r="AZ156" i="3" s="1"/>
  <c r="BL165" i="3"/>
  <c r="AZ165" i="3" s="1"/>
  <c r="BA180" i="3"/>
  <c r="AZ180" i="3" s="1"/>
  <c r="BA196" i="3"/>
  <c r="AZ196" i="3" s="1"/>
  <c r="BL199" i="3"/>
  <c r="AZ199" i="3" s="1"/>
  <c r="BA201" i="3"/>
  <c r="AZ201" i="3" s="1"/>
  <c r="BL201" i="3"/>
  <c r="BA205" i="3"/>
  <c r="AZ205" i="3"/>
  <c r="C55" i="71"/>
  <c r="D54" i="71"/>
  <c r="BA247" i="3"/>
  <c r="AZ247" i="3"/>
  <c r="G252" i="3"/>
  <c r="BA255" i="3"/>
  <c r="AZ255" i="3" s="1"/>
  <c r="BA256" i="3"/>
  <c r="AZ256" i="3" s="1"/>
  <c r="BL262" i="3"/>
  <c r="BL263" i="3"/>
  <c r="AZ263" i="3"/>
  <c r="G265" i="3"/>
  <c r="G266" i="3"/>
  <c r="BL266" i="3"/>
  <c r="BL272" i="3"/>
  <c r="BL273" i="3"/>
  <c r="AZ273" i="3"/>
  <c r="G275" i="3"/>
  <c r="G276" i="3"/>
  <c r="BL276" i="3"/>
  <c r="G278" i="3"/>
  <c r="BA281" i="3"/>
  <c r="BA282" i="3"/>
  <c r="AZ282" i="3" s="1"/>
  <c r="G285" i="3"/>
  <c r="BA288" i="3"/>
  <c r="BL291" i="3"/>
  <c r="AZ291" i="3"/>
  <c r="G292" i="3"/>
  <c r="BL292" i="3"/>
  <c r="BL294" i="3"/>
  <c r="G296" i="3"/>
  <c r="BL296" i="3"/>
  <c r="AZ296" i="3"/>
  <c r="G298" i="3"/>
  <c r="BL299" i="3"/>
  <c r="G300" i="3"/>
  <c r="BL302" i="3"/>
  <c r="BA118" i="3"/>
  <c r="BL118" i="3"/>
  <c r="G122" i="3"/>
  <c r="G123" i="3"/>
  <c r="BA125" i="3"/>
  <c r="G131" i="3"/>
  <c r="BA137" i="3"/>
  <c r="AZ137" i="3"/>
  <c r="BL139" i="3"/>
  <c r="AZ139" i="3"/>
  <c r="G143" i="3"/>
  <c r="BA148" i="3"/>
  <c r="AZ148" i="3" s="1"/>
  <c r="BL155" i="3"/>
  <c r="AZ155" i="3" s="1"/>
  <c r="G156" i="3"/>
  <c r="G158" i="3"/>
  <c r="BA158" i="3"/>
  <c r="BL161" i="3"/>
  <c r="G162" i="3"/>
  <c r="BL163" i="3"/>
  <c r="AZ163" i="3"/>
  <c r="BL166" i="3"/>
  <c r="BA168" i="3"/>
  <c r="AZ168" i="3" s="1"/>
  <c r="G170" i="3"/>
  <c r="BL170" i="3"/>
  <c r="AZ170" i="3"/>
  <c r="G175" i="3"/>
  <c r="BL175" i="3"/>
  <c r="AZ175" i="3" s="1"/>
  <c r="BA178" i="3"/>
  <c r="BL182" i="3"/>
  <c r="AZ182" i="3"/>
  <c r="G186" i="3"/>
  <c r="BA189" i="3"/>
  <c r="AZ189" i="3" s="1"/>
  <c r="BL191" i="3"/>
  <c r="AZ191" i="3" s="1"/>
  <c r="BL197" i="3"/>
  <c r="BL203" i="3"/>
  <c r="AZ203" i="3" s="1"/>
  <c r="BL207" i="3"/>
  <c r="BA20" i="3"/>
  <c r="AZ20" i="3"/>
  <c r="BA24" i="3"/>
  <c r="AZ24" i="3"/>
  <c r="BA31" i="3"/>
  <c r="AZ31" i="3"/>
  <c r="C39" i="71"/>
  <c r="D38" i="71"/>
  <c r="BL68" i="3"/>
  <c r="G72" i="3"/>
  <c r="BL73" i="3"/>
  <c r="BA75" i="3"/>
  <c r="AZ75" i="3" s="1"/>
  <c r="BA76" i="3"/>
  <c r="G81" i="3"/>
  <c r="G82" i="3"/>
  <c r="G84" i="3"/>
  <c r="G86" i="3"/>
  <c r="BL87" i="3"/>
  <c r="BA89" i="3"/>
  <c r="BA90" i="3"/>
  <c r="BA93" i="3"/>
  <c r="AZ93" i="3" s="1"/>
  <c r="BL96" i="3"/>
  <c r="BL97" i="3"/>
  <c r="AZ97" i="3"/>
  <c r="G99" i="3"/>
  <c r="G100" i="3"/>
  <c r="BA100" i="3"/>
  <c r="BA101" i="3"/>
  <c r="BA104" i="3"/>
  <c r="G112" i="3"/>
  <c r="T64" i="71"/>
  <c r="E28" i="71"/>
  <c r="C83" i="71"/>
  <c r="D76" i="71"/>
  <c r="E71" i="71"/>
  <c r="E70" i="71" s="1"/>
  <c r="Y25" i="71"/>
  <c r="Z25" i="71" s="1"/>
  <c r="X30" i="71"/>
  <c r="X31" i="71"/>
  <c r="X34" i="71"/>
  <c r="AB37" i="71"/>
  <c r="AB38" i="71"/>
  <c r="B47" i="71"/>
  <c r="B48" i="71" s="1"/>
  <c r="S48" i="71" s="1"/>
  <c r="BL185" i="3"/>
  <c r="G187" i="3"/>
  <c r="BA190" i="3"/>
  <c r="AZ190" i="3" s="1"/>
  <c r="BL193" i="3"/>
  <c r="G194" i="3"/>
  <c r="BL195" i="3"/>
  <c r="AZ195" i="3"/>
  <c r="BL202" i="3"/>
  <c r="BA206" i="3"/>
  <c r="BA19" i="3"/>
  <c r="BA21" i="3"/>
  <c r="BA23" i="3"/>
  <c r="AZ23" i="3" s="1"/>
  <c r="G26" i="3"/>
  <c r="BL26" i="3"/>
  <c r="AZ26" i="3"/>
  <c r="BL27" i="3"/>
  <c r="BL29" i="3"/>
  <c r="BL36" i="3"/>
  <c r="BL39" i="3"/>
  <c r="BA45" i="3"/>
  <c r="AZ45" i="3"/>
  <c r="BL48" i="3"/>
  <c r="BL49" i="3"/>
  <c r="G56" i="3"/>
  <c r="BA56" i="3"/>
  <c r="AZ56" i="3" s="1"/>
  <c r="BA60" i="3"/>
  <c r="BA68" i="3"/>
  <c r="AZ68" i="3"/>
  <c r="BA73" i="3"/>
  <c r="BL76" i="3"/>
  <c r="BL77" i="3"/>
  <c r="AZ77" i="3"/>
  <c r="BL80" i="3"/>
  <c r="BA87" i="3"/>
  <c r="AZ87" i="3" s="1"/>
  <c r="BL98" i="3"/>
  <c r="S21" i="34"/>
  <c r="B68" i="43"/>
  <c r="AB26" i="71"/>
  <c r="BA30" i="3"/>
  <c r="AZ30" i="3" s="1"/>
  <c r="BL30" i="3"/>
  <c r="BA32" i="3"/>
  <c r="AZ32" i="3"/>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G105" i="3"/>
  <c r="G106" i="3"/>
  <c r="BL106" i="3"/>
  <c r="AZ106" i="3"/>
  <c r="G109" i="3"/>
  <c r="BL109" i="3"/>
  <c r="BA111" i="3"/>
  <c r="AZ111" i="3"/>
  <c r="BA112" i="3"/>
  <c r="S21" i="33"/>
  <c r="B57" i="43"/>
  <c r="D71" i="71"/>
  <c r="AA3" i="71"/>
  <c r="AB27" i="71"/>
  <c r="X26" i="71"/>
  <c r="AB34" i="71"/>
  <c r="AA36" i="71"/>
  <c r="E51" i="71"/>
  <c r="E52" i="71"/>
  <c r="U52" i="71" s="1"/>
  <c r="F67" i="71"/>
  <c r="B79" i="71"/>
  <c r="B78" i="71"/>
  <c r="F22" i="71"/>
  <c r="F21" i="71"/>
  <c r="F20" i="71" s="1"/>
  <c r="F19" i="71" s="1"/>
  <c r="F18" i="71" s="1"/>
  <c r="F17" i="71" s="1"/>
  <c r="F16" i="71" s="1"/>
  <c r="F15" i="71" s="1"/>
  <c r="F14" i="71" s="1"/>
  <c r="F13" i="71" s="1"/>
  <c r="F12" i="71" s="1"/>
  <c r="F11" i="71" s="1"/>
  <c r="F10" i="71" s="1"/>
  <c r="F9" i="71" s="1"/>
  <c r="F8" i="71" s="1"/>
  <c r="F7" i="71" s="1"/>
  <c r="F6" i="71" s="1"/>
  <c r="F5" i="71" s="1"/>
  <c r="BL206" i="3"/>
  <c r="G207" i="3"/>
  <c r="BL19" i="3"/>
  <c r="G20" i="3"/>
  <c r="BL21" i="3"/>
  <c r="G22" i="3"/>
  <c r="BA25" i="3"/>
  <c r="AZ25" i="3"/>
  <c r="BL25" i="3"/>
  <c r="BA27" i="3"/>
  <c r="BA29" i="3"/>
  <c r="BA35" i="3"/>
  <c r="AZ35" i="3" s="1"/>
  <c r="BA37" i="3"/>
  <c r="BL37" i="3"/>
  <c r="BA39" i="3"/>
  <c r="AZ39" i="3" s="1"/>
  <c r="BA47" i="3"/>
  <c r="AZ47" i="3" s="1"/>
  <c r="BA49" i="3"/>
  <c r="AZ49" i="3" s="1"/>
  <c r="BA54" i="3"/>
  <c r="AZ54" i="3" s="1"/>
  <c r="BA55" i="3"/>
  <c r="G57" i="3"/>
  <c r="BL57" i="3"/>
  <c r="BL58" i="3"/>
  <c r="BL59" i="3"/>
  <c r="G61" i="3"/>
  <c r="G62" i="3"/>
  <c r="BL62" i="3"/>
  <c r="BL63" i="3"/>
  <c r="G65" i="3"/>
  <c r="BL65" i="3"/>
  <c r="BL66" i="3"/>
  <c r="BL67" i="3"/>
  <c r="BL89" i="3"/>
  <c r="BA95" i="3"/>
  <c r="BA96" i="3"/>
  <c r="BL101" i="3"/>
  <c r="BA102" i="3"/>
  <c r="AZ102" i="3"/>
  <c r="BL104" i="3"/>
  <c r="BA105" i="3"/>
  <c r="BA108" i="3"/>
  <c r="AZ108" i="3" s="1"/>
  <c r="BA109" i="3"/>
  <c r="AZ109" i="3" s="1"/>
  <c r="BL112" i="3"/>
  <c r="B77" i="43"/>
  <c r="AA31" i="71"/>
  <c r="AB31" i="71"/>
  <c r="E43" i="71"/>
  <c r="E44" i="71" s="1"/>
  <c r="U44" i="71" s="1"/>
  <c r="C51" i="71"/>
  <c r="B23" i="71"/>
  <c r="B22" i="71" s="1"/>
  <c r="B21" i="71" s="1"/>
  <c r="B20" i="71" s="1"/>
  <c r="M20" i="15"/>
  <c r="F34" i="88"/>
  <c r="F62" i="88"/>
  <c r="M20" i="88"/>
  <c r="AP6" i="1"/>
  <c r="G24" i="9"/>
  <c r="B14" i="74"/>
  <c r="C33" i="86"/>
  <c r="D3" i="86"/>
  <c r="C33" i="21"/>
  <c r="G6" i="1"/>
  <c r="F32" i="21"/>
  <c r="AA32" i="21"/>
  <c r="H32" i="21"/>
  <c r="AB32" i="21"/>
  <c r="AB44" i="21"/>
  <c r="F48" i="9"/>
  <c r="O52" i="9" s="1"/>
  <c r="M18" i="88"/>
  <c r="F32" i="88"/>
  <c r="F60" i="88"/>
  <c r="F28" i="88"/>
  <c r="C28" i="88"/>
  <c r="C24" i="12"/>
  <c r="A2" i="9"/>
  <c r="A4" i="52"/>
  <c r="B41" i="72"/>
  <c r="A118" i="9"/>
  <c r="G89" i="21"/>
  <c r="H89" i="21" s="1"/>
  <c r="I89" i="21" s="1"/>
  <c r="J89" i="21" s="1"/>
  <c r="J26" i="21"/>
  <c r="AC26" i="21" s="1"/>
  <c r="G110" i="21"/>
  <c r="H110" i="21" s="1"/>
  <c r="I110" i="21" s="1"/>
  <c r="J110" i="21" s="1"/>
  <c r="K110" i="21" s="1"/>
  <c r="L110" i="21" s="1"/>
  <c r="M110" i="21" s="1"/>
  <c r="J36" i="21"/>
  <c r="AC36" i="21"/>
  <c r="F36" i="21"/>
  <c r="S36" i="21"/>
  <c r="H36" i="21"/>
  <c r="U36" i="21"/>
  <c r="W43" i="21"/>
  <c r="AA43" i="21"/>
  <c r="S41" i="21"/>
  <c r="W39" i="21"/>
  <c r="AA38" i="21"/>
  <c r="AC29" i="21"/>
  <c r="W29" i="21"/>
  <c r="H29" i="21"/>
  <c r="F29" i="21"/>
  <c r="W31" i="21"/>
  <c r="H12" i="21"/>
  <c r="J12" i="21"/>
  <c r="S39" i="21"/>
  <c r="AB38" i="21"/>
  <c r="S35" i="21"/>
  <c r="AC35" i="21"/>
  <c r="AA28" i="21"/>
  <c r="S28" i="21"/>
  <c r="W28" i="21"/>
  <c r="AB39" i="21"/>
  <c r="H113" i="21"/>
  <c r="J37" i="21"/>
  <c r="W37" i="21" s="1"/>
  <c r="H37" i="21"/>
  <c r="U37" i="21" s="1"/>
  <c r="F37" i="21"/>
  <c r="AA37" i="21" s="1"/>
  <c r="U13" i="21"/>
  <c r="AB13" i="21"/>
  <c r="AB23" i="21"/>
  <c r="W44" i="21"/>
  <c r="S44" i="21"/>
  <c r="F27" i="21"/>
  <c r="H27" i="21"/>
  <c r="AB27" i="21" s="1"/>
  <c r="F34" i="15"/>
  <c r="F62" i="15"/>
  <c r="M20" i="67"/>
  <c r="F34" i="67"/>
  <c r="F62" i="67" s="1"/>
  <c r="AB19" i="21"/>
  <c r="U19" i="21"/>
  <c r="E81" i="21"/>
  <c r="F81" i="21"/>
  <c r="G81" i="21" s="1"/>
  <c r="F19" i="21"/>
  <c r="J19" i="21"/>
  <c r="W19" i="21"/>
  <c r="J17" i="21"/>
  <c r="AC17" i="21"/>
  <c r="H17" i="21"/>
  <c r="AB17" i="21"/>
  <c r="F17" i="21"/>
  <c r="AA17" i="21"/>
  <c r="AC23" i="21"/>
  <c r="AB21" i="21"/>
  <c r="W21" i="21"/>
  <c r="AA13" i="21"/>
  <c r="AA9" i="21"/>
  <c r="U9" i="21"/>
  <c r="D68" i="9"/>
  <c r="F30" i="69"/>
  <c r="F48" i="69" s="1"/>
  <c r="F31" i="12"/>
  <c r="F28" i="15"/>
  <c r="F32" i="67"/>
  <c r="F60" i="67" s="1"/>
  <c r="F28" i="67"/>
  <c r="C28" i="67" s="1"/>
  <c r="M18" i="67"/>
  <c r="M18" i="15"/>
  <c r="F30" i="11"/>
  <c r="C48" i="11" s="1"/>
  <c r="F54" i="9"/>
  <c r="F32" i="15"/>
  <c r="F60" i="15"/>
  <c r="F52" i="9"/>
  <c r="F30" i="68"/>
  <c r="F48" i="68" s="1"/>
  <c r="C40" i="68"/>
  <c r="G28" i="6"/>
  <c r="G13" i="3"/>
  <c r="E19" i="71"/>
  <c r="E18" i="7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6" i="36"/>
  <c r="U26" i="36"/>
  <c r="AA37" i="37"/>
  <c r="S37" i="37"/>
  <c r="AB35" i="21"/>
  <c r="U35" i="21"/>
  <c r="BL587" i="3"/>
  <c r="BL586" i="3"/>
  <c r="AZ586" i="3"/>
  <c r="AB14" i="37"/>
  <c r="U14" i="37"/>
  <c r="BL568" i="3"/>
  <c r="BA568" i="3"/>
  <c r="AZ568" i="3" s="1"/>
  <c r="BA522" i="3"/>
  <c r="AZ522" i="3" s="1"/>
  <c r="BL516" i="3"/>
  <c r="AZ516" i="3" s="1"/>
  <c r="BA514" i="3"/>
  <c r="AZ514" i="3" s="1"/>
  <c r="BL508" i="3"/>
  <c r="BA508" i="3"/>
  <c r="AZ507" i="3"/>
  <c r="BA504" i="3"/>
  <c r="AZ504" i="3"/>
  <c r="BL503" i="3"/>
  <c r="BA503" i="3"/>
  <c r="BA501" i="3"/>
  <c r="AZ501" i="3"/>
  <c r="BG5" i="3"/>
  <c r="BA498" i="3"/>
  <c r="AZ498" i="3" s="1"/>
  <c r="BC5" i="3"/>
  <c r="BA497" i="3"/>
  <c r="AZ497" i="3"/>
  <c r="BL496" i="3"/>
  <c r="BO5" i="3"/>
  <c r="F29" i="6" s="1"/>
  <c r="E29" i="6" s="1"/>
  <c r="BF5" i="3"/>
  <c r="BA496" i="3"/>
  <c r="BB5" i="3"/>
  <c r="E5" i="6" s="1"/>
  <c r="BL494" i="3"/>
  <c r="AZ494" i="3"/>
  <c r="BN5" i="3"/>
  <c r="G29" i="6"/>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c r="BA509" i="3"/>
  <c r="AZ509" i="3"/>
  <c r="BL502" i="3"/>
  <c r="AZ502" i="3"/>
  <c r="BA500" i="3"/>
  <c r="AZ500" i="3"/>
  <c r="BK5" i="3"/>
  <c r="BJ5" i="3"/>
  <c r="BS5" i="3"/>
  <c r="F28" i="6"/>
  <c r="G494" i="3"/>
  <c r="AC5" i="3"/>
  <c r="BA493" i="3"/>
  <c r="AZ493" i="3"/>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c r="BA585" i="3"/>
  <c r="S12" i="21"/>
  <c r="AA12" i="21"/>
  <c r="AB34" i="35"/>
  <c r="U34" i="35"/>
  <c r="F12" i="36"/>
  <c r="J12" i="36"/>
  <c r="BL559" i="3"/>
  <c r="AZ559" i="3"/>
  <c r="BA558" i="3"/>
  <c r="AZ558" i="3"/>
  <c r="BL557" i="3"/>
  <c r="AZ557" i="3"/>
  <c r="BA555" i="3"/>
  <c r="AZ555" i="3"/>
  <c r="BA554" i="3"/>
  <c r="AZ554" i="3"/>
  <c r="BL553" i="3"/>
  <c r="AZ553" i="3"/>
  <c r="BA551" i="3"/>
  <c r="AZ551" i="3"/>
  <c r="S17" i="34"/>
  <c r="AZ304" i="3"/>
  <c r="AZ533" i="3"/>
  <c r="AB46" i="34"/>
  <c r="AB36" i="39"/>
  <c r="U36" i="39"/>
  <c r="AC28" i="36"/>
  <c r="W28" i="36"/>
  <c r="H44" i="39"/>
  <c r="F44" i="39"/>
  <c r="J12" i="40"/>
  <c r="F12" i="40"/>
  <c r="BL565" i="3"/>
  <c r="BA565" i="3"/>
  <c r="BL564" i="3"/>
  <c r="AZ564" i="3"/>
  <c r="AZ355" i="3"/>
  <c r="AZ342" i="3"/>
  <c r="AB46" i="33"/>
  <c r="U46" i="33"/>
  <c r="AC33" i="33"/>
  <c r="W33" i="33"/>
  <c r="F9" i="34"/>
  <c r="AA9" i="34"/>
  <c r="J9" i="34"/>
  <c r="H9" i="34"/>
  <c r="AB12" i="36"/>
  <c r="U12" i="36"/>
  <c r="BA548" i="3"/>
  <c r="BA545" i="3"/>
  <c r="AZ545" i="3"/>
  <c r="BL544" i="3"/>
  <c r="AZ544" i="3"/>
  <c r="BL543" i="3"/>
  <c r="AZ543" i="3"/>
  <c r="BL542" i="3"/>
  <c r="BA542" i="3"/>
  <c r="BA538" i="3"/>
  <c r="AZ538" i="3"/>
  <c r="BA537" i="3"/>
  <c r="AZ537" i="3"/>
  <c r="BL535" i="3"/>
  <c r="AZ535" i="3"/>
  <c r="BA534" i="3"/>
  <c r="AZ534" i="3"/>
  <c r="BL532" i="3"/>
  <c r="AZ532" i="3"/>
  <c r="BA530" i="3"/>
  <c r="AZ530" i="3"/>
  <c r="BA529" i="3"/>
  <c r="AZ529" i="3"/>
  <c r="BL527" i="3"/>
  <c r="AZ527" i="3"/>
  <c r="BL526" i="3"/>
  <c r="AZ526" i="3"/>
  <c r="H26" i="37"/>
  <c r="F26" i="37"/>
  <c r="AC45" i="39"/>
  <c r="AA12" i="34"/>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c r="BA457" i="3"/>
  <c r="AZ457" i="3"/>
  <c r="BL460" i="3"/>
  <c r="AZ460" i="3"/>
  <c r="BL464" i="3"/>
  <c r="AZ464" i="3"/>
  <c r="G476" i="3"/>
  <c r="AZ483" i="3"/>
  <c r="AZ484" i="3"/>
  <c r="AZ486" i="3"/>
  <c r="AZ211" i="3"/>
  <c r="BL449" i="3"/>
  <c r="AZ449" i="3" s="1"/>
  <c r="G455" i="3"/>
  <c r="BA468" i="3"/>
  <c r="AZ468" i="3" s="1"/>
  <c r="BA472" i="3"/>
  <c r="AZ472" i="3" s="1"/>
  <c r="BA475" i="3"/>
  <c r="AZ475" i="3" s="1"/>
  <c r="BL478" i="3"/>
  <c r="AZ478" i="3" s="1"/>
  <c r="AZ481" i="3"/>
  <c r="AZ488" i="3"/>
  <c r="AZ492" i="3"/>
  <c r="AZ208" i="3"/>
  <c r="AZ216" i="3"/>
  <c r="AZ230" i="3"/>
  <c r="AZ236" i="3"/>
  <c r="AZ242" i="3"/>
  <c r="AZ267" i="3"/>
  <c r="AZ276" i="3"/>
  <c r="AZ292" i="3"/>
  <c r="A15" i="62"/>
  <c r="B61" i="72" s="1"/>
  <c r="G447" i="3"/>
  <c r="G458" i="3"/>
  <c r="BA461" i="3"/>
  <c r="AZ461" i="3" s="1"/>
  <c r="AZ471" i="3"/>
  <c r="AZ474" i="3"/>
  <c r="AZ479" i="3"/>
  <c r="AZ480" i="3"/>
  <c r="AZ482" i="3"/>
  <c r="AZ219" i="3"/>
  <c r="AZ246" i="3"/>
  <c r="AZ258" i="3"/>
  <c r="AZ262" i="3"/>
  <c r="AZ272" i="3"/>
  <c r="AZ289" i="3"/>
  <c r="BL121" i="3"/>
  <c r="BA124" i="3"/>
  <c r="AZ124" i="3"/>
  <c r="G126" i="3"/>
  <c r="G128" i="3"/>
  <c r="BL130" i="3"/>
  <c r="AZ130" i="3"/>
  <c r="BA133" i="3"/>
  <c r="BA140" i="3"/>
  <c r="AZ140" i="3" s="1"/>
  <c r="G144" i="3"/>
  <c r="BL158" i="3"/>
  <c r="AZ158" i="3"/>
  <c r="AZ161" i="3"/>
  <c r="BA162" i="3"/>
  <c r="AZ162" i="3" s="1"/>
  <c r="BL167" i="3"/>
  <c r="AZ167" i="3" s="1"/>
  <c r="BA169" i="3"/>
  <c r="AZ169" i="3" s="1"/>
  <c r="G176" i="3"/>
  <c r="G202" i="3"/>
  <c r="BA132" i="3"/>
  <c r="AZ132" i="3" s="1"/>
  <c r="BA134" i="3"/>
  <c r="BL141" i="3"/>
  <c r="BL143" i="3"/>
  <c r="AZ143" i="3"/>
  <c r="BL146" i="3"/>
  <c r="AZ146" i="3"/>
  <c r="BA149" i="3"/>
  <c r="AZ149" i="3"/>
  <c r="BA154" i="3"/>
  <c r="AZ154" i="3"/>
  <c r="BA160" i="3"/>
  <c r="AZ160" i="3"/>
  <c r="G164" i="3"/>
  <c r="G167" i="3"/>
  <c r="BL173" i="3"/>
  <c r="AZ173" i="3"/>
  <c r="BL178" i="3"/>
  <c r="AZ178" i="3"/>
  <c r="BA181" i="3"/>
  <c r="AZ181" i="3"/>
  <c r="AZ185" i="3"/>
  <c r="BA198" i="3"/>
  <c r="AZ198" i="3" s="1"/>
  <c r="G205" i="3"/>
  <c r="G18" i="3"/>
  <c r="G23" i="3"/>
  <c r="AZ125" i="3"/>
  <c r="AZ34" i="3"/>
  <c r="AZ36" i="3"/>
  <c r="AZ48" i="3"/>
  <c r="BA122" i="3"/>
  <c r="AZ122" i="3"/>
  <c r="BA126" i="3"/>
  <c r="AZ126" i="3"/>
  <c r="BA129" i="3"/>
  <c r="AZ129" i="3"/>
  <c r="BL133" i="3"/>
  <c r="BL135" i="3"/>
  <c r="AZ135" i="3" s="1"/>
  <c r="BL138" i="3"/>
  <c r="AZ138" i="3" s="1"/>
  <c r="AZ141" i="3"/>
  <c r="BA142" i="3"/>
  <c r="AZ142" i="3"/>
  <c r="G150" i="3"/>
  <c r="G155" i="3"/>
  <c r="BA157" i="3"/>
  <c r="BA166" i="3"/>
  <c r="AZ166" i="3"/>
  <c r="BL169" i="3"/>
  <c r="BA174" i="3"/>
  <c r="G182" i="3"/>
  <c r="BL187" i="3"/>
  <c r="AZ187" i="3"/>
  <c r="BA192" i="3"/>
  <c r="AZ192" i="3"/>
  <c r="G196" i="3"/>
  <c r="G199" i="3"/>
  <c r="BA207" i="3"/>
  <c r="AZ207" i="3"/>
  <c r="BA22" i="3"/>
  <c r="AZ27" i="3"/>
  <c r="BA44" i="3"/>
  <c r="AZ44" i="3" s="1"/>
  <c r="BL50" i="3"/>
  <c r="AZ50" i="3" s="1"/>
  <c r="BA52" i="3"/>
  <c r="AZ52" i="3" s="1"/>
  <c r="BA53" i="3"/>
  <c r="BL55" i="3"/>
  <c r="AZ55" i="3" s="1"/>
  <c r="AZ60" i="3"/>
  <c r="BA64" i="3"/>
  <c r="AZ64" i="3"/>
  <c r="AZ65" i="3"/>
  <c r="BA69" i="3"/>
  <c r="AZ69" i="3" s="1"/>
  <c r="BA74" i="3"/>
  <c r="AZ74" i="3"/>
  <c r="AZ76" i="3"/>
  <c r="BA88" i="3"/>
  <c r="AZ90" i="3"/>
  <c r="AZ95" i="3"/>
  <c r="AZ96" i="3"/>
  <c r="BL99" i="3"/>
  <c r="AZ99" i="3"/>
  <c r="BL107" i="3"/>
  <c r="K13" i="1"/>
  <c r="M13" i="1"/>
  <c r="O13" i="1"/>
  <c r="P13" i="1"/>
  <c r="BL43" i="3"/>
  <c r="BL46" i="3"/>
  <c r="BL51" i="3"/>
  <c r="AZ51" i="3" s="1"/>
  <c r="BA110" i="3"/>
  <c r="AZ110" i="3" s="1"/>
  <c r="AZ112" i="3"/>
  <c r="F3" i="35"/>
  <c r="AZ57" i="3"/>
  <c r="AZ62" i="3"/>
  <c r="BL71" i="3"/>
  <c r="AZ71" i="3"/>
  <c r="AZ78" i="3"/>
  <c r="BL81" i="3"/>
  <c r="AZ81" i="3" s="1"/>
  <c r="BL83" i="3"/>
  <c r="AZ83" i="3" s="1"/>
  <c r="BL85" i="3"/>
  <c r="AZ85" i="3" s="1"/>
  <c r="BA91" i="3"/>
  <c r="AZ91" i="3" s="1"/>
  <c r="AZ92" i="3"/>
  <c r="AZ98" i="3"/>
  <c r="AC25" i="40"/>
  <c r="B88" i="43"/>
  <c r="C56" i="71"/>
  <c r="D55" i="71"/>
  <c r="C21" i="68"/>
  <c r="AC21" i="34"/>
  <c r="U21" i="34"/>
  <c r="C40" i="71"/>
  <c r="D39" i="71"/>
  <c r="AA21" i="21"/>
  <c r="S21" i="2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c r="AB21" i="71"/>
  <c r="Y17" i="71"/>
  <c r="Z17" i="71" s="1"/>
  <c r="AB17" i="71"/>
  <c r="Y26" i="71"/>
  <c r="Z26" i="71"/>
  <c r="Y37" i="71"/>
  <c r="Z37" i="71"/>
  <c r="X35" i="71"/>
  <c r="C35" i="71"/>
  <c r="Y29" i="71"/>
  <c r="Z29" i="71"/>
  <c r="Y30" i="71"/>
  <c r="Z30" i="71"/>
  <c r="Y36" i="71"/>
  <c r="Z36" i="71"/>
  <c r="B38" i="71"/>
  <c r="B39" i="71"/>
  <c r="B40" i="71" s="1"/>
  <c r="S40" i="71" s="1"/>
  <c r="X37" i="71"/>
  <c r="Y9" i="71"/>
  <c r="Z9" i="71" s="1"/>
  <c r="Y39" i="71"/>
  <c r="Z39" i="71" s="1"/>
  <c r="Y10" i="71"/>
  <c r="Z10" i="71" s="1"/>
  <c r="X24" i="71"/>
  <c r="AB24" i="71"/>
  <c r="AA22" i="71"/>
  <c r="X22" i="71"/>
  <c r="AB14" i="71"/>
  <c r="AA26" i="71"/>
  <c r="X25" i="71"/>
  <c r="Y28" i="71"/>
  <c r="Z28" i="71"/>
  <c r="AA30" i="71"/>
  <c r="X27" i="71"/>
  <c r="Y31" i="71"/>
  <c r="Z31" i="71"/>
  <c r="X32" i="71"/>
  <c r="Y34" i="71"/>
  <c r="Z34" i="71" s="1"/>
  <c r="F38" i="71"/>
  <c r="F39" i="71" s="1"/>
  <c r="F40" i="71" s="1"/>
  <c r="V40" i="71" s="1"/>
  <c r="Y24" i="71"/>
  <c r="Z24" i="71" s="1"/>
  <c r="AB23" i="71"/>
  <c r="X21" i="71"/>
  <c r="X18" i="71"/>
  <c r="AA12" i="71"/>
  <c r="X13" i="71"/>
  <c r="Y18" i="71"/>
  <c r="Z18" i="71"/>
  <c r="X17" i="71"/>
  <c r="AA17" i="71"/>
  <c r="AB18" i="71"/>
  <c r="AB11" i="71"/>
  <c r="AA13" i="71"/>
  <c r="X12" i="71"/>
  <c r="AA10" i="71"/>
  <c r="AA9" i="71"/>
  <c r="K56" i="9"/>
  <c r="AA23" i="71"/>
  <c r="AA18" i="71"/>
  <c r="AA15" i="71"/>
  <c r="AB13" i="71"/>
  <c r="AA14" i="71"/>
  <c r="Y13" i="71"/>
  <c r="Z13" i="71"/>
  <c r="AB9" i="71"/>
  <c r="N56" i="9"/>
  <c r="V24" i="71"/>
  <c r="AB15" i="71"/>
  <c r="AB12" i="71"/>
  <c r="X14" i="71"/>
  <c r="Y11" i="71"/>
  <c r="Z11" i="71"/>
  <c r="Y22" i="71"/>
  <c r="Z22" i="71"/>
  <c r="X15" i="71"/>
  <c r="AB10" i="71"/>
  <c r="AA11" i="71"/>
  <c r="X11" i="71"/>
  <c r="Y12" i="71"/>
  <c r="Z12" i="71"/>
  <c r="S22" i="31"/>
  <c r="R22" i="31" s="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c r="G26" i="43" s="1"/>
  <c r="G30" i="6"/>
  <c r="G31" i="6" s="1"/>
  <c r="M6" i="1"/>
  <c r="O6" i="1"/>
  <c r="O16" i="1" s="1"/>
  <c r="T13" i="1"/>
  <c r="C58" i="21"/>
  <c r="C58" i="33"/>
  <c r="C59" i="34"/>
  <c r="D59" i="34"/>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D72" i="43"/>
  <c r="D76" i="43"/>
  <c r="D80" i="43"/>
  <c r="D61" i="43"/>
  <c r="P61" i="15"/>
  <c r="C94" i="9"/>
  <c r="C92" i="9"/>
  <c r="C48" i="69"/>
  <c r="C48" i="68"/>
  <c r="C30"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s="1"/>
  <c r="E15" i="6"/>
  <c r="E64" i="39" s="1"/>
  <c r="E11" i="6"/>
  <c r="E60" i="39" s="1"/>
  <c r="E10" i="6"/>
  <c r="P11" i="1"/>
  <c r="AZ13" i="3"/>
  <c r="O9" i="1"/>
  <c r="P9" i="1"/>
  <c r="O12" i="1"/>
  <c r="P12" i="1"/>
  <c r="O8" i="1"/>
  <c r="P8" i="1"/>
  <c r="H90" i="43"/>
  <c r="O23" i="43"/>
  <c r="I18" i="43"/>
  <c r="C17" i="43"/>
  <c r="C24" i="43"/>
  <c r="A1" i="79"/>
  <c r="H55" i="43"/>
  <c r="H87" i="43"/>
  <c r="C69" i="39"/>
  <c r="D67"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127" i="9"/>
  <c r="D13" i="52"/>
  <c r="D12" i="52"/>
  <c r="D20" i="53"/>
  <c r="B40" i="72" s="1"/>
  <c r="D17" i="53"/>
  <c r="B36" i="72" s="1"/>
  <c r="D124" i="9"/>
  <c r="E44" i="43"/>
  <c r="C44" i="43" s="1"/>
  <c r="AC21" i="39"/>
  <c r="AB23" i="39"/>
  <c r="AB15" i="39"/>
  <c r="AC15" i="39"/>
  <c r="S25" i="39"/>
  <c r="W39" i="39"/>
  <c r="W42" i="39"/>
  <c r="W14" i="39"/>
  <c r="S29" i="39"/>
  <c r="E11" i="43"/>
  <c r="E9" i="43"/>
  <c r="C7" i="43" s="1"/>
  <c r="E10" i="43"/>
  <c r="E8" i="43"/>
  <c r="D23" i="67"/>
  <c r="G25" i="12"/>
  <c r="G41" i="11"/>
  <c r="G27" i="12"/>
  <c r="G41" i="68"/>
  <c r="J46" i="36"/>
  <c r="E52" i="37"/>
  <c r="F52" i="37"/>
  <c r="G52" i="37" s="1"/>
  <c r="D58" i="21"/>
  <c r="D63" i="40"/>
  <c r="C65" i="40"/>
  <c r="D58" i="33"/>
  <c r="E58" i="33"/>
  <c r="F58" i="33" s="1"/>
  <c r="G58" i="33" s="1"/>
  <c r="H58" i="33" s="1"/>
  <c r="I58" i="33" s="1"/>
  <c r="J58" i="33" s="1"/>
  <c r="K58" i="33" s="1"/>
  <c r="L58" i="33" s="1"/>
  <c r="M58" i="33" s="1"/>
  <c r="N58" i="33" s="1"/>
  <c r="O58" i="33" s="1"/>
  <c r="D9" i="53"/>
  <c r="B25" i="72"/>
  <c r="B24" i="72"/>
  <c r="K120" i="9"/>
  <c r="A18" i="62" s="1"/>
  <c r="B64" i="72" s="1"/>
  <c r="Y16" i="71"/>
  <c r="Z16" i="71"/>
  <c r="Y15" i="71"/>
  <c r="Z15" i="71"/>
  <c r="AA16" i="71"/>
  <c r="AB3" i="71"/>
  <c r="X16" i="71"/>
  <c r="AB16" i="71"/>
  <c r="Y3" i="71"/>
  <c r="Z3" i="71"/>
  <c r="AF3" i="71"/>
  <c r="P26" i="43"/>
  <c r="I54" i="67"/>
  <c r="C36" i="69"/>
  <c r="K1" i="73"/>
  <c r="AZ101" i="3"/>
  <c r="AZ89" i="3"/>
  <c r="AZ266" i="3"/>
  <c r="AA27" i="34"/>
  <c r="S27" i="34"/>
  <c r="AB9" i="36"/>
  <c r="U9" i="36"/>
  <c r="E13" i="6"/>
  <c r="AC19" i="2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AZ37" i="3"/>
  <c r="AZ58" i="3"/>
  <c r="AZ42" i="3"/>
  <c r="AZ206" i="3"/>
  <c r="E27" i="71"/>
  <c r="E26" i="71" s="1"/>
  <c r="V28" i="71"/>
  <c r="AZ104" i="3"/>
  <c r="AZ118" i="3"/>
  <c r="AZ271" i="3"/>
  <c r="AZ224" i="3"/>
  <c r="AZ368" i="3"/>
  <c r="C32" i="71"/>
  <c r="D31" i="71"/>
  <c r="AZ395" i="3"/>
  <c r="AZ485" i="3"/>
  <c r="AB23" i="36"/>
  <c r="U23" i="36"/>
  <c r="S32" i="21"/>
  <c r="E12" i="6"/>
  <c r="E57" i="40"/>
  <c r="J33" i="21"/>
  <c r="F33" i="21"/>
  <c r="S33" i="21" s="1"/>
  <c r="H33" i="21"/>
  <c r="U33" i="21" s="1"/>
  <c r="H33" i="86"/>
  <c r="F33" i="86"/>
  <c r="J33" i="86"/>
  <c r="U32" i="21"/>
  <c r="C30" i="69"/>
  <c r="AA36" i="21"/>
  <c r="W36" i="21"/>
  <c r="W26" i="21"/>
  <c r="K89" i="21"/>
  <c r="L89" i="21" s="1"/>
  <c r="M89" i="21" s="1"/>
  <c r="F26" i="21"/>
  <c r="H26" i="21"/>
  <c r="AB37" i="21"/>
  <c r="AB36" i="21"/>
  <c r="AA29" i="21"/>
  <c r="S29" i="21"/>
  <c r="U29" i="21"/>
  <c r="AB29" i="21"/>
  <c r="AC12" i="21"/>
  <c r="W12" i="21"/>
  <c r="S17" i="21"/>
  <c r="AA27" i="21"/>
  <c r="S27" i="21"/>
  <c r="AA19" i="21"/>
  <c r="S19" i="21"/>
  <c r="W17" i="21"/>
  <c r="U17" i="21"/>
  <c r="E14" i="6"/>
  <c r="G16" i="1"/>
  <c r="F10" i="39" s="1"/>
  <c r="AA10" i="39"/>
  <c r="J26" i="43"/>
  <c r="H16" i="1"/>
  <c r="H26" i="43"/>
  <c r="N94" i="46"/>
  <c r="E26" i="43"/>
  <c r="Q16" i="1"/>
  <c r="F27" i="69"/>
  <c r="N370" i="46"/>
  <c r="F26" i="43"/>
  <c r="D26" i="43" s="1"/>
  <c r="C25" i="43" s="1"/>
  <c r="E28" i="6"/>
  <c r="K14" i="1"/>
  <c r="F30" i="6"/>
  <c r="F31" i="6" s="1"/>
  <c r="E66" i="71"/>
  <c r="P67" i="71"/>
  <c r="AZ133" i="3"/>
  <c r="W25" i="37"/>
  <c r="AC25" i="37"/>
  <c r="AA26" i="33"/>
  <c r="S26" i="33"/>
  <c r="AB9" i="34"/>
  <c r="U9" i="34"/>
  <c r="AB44" i="39"/>
  <c r="U44" i="39"/>
  <c r="AA12" i="36"/>
  <c r="S12" i="36"/>
  <c r="AC38" i="40"/>
  <c r="W38" i="40"/>
  <c r="T56" i="71"/>
  <c r="D56" i="71"/>
  <c r="AA25" i="37"/>
  <c r="S25" i="37"/>
  <c r="AA26" i="37"/>
  <c r="S26" i="37"/>
  <c r="AC9" i="34"/>
  <c r="W9" i="34"/>
  <c r="S12" i="40"/>
  <c r="AA12" i="40"/>
  <c r="AZ496" i="3"/>
  <c r="AA24" i="35"/>
  <c r="S24" i="35"/>
  <c r="AC30" i="21"/>
  <c r="W30" i="21"/>
  <c r="AA38" i="40"/>
  <c r="S38" i="40"/>
  <c r="P6" i="1"/>
  <c r="C13" i="12"/>
  <c r="D35" i="71"/>
  <c r="C36" i="71"/>
  <c r="T28" i="71"/>
  <c r="C27" i="71"/>
  <c r="D28" i="71"/>
  <c r="U28" i="71" s="1"/>
  <c r="T40" i="71"/>
  <c r="D40" i="71"/>
  <c r="U25" i="37"/>
  <c r="AB25" i="37"/>
  <c r="U26" i="37"/>
  <c r="AB26" i="37"/>
  <c r="W12" i="40"/>
  <c r="AC12" i="40"/>
  <c r="AZ503" i="3"/>
  <c r="AZ508" i="3"/>
  <c r="AC24" i="35"/>
  <c r="W24" i="35"/>
  <c r="W39" i="40"/>
  <c r="AC39" i="40"/>
  <c r="AZ565" i="3"/>
  <c r="AA44" i="39"/>
  <c r="S44" i="39"/>
  <c r="AC12" i="36"/>
  <c r="W12" i="36"/>
  <c r="AZ515" i="3"/>
  <c r="AB38" i="40"/>
  <c r="U38" i="40"/>
  <c r="C19" i="71"/>
  <c r="D20" i="71"/>
  <c r="U20" i="71" s="1"/>
  <c r="T20" i="71"/>
  <c r="E15" i="71"/>
  <c r="E14" i="71"/>
  <c r="E13" i="71" s="1"/>
  <c r="E12" i="71"/>
  <c r="V16" i="71"/>
  <c r="E61" i="43"/>
  <c r="B59" i="43" s="1"/>
  <c r="B116" i="43"/>
  <c r="G121" i="43" s="1"/>
  <c r="H121" i="43" s="1"/>
  <c r="Z7" i="43"/>
  <c r="E56" i="39"/>
  <c r="H7" i="34"/>
  <c r="E67" i="39"/>
  <c r="F67" i="39"/>
  <c r="F69" i="39" s="1"/>
  <c r="J7" i="34"/>
  <c r="W7" i="34" s="1"/>
  <c r="F7" i="34"/>
  <c r="S7" i="34" s="1"/>
  <c r="AA26" i="35"/>
  <c r="S26" i="35"/>
  <c r="AC26" i="35"/>
  <c r="W26" i="35"/>
  <c r="AB26" i="35"/>
  <c r="U26" i="35"/>
  <c r="E61" i="39"/>
  <c r="E56" i="40"/>
  <c r="F27" i="11"/>
  <c r="C29" i="11"/>
  <c r="D27" i="11" s="1"/>
  <c r="F28" i="12"/>
  <c r="C29" i="12" s="1"/>
  <c r="D28" i="12" s="1"/>
  <c r="E60" i="40"/>
  <c r="E51" i="40"/>
  <c r="E16" i="6"/>
  <c r="E58" i="40"/>
  <c r="E62" i="39"/>
  <c r="D10" i="52"/>
  <c r="D125" i="9"/>
  <c r="D11" i="52" s="1"/>
  <c r="B7" i="74"/>
  <c r="C7" i="74" s="1"/>
  <c r="E69" i="39"/>
  <c r="H7" i="33"/>
  <c r="J7" i="33"/>
  <c r="D65" i="40"/>
  <c r="E63" i="40"/>
  <c r="F48" i="35"/>
  <c r="F7" i="33"/>
  <c r="E58" i="21"/>
  <c r="P28" i="43"/>
  <c r="B66" i="40" s="1"/>
  <c r="P25" i="43"/>
  <c r="P29" i="43"/>
  <c r="P27" i="43"/>
  <c r="B70" i="39" s="1"/>
  <c r="C32" i="67"/>
  <c r="C32" i="15"/>
  <c r="AE11" i="1"/>
  <c r="AE9" i="1"/>
  <c r="AE7" i="1"/>
  <c r="AE8" i="1"/>
  <c r="AE12" i="1"/>
  <c r="AE10" i="1"/>
  <c r="T52" i="71"/>
  <c r="D52" i="71"/>
  <c r="K15" i="1"/>
  <c r="L19" i="6"/>
  <c r="L27" i="6" s="1"/>
  <c r="T32" i="71"/>
  <c r="D32" i="71"/>
  <c r="Q65" i="71"/>
  <c r="Q66" i="71"/>
  <c r="S10" i="39"/>
  <c r="AA33" i="86"/>
  <c r="S33" i="86"/>
  <c r="K16" i="1"/>
  <c r="W33" i="86"/>
  <c r="AC33" i="86"/>
  <c r="AC33" i="21"/>
  <c r="W33" i="21"/>
  <c r="AB33" i="86"/>
  <c r="U33" i="86"/>
  <c r="H10" i="39"/>
  <c r="U10" i="39" s="1"/>
  <c r="J10" i="40"/>
  <c r="AC10" i="40" s="1"/>
  <c r="S26" i="21"/>
  <c r="AA26" i="21"/>
  <c r="AB26" i="21"/>
  <c r="U26" i="21"/>
  <c r="H10" i="40"/>
  <c r="AB10" i="40" s="1"/>
  <c r="F10" i="40"/>
  <c r="S10" i="40" s="1"/>
  <c r="J10" i="39"/>
  <c r="E30" i="6"/>
  <c r="E63" i="39"/>
  <c r="E65" i="39" s="1"/>
  <c r="E59" i="40"/>
  <c r="M14" i="1"/>
  <c r="O14" i="1"/>
  <c r="D27" i="71"/>
  <c r="C26" i="71"/>
  <c r="D26" i="71" s="1"/>
  <c r="P66" i="71"/>
  <c r="P65" i="71"/>
  <c r="C18" i="71"/>
  <c r="D19" i="71"/>
  <c r="T36" i="71"/>
  <c r="D36" i="71"/>
  <c r="E11" i="71"/>
  <c r="E10" i="71"/>
  <c r="E9" i="71" s="1"/>
  <c r="E8" i="71" s="1"/>
  <c r="E7" i="71" s="1"/>
  <c r="E6" i="71"/>
  <c r="E5" i="71" s="1"/>
  <c r="V12" i="71"/>
  <c r="AC7" i="34"/>
  <c r="V49" i="34" s="1"/>
  <c r="I49" i="34" s="1"/>
  <c r="AA7" i="34"/>
  <c r="R49" i="34" s="1"/>
  <c r="E49" i="34" s="1"/>
  <c r="R50" i="34"/>
  <c r="AG11" i="1"/>
  <c r="AG9" i="1"/>
  <c r="AG10" i="1"/>
  <c r="AG8" i="1"/>
  <c r="AG12" i="1"/>
  <c r="AG7" i="1"/>
  <c r="AG6" i="1"/>
  <c r="C47" i="11"/>
  <c r="D45" i="11" s="1"/>
  <c r="S8" i="1"/>
  <c r="E8" i="70"/>
  <c r="D3" i="21"/>
  <c r="M18" i="9"/>
  <c r="B118" i="9"/>
  <c r="B1" i="74"/>
  <c r="G67" i="39"/>
  <c r="F58" i="21"/>
  <c r="F63" i="40"/>
  <c r="G63" i="40" s="1"/>
  <c r="E65" i="40"/>
  <c r="S7" i="33"/>
  <c r="AA7" i="33"/>
  <c r="R48" i="33"/>
  <c r="E48" i="33" s="1"/>
  <c r="G48" i="35"/>
  <c r="U7" i="33"/>
  <c r="AB7" i="33"/>
  <c r="T48" i="33"/>
  <c r="G48" i="33"/>
  <c r="W10" i="40"/>
  <c r="U10" i="40"/>
  <c r="AA10" i="40"/>
  <c r="M16" i="1"/>
  <c r="N16" i="1" s="1"/>
  <c r="C17" i="71"/>
  <c r="D18" i="71"/>
  <c r="S11" i="1"/>
  <c r="E11" i="70"/>
  <c r="S9" i="1"/>
  <c r="AQ8" i="1"/>
  <c r="T8" i="1"/>
  <c r="AR8" i="1"/>
  <c r="S7" i="1"/>
  <c r="E7" i="70"/>
  <c r="S10" i="1"/>
  <c r="E10" i="70"/>
  <c r="S12" i="1"/>
  <c r="B2" i="74"/>
  <c r="P14" i="1"/>
  <c r="P16" i="1"/>
  <c r="C11" i="12" s="1"/>
  <c r="C15" i="12" s="1"/>
  <c r="H67" i="39"/>
  <c r="G69" i="39"/>
  <c r="E53" i="34"/>
  <c r="F53" i="34"/>
  <c r="R49" i="33"/>
  <c r="C48" i="33" s="1"/>
  <c r="G52" i="33"/>
  <c r="H52" i="33" s="1"/>
  <c r="H48" i="35"/>
  <c r="I48" i="35" s="1"/>
  <c r="C49" i="34"/>
  <c r="C50" i="34"/>
  <c r="F65" i="40"/>
  <c r="G58" i="21"/>
  <c r="C60" i="15"/>
  <c r="C60" i="67"/>
  <c r="C34" i="69"/>
  <c r="C35" i="69" s="1"/>
  <c r="L16" i="1"/>
  <c r="C16" i="71"/>
  <c r="D16" i="71" s="1"/>
  <c r="U16" i="71" s="1"/>
  <c r="D17" i="71"/>
  <c r="R10" i="1"/>
  <c r="R7" i="1"/>
  <c r="E12" i="70"/>
  <c r="F34" i="11"/>
  <c r="C34" i="11" s="1"/>
  <c r="F11" i="12"/>
  <c r="C23" i="12" s="1"/>
  <c r="E9" i="70"/>
  <c r="AR9" i="1"/>
  <c r="AQ9" i="1"/>
  <c r="T9" i="1"/>
  <c r="AQ11" i="1"/>
  <c r="AR11" i="1"/>
  <c r="T11" i="1"/>
  <c r="AR12" i="1"/>
  <c r="T12" i="1"/>
  <c r="AQ12" i="1"/>
  <c r="AQ10" i="1"/>
  <c r="T10" i="1"/>
  <c r="AR10" i="1"/>
  <c r="AR7" i="1"/>
  <c r="AQ7" i="1"/>
  <c r="T7" i="1"/>
  <c r="R11" i="1"/>
  <c r="R9" i="1"/>
  <c r="D8" i="74"/>
  <c r="D7" i="74"/>
  <c r="R8" i="1"/>
  <c r="R12" i="1"/>
  <c r="H69" i="39"/>
  <c r="I67" i="39"/>
  <c r="I69" i="39" s="1"/>
  <c r="C49" i="33"/>
  <c r="H58" i="21"/>
  <c r="I58" i="21" s="1"/>
  <c r="C33" i="15"/>
  <c r="C33" i="67"/>
  <c r="T16" i="71"/>
  <c r="C36" i="11"/>
  <c r="J67" i="39"/>
  <c r="J69" i="39" s="1"/>
  <c r="C61" i="67"/>
  <c r="C34" i="67"/>
  <c r="C62" i="67"/>
  <c r="C62" i="15"/>
  <c r="C34" i="15"/>
  <c r="C61" i="15"/>
  <c r="L46" i="67"/>
  <c r="B2" i="33"/>
  <c r="B2" i="36"/>
  <c r="B3" i="36" s="1"/>
  <c r="B2" i="35"/>
  <c r="B3" i="35"/>
  <c r="B2" i="37"/>
  <c r="B2" i="34"/>
  <c r="B6" i="74"/>
  <c r="D6" i="74" s="1"/>
  <c r="F42" i="88"/>
  <c r="F4" i="73"/>
  <c r="F26" i="15"/>
  <c r="F43" i="15"/>
  <c r="B13" i="76"/>
  <c r="F42" i="15"/>
  <c r="F41" i="15"/>
  <c r="F7" i="73"/>
  <c r="M26" i="67"/>
  <c r="M28" i="88"/>
  <c r="J15" i="67"/>
  <c r="F3" i="73"/>
  <c r="J15" i="88"/>
  <c r="F36" i="67"/>
  <c r="E2" i="68"/>
  <c r="F40" i="88"/>
  <c r="M9" i="15"/>
  <c r="D34" i="9"/>
  <c r="F38" i="15"/>
  <c r="F43" i="88"/>
  <c r="L48" i="88"/>
  <c r="M29" i="88"/>
  <c r="F35" i="15"/>
  <c r="F26" i="67"/>
  <c r="M27" i="15"/>
  <c r="F16" i="15"/>
  <c r="F26" i="88"/>
  <c r="M22" i="15"/>
  <c r="AO8" i="1"/>
  <c r="E13" i="76"/>
  <c r="D6" i="73"/>
  <c r="M23" i="88"/>
  <c r="M29" i="15"/>
  <c r="AO7" i="1"/>
  <c r="D2" i="37"/>
  <c r="E2" i="69"/>
  <c r="D5" i="73"/>
  <c r="M28" i="15"/>
  <c r="D35" i="9"/>
  <c r="F37" i="88"/>
  <c r="AO9" i="1"/>
  <c r="F37" i="67"/>
  <c r="B11" i="76"/>
  <c r="F8" i="15"/>
  <c r="B8" i="76"/>
  <c r="M26" i="15"/>
  <c r="AO13" i="1"/>
  <c r="F13" i="88"/>
  <c r="F6" i="15"/>
  <c r="F6" i="73"/>
  <c r="E10" i="76"/>
  <c r="F5" i="73"/>
  <c r="C76" i="15"/>
  <c r="C76" i="88"/>
  <c r="F9" i="88"/>
  <c r="L47" i="88"/>
  <c r="D2" i="86"/>
  <c r="D4" i="73"/>
  <c r="F7" i="67"/>
  <c r="M27" i="67"/>
  <c r="B9" i="76"/>
  <c r="F13" i="67"/>
  <c r="M28" i="67"/>
  <c r="M23" i="15"/>
  <c r="F8" i="67"/>
  <c r="E9" i="76"/>
  <c r="M8" i="67"/>
  <c r="M22" i="88"/>
  <c r="M24" i="88"/>
  <c r="C14" i="15"/>
  <c r="F42" i="67"/>
  <c r="L48" i="15"/>
  <c r="M8" i="15"/>
  <c r="E11" i="76"/>
  <c r="F38" i="88"/>
  <c r="F6" i="67"/>
  <c r="D2" i="35"/>
  <c r="L47" i="15"/>
  <c r="F13" i="15"/>
  <c r="F7" i="88"/>
  <c r="D2" i="21"/>
  <c r="M9" i="88"/>
  <c r="F7" i="15"/>
  <c r="F8" i="88"/>
  <c r="F9" i="15"/>
  <c r="B7" i="76"/>
  <c r="F16" i="88"/>
  <c r="M27" i="88"/>
  <c r="F9" i="67"/>
  <c r="F40" i="15"/>
  <c r="F20" i="31"/>
  <c r="F40" i="67"/>
  <c r="M23" i="67"/>
  <c r="L47" i="67"/>
  <c r="D2" i="33"/>
  <c r="D2" i="34"/>
  <c r="F27" i="68"/>
  <c r="M24" i="67"/>
  <c r="AO10" i="1"/>
  <c r="M9" i="67"/>
  <c r="L48" i="67"/>
  <c r="E8" i="76"/>
  <c r="F36" i="15"/>
  <c r="M8" i="88"/>
  <c r="M22" i="67"/>
  <c r="M29" i="67"/>
  <c r="F16" i="67"/>
  <c r="E12" i="76"/>
  <c r="M24" i="15"/>
  <c r="J15" i="15"/>
  <c r="D7" i="73"/>
  <c r="D2" i="36"/>
  <c r="M6" i="88"/>
  <c r="C76" i="67"/>
  <c r="M26" i="88"/>
  <c r="F37" i="15"/>
  <c r="D3" i="73"/>
  <c r="AO11" i="1"/>
  <c r="F36" i="88"/>
  <c r="F38" i="67"/>
  <c r="F43" i="67"/>
  <c r="M21" i="15"/>
  <c r="E7" i="76"/>
  <c r="AO12" i="1"/>
  <c r="B10" i="76"/>
  <c r="M6" i="15"/>
  <c r="M6" i="67"/>
  <c r="B12" i="76"/>
  <c r="U27" i="21" l="1"/>
  <c r="AC27" i="21"/>
  <c r="AC34" i="21"/>
  <c r="E72" i="43"/>
  <c r="B70" i="43" s="1"/>
  <c r="C28" i="43" s="1"/>
  <c r="F45" i="68"/>
  <c r="B119" i="43"/>
  <c r="C119" i="43" s="1"/>
  <c r="I121" i="43"/>
  <c r="J121" i="43" s="1"/>
  <c r="K121" i="43" s="1"/>
  <c r="L121" i="43" s="1"/>
  <c r="M121" i="43" s="1"/>
  <c r="B121" i="43"/>
  <c r="C121" i="43" s="1"/>
  <c r="I118" i="43"/>
  <c r="J118" i="43" s="1"/>
  <c r="K118" i="43" s="1"/>
  <c r="L118" i="43" s="1"/>
  <c r="M118" i="43" s="1"/>
  <c r="D118" i="43"/>
  <c r="E118" i="43" s="1"/>
  <c r="F118" i="43" s="1"/>
  <c r="G118" i="43" s="1"/>
  <c r="H118" i="43" s="1"/>
  <c r="D120" i="43"/>
  <c r="E120" i="43" s="1"/>
  <c r="F120" i="43" s="1"/>
  <c r="G120" i="43" s="1"/>
  <c r="H120" i="43" s="1"/>
  <c r="I122" i="43"/>
  <c r="J122" i="43" s="1"/>
  <c r="K122" i="43" s="1"/>
  <c r="L122" i="43" s="1"/>
  <c r="M122" i="43" s="1"/>
  <c r="B122" i="43"/>
  <c r="C122" i="43" s="1"/>
  <c r="D121" i="43"/>
  <c r="E121" i="43" s="1"/>
  <c r="F121" i="43" s="1"/>
  <c r="I119" i="43"/>
  <c r="J119" i="43" s="1"/>
  <c r="K119" i="43" s="1"/>
  <c r="L119" i="43" s="1"/>
  <c r="M119" i="43" s="1"/>
  <c r="I120" i="43"/>
  <c r="J120" i="43" s="1"/>
  <c r="K120" i="43" s="1"/>
  <c r="L120" i="43" s="1"/>
  <c r="M120" i="43" s="1"/>
  <c r="D119" i="43"/>
  <c r="E119" i="43" s="1"/>
  <c r="F119" i="43" s="1"/>
  <c r="G119" i="43" s="1"/>
  <c r="H119" i="43" s="1"/>
  <c r="B118" i="43"/>
  <c r="C118" i="43" s="1"/>
  <c r="D122" i="43"/>
  <c r="E122" i="43" s="1"/>
  <c r="F122" i="43" s="1"/>
  <c r="G122" i="43" s="1"/>
  <c r="H122" i="43" s="1"/>
  <c r="B120" i="43"/>
  <c r="C120" i="43" s="1"/>
  <c r="H56" i="43"/>
  <c r="H21" i="43"/>
  <c r="H116" i="43"/>
  <c r="H66" i="43"/>
  <c r="M21" i="43"/>
  <c r="S3" i="43"/>
  <c r="H84" i="43"/>
  <c r="H86" i="43"/>
  <c r="H93" i="43"/>
  <c r="K21" i="43"/>
  <c r="F40" i="43"/>
  <c r="S4" i="43"/>
  <c r="H88" i="43"/>
  <c r="J21" i="43"/>
  <c r="N7" i="43"/>
  <c r="F39" i="43"/>
  <c r="S5" i="43"/>
  <c r="H89" i="43"/>
  <c r="H83" i="43"/>
  <c r="E17" i="43"/>
  <c r="D21" i="43"/>
  <c r="I21" i="43"/>
  <c r="N11" i="43"/>
  <c r="F42" i="43"/>
  <c r="F38" i="43"/>
  <c r="N21" i="43"/>
  <c r="S6" i="43"/>
  <c r="L21" i="43"/>
  <c r="O21" i="43"/>
  <c r="C21" i="43"/>
  <c r="F41" i="43"/>
  <c r="F37" i="43"/>
  <c r="S2" i="43"/>
  <c r="E21" i="43"/>
  <c r="N9" i="43"/>
  <c r="M5" i="43"/>
  <c r="H57" i="43"/>
  <c r="H53" i="43"/>
  <c r="H51" i="43"/>
  <c r="H67" i="43"/>
  <c r="H69" i="43"/>
  <c r="M12" i="43"/>
  <c r="M9" i="43"/>
  <c r="M7" i="43"/>
  <c r="N10" i="43"/>
  <c r="N4" i="43"/>
  <c r="N2" i="43"/>
  <c r="H61" i="43"/>
  <c r="H58" i="43"/>
  <c r="M11" i="43"/>
  <c r="N8" i="43"/>
  <c r="F72" i="43" s="1"/>
  <c r="N6" i="43"/>
  <c r="M4" i="43"/>
  <c r="M2" i="43"/>
  <c r="H68" i="43"/>
  <c r="H63" i="43"/>
  <c r="H65" i="43"/>
  <c r="H62" i="43"/>
  <c r="H50" i="43"/>
  <c r="M10" i="43"/>
  <c r="M8" i="43"/>
  <c r="C6" i="43" s="1"/>
  <c r="M6" i="43"/>
  <c r="N5" i="43"/>
  <c r="N3" i="43"/>
  <c r="N1" i="43"/>
  <c r="N12" i="43"/>
  <c r="AB33" i="21"/>
  <c r="AA33" i="21"/>
  <c r="J40" i="21"/>
  <c r="W40" i="21" s="1"/>
  <c r="H40" i="21"/>
  <c r="AB40" i="21" s="1"/>
  <c r="F42" i="21"/>
  <c r="J42" i="21"/>
  <c r="F123" i="21"/>
  <c r="G123" i="21" s="1"/>
  <c r="H123" i="21" s="1"/>
  <c r="I123" i="21" s="1"/>
  <c r="J123" i="21" s="1"/>
  <c r="K123" i="21" s="1"/>
  <c r="L123" i="21" s="1"/>
  <c r="M123" i="21" s="1"/>
  <c r="H42" i="21"/>
  <c r="S40" i="21"/>
  <c r="C38" i="11"/>
  <c r="C35" i="11"/>
  <c r="H7" i="21"/>
  <c r="J7" i="21"/>
  <c r="J58" i="21"/>
  <c r="K58" i="21" s="1"/>
  <c r="L58" i="21" s="1"/>
  <c r="M58" i="21" s="1"/>
  <c r="N58" i="21" s="1"/>
  <c r="O58" i="21" s="1"/>
  <c r="F7" i="21"/>
  <c r="J48" i="35"/>
  <c r="K48" i="35" s="1"/>
  <c r="L48" i="35" s="1"/>
  <c r="M48" i="35" s="1"/>
  <c r="N48" i="35" s="1"/>
  <c r="O48" i="35" s="1"/>
  <c r="F50" i="69"/>
  <c r="F50" i="11"/>
  <c r="F50" i="68"/>
  <c r="E52" i="33"/>
  <c r="F52" i="33" s="1"/>
  <c r="E53" i="33"/>
  <c r="F53" i="33" s="1"/>
  <c r="G65" i="40"/>
  <c r="H63" i="40"/>
  <c r="I53" i="34"/>
  <c r="J53" i="34" s="1"/>
  <c r="I54" i="34"/>
  <c r="J54" i="34" s="1"/>
  <c r="C15" i="71"/>
  <c r="AC10" i="39"/>
  <c r="W10" i="39"/>
  <c r="H7" i="35"/>
  <c r="K67" i="39"/>
  <c r="C12" i="12"/>
  <c r="AB10" i="39"/>
  <c r="AC7" i="33"/>
  <c r="V48" i="33" s="1"/>
  <c r="I48" i="33" s="1"/>
  <c r="W7" i="33"/>
  <c r="AB7" i="34"/>
  <c r="T49" i="34" s="1"/>
  <c r="G49" i="34" s="1"/>
  <c r="U7" i="34"/>
  <c r="H52" i="37"/>
  <c r="AA23" i="21"/>
  <c r="S23" i="21"/>
  <c r="B19" i="71"/>
  <c r="B18" i="71" s="1"/>
  <c r="B17" i="71" s="1"/>
  <c r="B16" i="71" s="1"/>
  <c r="S20" i="71"/>
  <c r="D19" i="12"/>
  <c r="C19" i="12" s="1"/>
  <c r="D9" i="11"/>
  <c r="C9" i="11" s="1"/>
  <c r="D9" i="69"/>
  <c r="C9" i="69" s="1"/>
  <c r="AZ234" i="3"/>
  <c r="K46" i="36"/>
  <c r="AC9" i="21"/>
  <c r="W9" i="21"/>
  <c r="AZ127" i="3"/>
  <c r="U36" i="33"/>
  <c r="S25" i="33"/>
  <c r="AA25" i="33"/>
  <c r="S39" i="39"/>
  <c r="AA39" i="39"/>
  <c r="S21" i="39"/>
  <c r="AA21" i="39"/>
  <c r="U33" i="34"/>
  <c r="AB33" i="34"/>
  <c r="U34" i="33"/>
  <c r="AB34" i="33"/>
  <c r="AC27" i="40"/>
  <c r="W27" i="40"/>
  <c r="AB35" i="33"/>
  <c r="U35" i="33"/>
  <c r="J12" i="33"/>
  <c r="H12" i="33"/>
  <c r="AC36" i="40"/>
  <c r="AA23" i="39"/>
  <c r="AA30" i="40"/>
  <c r="U20" i="36"/>
  <c r="W35" i="40"/>
  <c r="W44" i="33"/>
  <c r="AB45" i="33"/>
  <c r="S13" i="35"/>
  <c r="W30" i="34"/>
  <c r="AA29" i="35"/>
  <c r="F125" i="21"/>
  <c r="G125" i="21" s="1"/>
  <c r="H43" i="21"/>
  <c r="B75" i="43"/>
  <c r="B97" i="43"/>
  <c r="AC22" i="35"/>
  <c r="W22" i="35"/>
  <c r="AA41" i="34"/>
  <c r="AA14" i="34"/>
  <c r="AB33" i="35"/>
  <c r="AC39" i="33"/>
  <c r="W39" i="33"/>
  <c r="W31" i="35"/>
  <c r="AC31" i="35"/>
  <c r="BL548" i="3"/>
  <c r="AZ548" i="3" s="1"/>
  <c r="W19" i="40"/>
  <c r="S44" i="34"/>
  <c r="BL585" i="3"/>
  <c r="AZ585" i="3" s="1"/>
  <c r="B94" i="43"/>
  <c r="C21" i="39"/>
  <c r="B73" i="43"/>
  <c r="F12" i="35"/>
  <c r="J12" i="35"/>
  <c r="F34" i="21"/>
  <c r="J24" i="36"/>
  <c r="H24" i="36"/>
  <c r="J40" i="40"/>
  <c r="F40" i="40"/>
  <c r="AA27" i="35"/>
  <c r="G569" i="3"/>
  <c r="BA70" i="3"/>
  <c r="AZ70" i="3" s="1"/>
  <c r="AA18" i="35"/>
  <c r="S18" i="35"/>
  <c r="D79" i="71"/>
  <c r="C78" i="71"/>
  <c r="D78" i="71" s="1"/>
  <c r="B43" i="71"/>
  <c r="B44" i="71" s="1"/>
  <c r="S44" i="71" s="1"/>
  <c r="D38" i="77"/>
  <c r="D39" i="77" s="1"/>
  <c r="D26" i="77"/>
  <c r="D32" i="77" s="1"/>
  <c r="E23" i="77"/>
  <c r="E21" i="83"/>
  <c r="D22" i="83"/>
  <c r="BA293" i="3"/>
  <c r="AZ293" i="3" s="1"/>
  <c r="BL300" i="3"/>
  <c r="AZ300" i="3" s="1"/>
  <c r="BL174" i="3"/>
  <c r="AZ174" i="3" s="1"/>
  <c r="BL186" i="3"/>
  <c r="AZ186" i="3" s="1"/>
  <c r="BL22" i="3"/>
  <c r="G25" i="3"/>
  <c r="G38" i="3"/>
  <c r="BL41" i="3"/>
  <c r="AZ41" i="3" s="1"/>
  <c r="BA43" i="3"/>
  <c r="AZ43" i="3" s="1"/>
  <c r="BA46" i="3"/>
  <c r="AZ46" i="3" s="1"/>
  <c r="BA59" i="3"/>
  <c r="AZ59" i="3" s="1"/>
  <c r="BA67" i="3"/>
  <c r="AZ67" i="3" s="1"/>
  <c r="BA103" i="3"/>
  <c r="AZ103" i="3" s="1"/>
  <c r="BL105" i="3"/>
  <c r="AZ105" i="3" s="1"/>
  <c r="BA107" i="3"/>
  <c r="AZ107" i="3" s="1"/>
  <c r="AA39" i="71"/>
  <c r="AA38" i="71"/>
  <c r="C47" i="71"/>
  <c r="D47" i="71" s="1"/>
  <c r="D46" i="71"/>
  <c r="P68" i="71"/>
  <c r="U68" i="71"/>
  <c r="BA229" i="3"/>
  <c r="AZ229" i="3" s="1"/>
  <c r="BL234" i="3"/>
  <c r="BA239" i="3"/>
  <c r="AZ239" i="3" s="1"/>
  <c r="BA244" i="3"/>
  <c r="AZ244" i="3" s="1"/>
  <c r="G248" i="3"/>
  <c r="BA252" i="3"/>
  <c r="AZ252" i="3" s="1"/>
  <c r="BA268" i="3"/>
  <c r="AZ268" i="3" s="1"/>
  <c r="G272" i="3"/>
  <c r="G288" i="3"/>
  <c r="BL288" i="3"/>
  <c r="AZ288" i="3" s="1"/>
  <c r="BA294" i="3"/>
  <c r="AZ294" i="3" s="1"/>
  <c r="BL298" i="3"/>
  <c r="AZ298" i="3" s="1"/>
  <c r="BA302" i="3"/>
  <c r="AZ302" i="3" s="1"/>
  <c r="BA121" i="3"/>
  <c r="AZ121" i="3" s="1"/>
  <c r="BL134" i="3"/>
  <c r="AZ134" i="3" s="1"/>
  <c r="BA136" i="3"/>
  <c r="AZ136" i="3" s="1"/>
  <c r="BL145" i="3"/>
  <c r="AZ145" i="3" s="1"/>
  <c r="BL157" i="3"/>
  <c r="AZ157" i="3" s="1"/>
  <c r="AZ177" i="3"/>
  <c r="G179" i="3"/>
  <c r="G28" i="3"/>
  <c r="BL33" i="3"/>
  <c r="AZ33" i="3" s="1"/>
  <c r="BA38" i="3"/>
  <c r="BL53" i="3"/>
  <c r="AZ53" i="3" s="1"/>
  <c r="BL61" i="3"/>
  <c r="AZ61" i="3" s="1"/>
  <c r="G75" i="3"/>
  <c r="BA86" i="3"/>
  <c r="AZ86" i="3" s="1"/>
  <c r="BL88" i="3"/>
  <c r="AZ88" i="3" s="1"/>
  <c r="BL94" i="3"/>
  <c r="AZ94" i="3" s="1"/>
  <c r="BL100" i="3"/>
  <c r="AZ100" i="3" s="1"/>
  <c r="AA34" i="71"/>
  <c r="D58" i="71"/>
  <c r="C59" i="71"/>
  <c r="BA215" i="3"/>
  <c r="AZ215" i="3" s="1"/>
  <c r="BA223" i="3"/>
  <c r="AZ223" i="3" s="1"/>
  <c r="G227" i="3"/>
  <c r="BL241" i="3"/>
  <c r="AZ241" i="3" s="1"/>
  <c r="G247" i="3"/>
  <c r="G263" i="3"/>
  <c r="BL265" i="3"/>
  <c r="AZ265" i="3" s="1"/>
  <c r="G271" i="3"/>
  <c r="BA277" i="3"/>
  <c r="AZ277" i="3" s="1"/>
  <c r="G286" i="3"/>
  <c r="BA297" i="3"/>
  <c r="AZ297" i="3" s="1"/>
  <c r="G114" i="3"/>
  <c r="BL127" i="3"/>
  <c r="G134" i="3"/>
  <c r="BA153" i="3"/>
  <c r="AZ153" i="3" s="1"/>
  <c r="G178" i="3"/>
  <c r="BA193" i="3"/>
  <c r="AZ193" i="3" s="1"/>
  <c r="BA197" i="3"/>
  <c r="AZ197" i="3" s="1"/>
  <c r="BA202" i="3"/>
  <c r="AZ202" i="3" s="1"/>
  <c r="W21" i="37"/>
  <c r="AC21" i="37"/>
  <c r="AB28" i="71"/>
  <c r="F28" i="71"/>
  <c r="F27" i="71" s="1"/>
  <c r="F26" i="71" s="1"/>
  <c r="AA27" i="71"/>
  <c r="E38" i="71"/>
  <c r="E39" i="71" s="1"/>
  <c r="E40" i="71" s="1"/>
  <c r="U40" i="71" s="1"/>
  <c r="AA37" i="71"/>
  <c r="T76" i="71"/>
  <c r="C75" i="71"/>
  <c r="S14" i="79"/>
  <c r="S10" i="79"/>
  <c r="S8" i="79"/>
  <c r="E59" i="86"/>
  <c r="K59" i="86"/>
  <c r="G89" i="86"/>
  <c r="H89" i="86" s="1"/>
  <c r="I89" i="86" s="1"/>
  <c r="J89" i="86" s="1"/>
  <c r="K89" i="86" s="1"/>
  <c r="L89" i="86" s="1"/>
  <c r="M89" i="86" s="1"/>
  <c r="F26" i="86"/>
  <c r="N22" i="80"/>
  <c r="AA25" i="40"/>
  <c r="S25" i="40"/>
  <c r="X28" i="71"/>
  <c r="R5" i="77"/>
  <c r="U5" i="77" s="1"/>
  <c r="R25" i="77"/>
  <c r="H95" i="43"/>
  <c r="H101" i="43"/>
  <c r="H94" i="43"/>
  <c r="H99" i="43"/>
  <c r="R5" i="79"/>
  <c r="S39" i="79"/>
  <c r="S38" i="79"/>
  <c r="S37" i="79"/>
  <c r="T7" i="79"/>
  <c r="W7" i="79" s="1"/>
  <c r="P9" i="79"/>
  <c r="T6" i="79"/>
  <c r="W6" i="79" s="1"/>
  <c r="T8" i="79"/>
  <c r="W8" i="79" s="1"/>
  <c r="M3" i="79"/>
  <c r="P3" i="79" s="1"/>
  <c r="L3" i="79"/>
  <c r="S6" i="79"/>
  <c r="S3" i="79"/>
  <c r="S7" i="79"/>
  <c r="S5" i="79"/>
  <c r="V6" i="79"/>
  <c r="V5" i="79"/>
  <c r="U6" i="79"/>
  <c r="U29" i="79"/>
  <c r="U28" i="79"/>
  <c r="AA43" i="86"/>
  <c r="S43" i="86"/>
  <c r="U37" i="86"/>
  <c r="AB37" i="86"/>
  <c r="AA32" i="86"/>
  <c r="S32" i="86"/>
  <c r="G58" i="86"/>
  <c r="F123" i="86"/>
  <c r="G123" i="86" s="1"/>
  <c r="H123" i="86" s="1"/>
  <c r="I123" i="86" s="1"/>
  <c r="J123" i="86" s="1"/>
  <c r="K123" i="86" s="1"/>
  <c r="L123" i="86" s="1"/>
  <c r="M123" i="86" s="1"/>
  <c r="J42" i="86"/>
  <c r="H42" i="86"/>
  <c r="AB21" i="33"/>
  <c r="W29" i="39"/>
  <c r="D42" i="71"/>
  <c r="C43" i="71"/>
  <c r="E63" i="71"/>
  <c r="E64" i="71" s="1"/>
  <c r="U64" i="71" s="1"/>
  <c r="D88" i="71"/>
  <c r="C87" i="71"/>
  <c r="C29" i="77"/>
  <c r="D7" i="77"/>
  <c r="C26" i="77" s="1"/>
  <c r="C32" i="77" s="1"/>
  <c r="C38" i="77" s="1"/>
  <c r="C39" i="77" s="1"/>
  <c r="H97" i="43"/>
  <c r="F25" i="78"/>
  <c r="G25" i="78"/>
  <c r="S9" i="79"/>
  <c r="R8" i="79"/>
  <c r="V10" i="79"/>
  <c r="U7" i="79"/>
  <c r="U27" i="79"/>
  <c r="U25" i="79"/>
  <c r="U14" i="79"/>
  <c r="U13" i="79"/>
  <c r="AD14" i="79"/>
  <c r="T16" i="79"/>
  <c r="W16" i="79" s="1"/>
  <c r="T12" i="79"/>
  <c r="W12" i="79" s="1"/>
  <c r="T10" i="79"/>
  <c r="W10" i="79" s="1"/>
  <c r="S17" i="79"/>
  <c r="S16" i="79"/>
  <c r="N25" i="79"/>
  <c r="AD35" i="79"/>
  <c r="AD34" i="79"/>
  <c r="S36" i="79"/>
  <c r="S27" i="79"/>
  <c r="S30" i="79"/>
  <c r="S35" i="79"/>
  <c r="S29" i="79"/>
  <c r="S25" i="79"/>
  <c r="M25" i="79"/>
  <c r="P25" i="79" s="1"/>
  <c r="T30" i="79"/>
  <c r="W30" i="79" s="1"/>
  <c r="T35" i="79"/>
  <c r="W35" i="79" s="1"/>
  <c r="T36" i="79"/>
  <c r="W36" i="79" s="1"/>
  <c r="P37" i="79"/>
  <c r="V8" i="79"/>
  <c r="R9" i="79"/>
  <c r="R10" i="79"/>
  <c r="D59" i="86"/>
  <c r="J59" i="86"/>
  <c r="E30" i="71"/>
  <c r="E31" i="71" s="1"/>
  <c r="E32" i="71" s="1"/>
  <c r="U32" i="71" s="1"/>
  <c r="AA28" i="71"/>
  <c r="Y35" i="71"/>
  <c r="Z35" i="71" s="1"/>
  <c r="B66" i="71"/>
  <c r="N67" i="71"/>
  <c r="H96" i="43"/>
  <c r="H100" i="43"/>
  <c r="T9" i="79"/>
  <c r="W9" i="79" s="1"/>
  <c r="V7" i="79"/>
  <c r="S11" i="79"/>
  <c r="K3" i="79"/>
  <c r="S12" i="79"/>
  <c r="N3" i="79"/>
  <c r="V12" i="79"/>
  <c r="V11" i="79"/>
  <c r="R12" i="79"/>
  <c r="R14" i="79"/>
  <c r="R13" i="79"/>
  <c r="U10" i="79"/>
  <c r="W17" i="86"/>
  <c r="E79" i="71"/>
  <c r="E78" i="71" s="1"/>
  <c r="F71" i="71"/>
  <c r="F70" i="71" s="1"/>
  <c r="S13" i="79"/>
  <c r="AD33" i="79"/>
  <c r="U33" i="79"/>
  <c r="S34" i="79"/>
  <c r="S31" i="79"/>
  <c r="T33" i="79"/>
  <c r="W33" i="79" s="1"/>
  <c r="AD36" i="79"/>
  <c r="AD38" i="79"/>
  <c r="O3" i="79"/>
  <c r="S28" i="79"/>
  <c r="AB43" i="86"/>
  <c r="U43" i="86"/>
  <c r="P5" i="79"/>
  <c r="T3" i="79"/>
  <c r="W3" i="79" s="1"/>
  <c r="T11" i="79"/>
  <c r="W11" i="79" s="1"/>
  <c r="T14" i="79"/>
  <c r="W14" i="79" s="1"/>
  <c r="S15" i="79"/>
  <c r="V15" i="79"/>
  <c r="R7" i="79"/>
  <c r="P32" i="79"/>
  <c r="T32" i="79"/>
  <c r="W32" i="79" s="1"/>
  <c r="T25" i="79"/>
  <c r="W25" i="79" s="1"/>
  <c r="T27" i="79"/>
  <c r="W27" i="79" s="1"/>
  <c r="T28" i="79"/>
  <c r="W28" i="79" s="1"/>
  <c r="M16" i="80"/>
  <c r="M17" i="80"/>
  <c r="N17" i="80" s="1"/>
  <c r="E14" i="83"/>
  <c r="D15" i="83"/>
  <c r="AC36" i="86"/>
  <c r="W36" i="86"/>
  <c r="S31" i="86"/>
  <c r="U19" i="86"/>
  <c r="AB19" i="86"/>
  <c r="H36" i="86"/>
  <c r="F36" i="86"/>
  <c r="AB46" i="86"/>
  <c r="U11" i="86"/>
  <c r="C38" i="69"/>
  <c r="C29" i="68"/>
  <c r="D27" i="68" s="1"/>
  <c r="C47" i="68"/>
  <c r="D45" i="68" s="1"/>
  <c r="J53" i="67"/>
  <c r="J57" i="67"/>
  <c r="J55" i="67" s="1"/>
  <c r="J58" i="67" s="1"/>
  <c r="Q50" i="67" s="1"/>
  <c r="L56" i="67"/>
  <c r="J59" i="67"/>
  <c r="J60" i="67"/>
  <c r="Q48" i="67" s="1"/>
  <c r="L60" i="67"/>
  <c r="B9" i="70"/>
  <c r="B12" i="70"/>
  <c r="J20" i="15"/>
  <c r="B10" i="70"/>
  <c r="L58" i="67"/>
  <c r="M59" i="67"/>
  <c r="N59" i="67"/>
  <c r="L59" i="67"/>
  <c r="B7" i="70"/>
  <c r="F63" i="15"/>
  <c r="B11" i="70"/>
  <c r="B8" i="70"/>
  <c r="C27" i="88"/>
  <c r="F65" i="88"/>
  <c r="F51" i="88"/>
  <c r="F65" i="15"/>
  <c r="J53" i="15"/>
  <c r="J57" i="15"/>
  <c r="J55" i="15" s="1"/>
  <c r="J58" i="15" s="1"/>
  <c r="Q50" i="15" s="1"/>
  <c r="I54" i="15"/>
  <c r="Q71" i="67"/>
  <c r="C18" i="15"/>
  <c r="C15" i="15"/>
  <c r="J59" i="88"/>
  <c r="J53" i="88"/>
  <c r="L60" i="88"/>
  <c r="J57" i="88"/>
  <c r="J55" i="88" s="1"/>
  <c r="J58" i="88" s="1"/>
  <c r="Q50" i="88" s="1"/>
  <c r="J60" i="88"/>
  <c r="Q48" i="88" s="1"/>
  <c r="L56" i="88"/>
  <c r="F66" i="15"/>
  <c r="F68" i="15"/>
  <c r="F68" i="67"/>
  <c r="F69" i="15"/>
  <c r="F66" i="88"/>
  <c r="F50" i="88"/>
  <c r="M7" i="88"/>
  <c r="J6" i="88" s="1"/>
  <c r="N59" i="15"/>
  <c r="L58" i="15"/>
  <c r="M59" i="15"/>
  <c r="L59" i="15"/>
  <c r="C27" i="67"/>
  <c r="C27" i="15"/>
  <c r="M59" i="88"/>
  <c r="N59" i="88"/>
  <c r="L58" i="88"/>
  <c r="L59" i="88"/>
  <c r="F68" i="88"/>
  <c r="F64" i="88"/>
  <c r="Q71" i="88"/>
  <c r="F50" i="67"/>
  <c r="M7" i="67"/>
  <c r="J6" i="67" s="1"/>
  <c r="B20" i="31"/>
  <c r="B21" i="31" s="1"/>
  <c r="F71" i="88"/>
  <c r="F51" i="67"/>
  <c r="F51" i="15"/>
  <c r="F71" i="67"/>
  <c r="M7" i="15"/>
  <c r="J6" i="15" s="1"/>
  <c r="F50" i="15"/>
  <c r="F31" i="67"/>
  <c r="F6" i="88"/>
  <c r="C6" i="67"/>
  <c r="F64" i="67"/>
  <c r="Q71" i="15"/>
  <c r="F64" i="15"/>
  <c r="F71" i="15"/>
  <c r="F31" i="15"/>
  <c r="C6" i="15"/>
  <c r="I1" i="73"/>
  <c r="B39" i="1" s="1"/>
  <c r="B13" i="70"/>
  <c r="F66" i="67"/>
  <c r="F65" i="67"/>
  <c r="C47" i="69"/>
  <c r="D45" i="69" s="1"/>
  <c r="F45" i="69"/>
  <c r="C29" i="69"/>
  <c r="D27" i="69" s="1"/>
  <c r="F14" i="49"/>
  <c r="H14" i="49" s="1"/>
  <c r="F12" i="49"/>
  <c r="H12" i="49" s="1"/>
  <c r="F10" i="49"/>
  <c r="H10" i="49" s="1"/>
  <c r="F8" i="49"/>
  <c r="H8" i="49" s="1"/>
  <c r="F6" i="49"/>
  <c r="H6" i="49" s="1"/>
  <c r="F4" i="49"/>
  <c r="H4" i="49" s="1"/>
  <c r="B12" i="49"/>
  <c r="D12" i="49" s="1"/>
  <c r="B8" i="49"/>
  <c r="D8" i="49" s="1"/>
  <c r="B4" i="49"/>
  <c r="D4" i="49" s="1"/>
  <c r="B11" i="49"/>
  <c r="D11" i="49" s="1"/>
  <c r="B7" i="49"/>
  <c r="D7" i="49" s="1"/>
  <c r="F15" i="49"/>
  <c r="H15" i="49" s="1"/>
  <c r="F13" i="49"/>
  <c r="H13" i="49" s="1"/>
  <c r="F11" i="49"/>
  <c r="H11" i="49" s="1"/>
  <c r="F9" i="49"/>
  <c r="H9" i="49" s="1"/>
  <c r="F7" i="49"/>
  <c r="H7" i="49" s="1"/>
  <c r="F5" i="49"/>
  <c r="H5" i="49" s="1"/>
  <c r="B14" i="49"/>
  <c r="D14" i="49" s="1"/>
  <c r="B10" i="49"/>
  <c r="D10" i="49" s="1"/>
  <c r="B6" i="49"/>
  <c r="D6" i="49" s="1"/>
  <c r="B13" i="49"/>
  <c r="D13" i="49" s="1"/>
  <c r="B9" i="49"/>
  <c r="C34" i="68"/>
  <c r="C16" i="15"/>
  <c r="C16" i="88"/>
  <c r="D9" i="68"/>
  <c r="C17" i="15"/>
  <c r="C36" i="68"/>
  <c r="C16" i="67"/>
  <c r="G1" i="73"/>
  <c r="C35" i="68" l="1"/>
  <c r="C9" i="68"/>
  <c r="D116" i="43"/>
  <c r="H75" i="43"/>
  <c r="H80" i="43"/>
  <c r="H74" i="43"/>
  <c r="H73" i="43"/>
  <c r="H76" i="43"/>
  <c r="H78" i="43"/>
  <c r="G21" i="43"/>
  <c r="C20" i="43" s="1"/>
  <c r="H79" i="43"/>
  <c r="H72" i="43"/>
  <c r="H77" i="43"/>
  <c r="AC40" i="21"/>
  <c r="U40" i="21"/>
  <c r="AB42" i="21"/>
  <c r="U42" i="21"/>
  <c r="C38" i="68"/>
  <c r="AC42" i="21"/>
  <c r="W42" i="21"/>
  <c r="AA42" i="21"/>
  <c r="S42" i="21"/>
  <c r="B40" i="1"/>
  <c r="F25" i="12" s="1"/>
  <c r="C60" i="71"/>
  <c r="D59" i="71"/>
  <c r="G5" i="3"/>
  <c r="B3" i="3" s="1"/>
  <c r="AB24" i="36"/>
  <c r="U24" i="36"/>
  <c r="S12" i="35"/>
  <c r="AA12" i="35"/>
  <c r="W12" i="33"/>
  <c r="AC12" i="33"/>
  <c r="S16" i="71"/>
  <c r="B15" i="71"/>
  <c r="B14" i="71" s="1"/>
  <c r="B13" i="71" s="1"/>
  <c r="B12" i="71" s="1"/>
  <c r="I53" i="33"/>
  <c r="J53" i="33" s="1"/>
  <c r="I52" i="33"/>
  <c r="J52" i="33" s="1"/>
  <c r="AB7" i="35"/>
  <c r="T38" i="35" s="1"/>
  <c r="G38" i="35" s="1"/>
  <c r="U7" i="35"/>
  <c r="D15" i="71"/>
  <c r="C14" i="71"/>
  <c r="H65" i="40"/>
  <c r="I63" i="40"/>
  <c r="S7" i="21"/>
  <c r="AA7" i="21"/>
  <c r="C44" i="71"/>
  <c r="D43" i="71"/>
  <c r="AB42" i="86"/>
  <c r="U42" i="86"/>
  <c r="H58" i="86"/>
  <c r="AA26" i="86"/>
  <c r="S26" i="86"/>
  <c r="AZ22" i="3"/>
  <c r="BL5" i="3"/>
  <c r="AC24" i="36"/>
  <c r="W24" i="36"/>
  <c r="G53" i="34"/>
  <c r="H53" i="34" s="1"/>
  <c r="G54" i="34"/>
  <c r="H54" i="34" s="1"/>
  <c r="E54" i="34"/>
  <c r="F54" i="34" s="1"/>
  <c r="J7" i="35"/>
  <c r="N66" i="71"/>
  <c r="N65" i="71"/>
  <c r="C40" i="77"/>
  <c r="D75" i="71"/>
  <c r="C74" i="71"/>
  <c r="D74" i="71" s="1"/>
  <c r="E38" i="77"/>
  <c r="E39" i="77" s="1"/>
  <c r="E29" i="77"/>
  <c r="E26" i="77"/>
  <c r="E32" i="77" s="1"/>
  <c r="S36" i="86"/>
  <c r="AA36" i="86"/>
  <c r="F59" i="86"/>
  <c r="L59" i="86"/>
  <c r="D87" i="71"/>
  <c r="C86" i="71"/>
  <c r="D86" i="71" s="1"/>
  <c r="W42" i="86"/>
  <c r="AC42" i="86"/>
  <c r="AZ38" i="3"/>
  <c r="BA5" i="3"/>
  <c r="E27" i="6" s="1"/>
  <c r="AA40" i="40"/>
  <c r="S40" i="40"/>
  <c r="AA34" i="21"/>
  <c r="S34" i="21"/>
  <c r="G53" i="33"/>
  <c r="H53" i="33" s="1"/>
  <c r="F7" i="35"/>
  <c r="AC7" i="21"/>
  <c r="V48" i="21" s="1"/>
  <c r="I48" i="21" s="1"/>
  <c r="W7" i="21"/>
  <c r="AB36" i="86"/>
  <c r="U36" i="86"/>
  <c r="F14" i="83"/>
  <c r="E15" i="83"/>
  <c r="E22" i="83"/>
  <c r="F21" i="83"/>
  <c r="AC40" i="40"/>
  <c r="W40" i="40"/>
  <c r="W12" i="35"/>
  <c r="AC12" i="35"/>
  <c r="AB43" i="21"/>
  <c r="U43" i="21"/>
  <c r="U12" i="33"/>
  <c r="AB12" i="33"/>
  <c r="L46" i="36"/>
  <c r="I52" i="37"/>
  <c r="J52" i="37" s="1"/>
  <c r="K52" i="37" s="1"/>
  <c r="L52" i="37" s="1"/>
  <c r="M52" i="37" s="1"/>
  <c r="N52" i="37" s="1"/>
  <c r="O52" i="37" s="1"/>
  <c r="F7" i="37"/>
  <c r="H7" i="37"/>
  <c r="L67" i="39"/>
  <c r="K69" i="39"/>
  <c r="U7" i="21"/>
  <c r="AB7" i="21"/>
  <c r="T48" i="21" s="1"/>
  <c r="G48" i="21" s="1"/>
  <c r="M17" i="88"/>
  <c r="J17" i="88" s="1"/>
  <c r="M17" i="15"/>
  <c r="J17" i="15" s="1"/>
  <c r="C49" i="15"/>
  <c r="C49" i="88"/>
  <c r="F59" i="67"/>
  <c r="C19" i="15"/>
  <c r="J18" i="67"/>
  <c r="J19" i="67"/>
  <c r="M11" i="88"/>
  <c r="J10" i="88" s="1"/>
  <c r="J5" i="88" s="1"/>
  <c r="F11" i="15"/>
  <c r="M11" i="67"/>
  <c r="J10" i="67" s="1"/>
  <c r="J5" i="67" s="1"/>
  <c r="M11" i="15"/>
  <c r="J10" i="15" s="1"/>
  <c r="J5" i="15" s="1"/>
  <c r="F11" i="67"/>
  <c r="C53" i="67" s="1"/>
  <c r="F11" i="88"/>
  <c r="C53" i="88" s="1"/>
  <c r="J18" i="88"/>
  <c r="J19" i="88"/>
  <c r="C49" i="67"/>
  <c r="Q73" i="88"/>
  <c r="Q60" i="88"/>
  <c r="Q74" i="15"/>
  <c r="Q61" i="15"/>
  <c r="Q57" i="88"/>
  <c r="Q66" i="88"/>
  <c r="F1" i="15"/>
  <c r="Q52" i="15"/>
  <c r="Q61" i="67"/>
  <c r="Q74" i="67"/>
  <c r="J18" i="15"/>
  <c r="J19" i="15"/>
  <c r="C31" i="15"/>
  <c r="F59" i="15"/>
  <c r="M17" i="67"/>
  <c r="J17" i="67" s="1"/>
  <c r="F59" i="88"/>
  <c r="Q52" i="88"/>
  <c r="F1" i="88"/>
  <c r="Q57" i="67"/>
  <c r="Q66" i="67"/>
  <c r="D9" i="49"/>
  <c r="C4" i="4"/>
  <c r="C31" i="67"/>
  <c r="Q60" i="15"/>
  <c r="Q73" i="15"/>
  <c r="F31" i="88"/>
  <c r="C6" i="88"/>
  <c r="Q61" i="88"/>
  <c r="Q74" i="88"/>
  <c r="L56" i="15"/>
  <c r="Q60" i="67"/>
  <c r="Q73" i="67"/>
  <c r="F1" i="67"/>
  <c r="Q52" i="67"/>
  <c r="AE6" i="1"/>
  <c r="F41" i="88" s="1"/>
  <c r="L36" i="43" l="1"/>
  <c r="L37" i="43" s="1"/>
  <c r="F22" i="69"/>
  <c r="F41" i="69" s="1"/>
  <c r="F24" i="15"/>
  <c r="C24" i="15" s="1"/>
  <c r="F22" i="68"/>
  <c r="C26" i="68" s="1"/>
  <c r="D22" i="68" s="1"/>
  <c r="F24" i="88"/>
  <c r="C24" i="88" s="1"/>
  <c r="F22" i="11"/>
  <c r="C44" i="11" s="1"/>
  <c r="D41" i="11" s="1"/>
  <c r="F24" i="67"/>
  <c r="C24" i="67" s="1"/>
  <c r="D5" i="43"/>
  <c r="C42" i="43" s="1"/>
  <c r="C5" i="43"/>
  <c r="T11" i="43" s="1"/>
  <c r="V11" i="43" s="1"/>
  <c r="AB7" i="37"/>
  <c r="T42" i="37" s="1"/>
  <c r="G42" i="37" s="1"/>
  <c r="U7" i="37"/>
  <c r="E18" i="3"/>
  <c r="E167" i="3"/>
  <c r="E510" i="3"/>
  <c r="E141" i="3"/>
  <c r="E552" i="3"/>
  <c r="E398" i="3"/>
  <c r="E566" i="3"/>
  <c r="E520" i="3"/>
  <c r="E57" i="3"/>
  <c r="E297" i="3"/>
  <c r="E375" i="3"/>
  <c r="E488" i="3"/>
  <c r="E47" i="3"/>
  <c r="E195" i="3"/>
  <c r="E266" i="3"/>
  <c r="E66" i="3"/>
  <c r="E127" i="3"/>
  <c r="E51" i="3"/>
  <c r="E222" i="3"/>
  <c r="E365" i="3"/>
  <c r="E212" i="3"/>
  <c r="R6" i="3"/>
  <c r="E430" i="3"/>
  <c r="AP6" i="3"/>
  <c r="E417" i="3"/>
  <c r="E95" i="3"/>
  <c r="E258" i="3"/>
  <c r="E389" i="3"/>
  <c r="E409" i="3"/>
  <c r="E64" i="3"/>
  <c r="E142" i="3"/>
  <c r="E300" i="3"/>
  <c r="E67" i="3"/>
  <c r="E355" i="3"/>
  <c r="E81" i="3"/>
  <c r="E513" i="3"/>
  <c r="E188" i="3"/>
  <c r="E393" i="3"/>
  <c r="E486" i="3"/>
  <c r="E376" i="3"/>
  <c r="E419" i="3"/>
  <c r="E40" i="3"/>
  <c r="E119" i="3"/>
  <c r="E346" i="3"/>
  <c r="E43" i="3"/>
  <c r="E79" i="3"/>
  <c r="E219" i="3"/>
  <c r="E36" i="3"/>
  <c r="E50" i="3"/>
  <c r="E296" i="3"/>
  <c r="E525" i="3"/>
  <c r="E456" i="3"/>
  <c r="E451" i="3"/>
  <c r="E13" i="3"/>
  <c r="E26" i="3"/>
  <c r="E198" i="3"/>
  <c r="E243" i="3"/>
  <c r="AL6" i="3"/>
  <c r="E428" i="3"/>
  <c r="E78" i="3"/>
  <c r="E220" i="3"/>
  <c r="E383" i="3"/>
  <c r="E86" i="3"/>
  <c r="E232" i="3"/>
  <c r="E102" i="3"/>
  <c r="E308" i="3"/>
  <c r="E60" i="3"/>
  <c r="E339" i="3"/>
  <c r="E147" i="3"/>
  <c r="E101" i="3"/>
  <c r="E197" i="3"/>
  <c r="E545" i="3"/>
  <c r="E133" i="3"/>
  <c r="E406" i="3"/>
  <c r="E468" i="3"/>
  <c r="E171" i="3"/>
  <c r="E74" i="3"/>
  <c r="E204" i="3"/>
  <c r="E485" i="3"/>
  <c r="E531" i="3"/>
  <c r="E182" i="3"/>
  <c r="E572" i="3"/>
  <c r="E268" i="3"/>
  <c r="E579" i="3"/>
  <c r="E311" i="3"/>
  <c r="AB6" i="3"/>
  <c r="E189" i="3"/>
  <c r="E172" i="3"/>
  <c r="E135" i="3"/>
  <c r="AI6" i="3"/>
  <c r="E530" i="3"/>
  <c r="E561" i="3"/>
  <c r="E91" i="3"/>
  <c r="E500" i="3"/>
  <c r="E352" i="3"/>
  <c r="E313" i="3"/>
  <c r="E438" i="3"/>
  <c r="E471" i="3"/>
  <c r="E208" i="3"/>
  <c r="E93" i="3"/>
  <c r="E145" i="3"/>
  <c r="E548" i="3"/>
  <c r="E403" i="3"/>
  <c r="E126" i="3"/>
  <c r="AM6" i="3"/>
  <c r="E501" i="3"/>
  <c r="O6" i="3"/>
  <c r="E97" i="3"/>
  <c r="E506" i="3"/>
  <c r="E298" i="3"/>
  <c r="E565" i="3"/>
  <c r="E221" i="3"/>
  <c r="E402" i="3"/>
  <c r="AA6" i="3"/>
  <c r="E555" i="3"/>
  <c r="E538" i="3"/>
  <c r="E493" i="3"/>
  <c r="E434" i="3"/>
  <c r="E177" i="3"/>
  <c r="E481" i="3"/>
  <c r="E429" i="3"/>
  <c r="E203" i="3"/>
  <c r="E580" i="3"/>
  <c r="E252" i="3"/>
  <c r="E448" i="3"/>
  <c r="E581" i="3"/>
  <c r="E121" i="3"/>
  <c r="E334" i="3"/>
  <c r="E366" i="3"/>
  <c r="E239" i="3"/>
  <c r="E229" i="3"/>
  <c r="E551" i="3"/>
  <c r="E294" i="3"/>
  <c r="E415" i="3"/>
  <c r="E117" i="3"/>
  <c r="E382" i="3"/>
  <c r="E336" i="3"/>
  <c r="E261" i="3"/>
  <c r="E363" i="3"/>
  <c r="E453" i="3"/>
  <c r="E99" i="3"/>
  <c r="E573" i="3"/>
  <c r="E562" i="3"/>
  <c r="E72" i="3"/>
  <c r="E351" i="3"/>
  <c r="E549" i="3"/>
  <c r="E585" i="3"/>
  <c r="E477" i="3"/>
  <c r="E447" i="3"/>
  <c r="E210" i="3"/>
  <c r="E441" i="3"/>
  <c r="E586" i="3"/>
  <c r="E23" i="3"/>
  <c r="E176" i="3"/>
  <c r="E144" i="3"/>
  <c r="E244" i="3"/>
  <c r="AD6" i="3"/>
  <c r="E464" i="3"/>
  <c r="E459" i="3"/>
  <c r="E413" i="3"/>
  <c r="E39" i="3"/>
  <c r="E187" i="3"/>
  <c r="E348" i="3"/>
  <c r="E58" i="3"/>
  <c r="E521" i="3"/>
  <c r="E65" i="3"/>
  <c r="E386" i="3"/>
  <c r="E48" i="3"/>
  <c r="E284" i="3"/>
  <c r="E154" i="3"/>
  <c r="E373" i="3"/>
  <c r="E536" i="3"/>
  <c r="E575" i="3"/>
  <c r="E466" i="3"/>
  <c r="E255" i="3"/>
  <c r="E435" i="3"/>
  <c r="E56" i="3"/>
  <c r="E132" i="3"/>
  <c r="E292" i="3"/>
  <c r="E76" i="3"/>
  <c r="E425" i="3"/>
  <c r="E103" i="3"/>
  <c r="E267" i="3"/>
  <c r="E492" i="3"/>
  <c r="E184" i="3"/>
  <c r="E68" i="3"/>
  <c r="E264" i="3"/>
  <c r="E329" i="3"/>
  <c r="E116" i="3"/>
  <c r="E543" i="3"/>
  <c r="E422" i="3"/>
  <c r="J6" i="3"/>
  <c r="E401" i="3"/>
  <c r="E108" i="3"/>
  <c r="E226" i="3"/>
  <c r="E372" i="3"/>
  <c r="E473" i="3"/>
  <c r="E170" i="3"/>
  <c r="E325" i="3"/>
  <c r="E289" i="3"/>
  <c r="E218" i="3"/>
  <c r="E173" i="3"/>
  <c r="T6" i="3"/>
  <c r="E512" i="3"/>
  <c r="E556" i="3"/>
  <c r="E470" i="3"/>
  <c r="E41" i="3"/>
  <c r="E225" i="3"/>
  <c r="E391" i="3"/>
  <c r="E94" i="3"/>
  <c r="E412" i="3"/>
  <c r="E190" i="3"/>
  <c r="E235" i="3"/>
  <c r="E522" i="3"/>
  <c r="E49" i="3"/>
  <c r="E370" i="3"/>
  <c r="E158" i="3"/>
  <c r="E83" i="3"/>
  <c r="E137" i="3"/>
  <c r="E52" i="3"/>
  <c r="E20" i="3"/>
  <c r="E517" i="3"/>
  <c r="E568" i="3"/>
  <c r="E228" i="3"/>
  <c r="E560" i="3"/>
  <c r="E587" i="3"/>
  <c r="E106" i="3"/>
  <c r="E315" i="3"/>
  <c r="E368" i="3"/>
  <c r="Z6" i="3"/>
  <c r="E345" i="3"/>
  <c r="E273" i="3"/>
  <c r="E217" i="3"/>
  <c r="AJ6" i="3"/>
  <c r="E570" i="3"/>
  <c r="E335" i="3"/>
  <c r="E278" i="3"/>
  <c r="E535" i="3"/>
  <c r="E246" i="3"/>
  <c r="E143" i="3"/>
  <c r="E185" i="3"/>
  <c r="E399" i="3"/>
  <c r="E461" i="3"/>
  <c r="E157" i="3"/>
  <c r="E529" i="3"/>
  <c r="W6" i="3"/>
  <c r="E54" i="3"/>
  <c r="E357" i="3"/>
  <c r="E196" i="3"/>
  <c r="U6" i="3"/>
  <c r="E367" i="3"/>
  <c r="E71" i="3"/>
  <c r="E291" i="3"/>
  <c r="E53" i="3"/>
  <c r="E426" i="3"/>
  <c r="E359" i="3"/>
  <c r="S6" i="3"/>
  <c r="E338" i="3"/>
  <c r="E237" i="3"/>
  <c r="E17" i="3"/>
  <c r="E159" i="3"/>
  <c r="E353" i="3"/>
  <c r="E305" i="3"/>
  <c r="E270" i="3"/>
  <c r="E528" i="3"/>
  <c r="E347" i="3"/>
  <c r="E156" i="3"/>
  <c r="E262" i="3"/>
  <c r="Q6" i="3"/>
  <c r="E344" i="3"/>
  <c r="E55" i="3"/>
  <c r="E274" i="3"/>
  <c r="I6" i="3"/>
  <c r="E576" i="3"/>
  <c r="E443" i="3"/>
  <c r="E404" i="3"/>
  <c r="E295" i="3"/>
  <c r="E480" i="3"/>
  <c r="E282" i="3"/>
  <c r="E358" i="3"/>
  <c r="E407" i="3"/>
  <c r="E130" i="3"/>
  <c r="E260" i="3"/>
  <c r="E61" i="3"/>
  <c r="E518" i="3"/>
  <c r="E343" i="3"/>
  <c r="E301" i="3"/>
  <c r="E309" i="3"/>
  <c r="E314" i="3"/>
  <c r="E193" i="3"/>
  <c r="E527" i="3"/>
  <c r="E450" i="3"/>
  <c r="E150" i="3"/>
  <c r="E31" i="3"/>
  <c r="E478" i="3"/>
  <c r="AS6" i="3"/>
  <c r="E162" i="3"/>
  <c r="E384" i="3"/>
  <c r="E380" i="3"/>
  <c r="E494" i="3"/>
  <c r="E199" i="3"/>
  <c r="E149" i="3"/>
  <c r="E542" i="3"/>
  <c r="E487" i="3"/>
  <c r="E374" i="3"/>
  <c r="E460" i="3"/>
  <c r="E90" i="3"/>
  <c r="E240" i="3"/>
  <c r="E378" i="3"/>
  <c r="E110" i="3"/>
  <c r="E446" i="3"/>
  <c r="E138" i="3"/>
  <c r="E209" i="3"/>
  <c r="E354" i="3"/>
  <c r="E87" i="3"/>
  <c r="Y6" i="3"/>
  <c r="E82" i="3"/>
  <c r="E148" i="3"/>
  <c r="E499" i="3"/>
  <c r="E541" i="3"/>
  <c r="I3" i="6"/>
  <c r="E491" i="3"/>
  <c r="E37" i="3"/>
  <c r="E192" i="3"/>
  <c r="E349" i="3"/>
  <c r="E59" i="3"/>
  <c r="E467" i="3"/>
  <c r="E160" i="3"/>
  <c r="E249" i="3"/>
  <c r="E84" i="3"/>
  <c r="E233" i="3"/>
  <c r="E63" i="3"/>
  <c r="E283" i="3"/>
  <c r="E16" i="3"/>
  <c r="E105" i="3"/>
  <c r="E427" i="3"/>
  <c r="E440" i="3"/>
  <c r="E498" i="3"/>
  <c r="E463" i="3"/>
  <c r="E276" i="3"/>
  <c r="L6" i="3"/>
  <c r="E15" i="3"/>
  <c r="E194" i="3"/>
  <c r="AQ6" i="3"/>
  <c r="E340" i="3"/>
  <c r="E524" i="3"/>
  <c r="E369" i="3"/>
  <c r="E405" i="3"/>
  <c r="E408" i="3"/>
  <c r="E497" i="3"/>
  <c r="E420" i="3"/>
  <c r="E115" i="3"/>
  <c r="E281" i="3"/>
  <c r="E356" i="3"/>
  <c r="E96" i="3"/>
  <c r="E174" i="3"/>
  <c r="E324" i="3"/>
  <c r="E35" i="3"/>
  <c r="E206" i="3"/>
  <c r="AF6" i="3"/>
  <c r="E287" i="3"/>
  <c r="E490" i="3"/>
  <c r="E234" i="3"/>
  <c r="E112" i="3"/>
  <c r="E265" i="3"/>
  <c r="E502" i="3"/>
  <c r="E181" i="3"/>
  <c r="E277" i="3"/>
  <c r="E472" i="3"/>
  <c r="E577" i="3"/>
  <c r="E146" i="3"/>
  <c r="E362" i="3"/>
  <c r="E89" i="3"/>
  <c r="AO6" i="3"/>
  <c r="E557" i="3"/>
  <c r="E70" i="3"/>
  <c r="E377" i="3"/>
  <c r="E526" i="3"/>
  <c r="E509" i="3"/>
  <c r="E201" i="3"/>
  <c r="M6" i="3"/>
  <c r="E215" i="3"/>
  <c r="E563" i="3"/>
  <c r="E161" i="3"/>
  <c r="E423" i="3"/>
  <c r="X6" i="3"/>
  <c r="AR6" i="3"/>
  <c r="E183" i="3"/>
  <c r="E113" i="3"/>
  <c r="E136" i="3"/>
  <c r="E224" i="3"/>
  <c r="E474" i="3"/>
  <c r="E537" i="3"/>
  <c r="E168" i="3"/>
  <c r="E14" i="3"/>
  <c r="E207" i="3"/>
  <c r="E411" i="3"/>
  <c r="E547" i="3"/>
  <c r="E92" i="3"/>
  <c r="E317" i="3"/>
  <c r="E319" i="3"/>
  <c r="E328" i="3"/>
  <c r="E285" i="3"/>
  <c r="E523" i="3"/>
  <c r="E321" i="3"/>
  <c r="E304" i="3"/>
  <c r="E302" i="3"/>
  <c r="E303" i="3"/>
  <c r="E280" i="3"/>
  <c r="E508" i="3"/>
  <c r="E533" i="3"/>
  <c r="E503" i="3"/>
  <c r="E371" i="3"/>
  <c r="E238" i="3"/>
  <c r="E120" i="3"/>
  <c r="E437" i="3"/>
  <c r="AE6" i="3"/>
  <c r="E73" i="3"/>
  <c r="E394" i="3"/>
  <c r="E236" i="3"/>
  <c r="AG6" i="3"/>
  <c r="E558" i="3"/>
  <c r="E88" i="3"/>
  <c r="E316" i="3"/>
  <c r="E125" i="3"/>
  <c r="N6" i="3"/>
  <c r="E396" i="3"/>
  <c r="E559" i="3"/>
  <c r="E320" i="3"/>
  <c r="E550" i="3"/>
  <c r="E245" i="3"/>
  <c r="E293" i="3"/>
  <c r="E439" i="3"/>
  <c r="E124" i="3"/>
  <c r="E253" i="3"/>
  <c r="E511" i="3"/>
  <c r="E519" i="3"/>
  <c r="E457" i="3"/>
  <c r="E433" i="3"/>
  <c r="E279" i="3"/>
  <c r="E567" i="3"/>
  <c r="E107" i="3"/>
  <c r="E414" i="3"/>
  <c r="E476" i="3"/>
  <c r="E186" i="3"/>
  <c r="E44" i="3"/>
  <c r="E361" i="3"/>
  <c r="E165" i="3"/>
  <c r="E582" i="3"/>
  <c r="E504" i="3"/>
  <c r="E307" i="3"/>
  <c r="E323" i="3"/>
  <c r="E449" i="3"/>
  <c r="E241" i="3"/>
  <c r="E200" i="3"/>
  <c r="E118" i="3"/>
  <c r="E507" i="3"/>
  <c r="E242" i="3"/>
  <c r="E299" i="3"/>
  <c r="E534" i="3"/>
  <c r="E104" i="3"/>
  <c r="E482" i="3"/>
  <c r="E34" i="3"/>
  <c r="E77" i="3"/>
  <c r="E454" i="3"/>
  <c r="E400" i="3"/>
  <c r="E322" i="3"/>
  <c r="E69" i="3"/>
  <c r="E388" i="3"/>
  <c r="E306" i="3"/>
  <c r="E257" i="3"/>
  <c r="E546" i="3"/>
  <c r="E574" i="3"/>
  <c r="E213" i="3"/>
  <c r="E337" i="3"/>
  <c r="E128" i="3"/>
  <c r="E256" i="3"/>
  <c r="E444" i="3"/>
  <c r="E516" i="3"/>
  <c r="E395" i="3"/>
  <c r="E180" i="3"/>
  <c r="E458" i="3"/>
  <c r="E269" i="3"/>
  <c r="E331" i="3"/>
  <c r="E385" i="3"/>
  <c r="E153" i="3"/>
  <c r="P6" i="3"/>
  <c r="E230" i="3"/>
  <c r="E27" i="3"/>
  <c r="E312" i="3"/>
  <c r="E436" i="3"/>
  <c r="E462" i="3"/>
  <c r="E24" i="3"/>
  <c r="E539" i="3"/>
  <c r="E554" i="3"/>
  <c r="E544" i="3"/>
  <c r="E310" i="3"/>
  <c r="E21" i="3"/>
  <c r="AH6" i="3"/>
  <c r="E333" i="3"/>
  <c r="E123" i="3"/>
  <c r="E469" i="3"/>
  <c r="E139" i="3"/>
  <c r="E129" i="3"/>
  <c r="E251" i="3"/>
  <c r="E392" i="3"/>
  <c r="AK6" i="3"/>
  <c r="E214" i="3"/>
  <c r="E489" i="3"/>
  <c r="E431" i="3"/>
  <c r="E445" i="3"/>
  <c r="E231" i="3"/>
  <c r="E532" i="3"/>
  <c r="E397" i="3"/>
  <c r="E390" i="3"/>
  <c r="E254" i="3"/>
  <c r="E216" i="3"/>
  <c r="E330" i="3"/>
  <c r="E32" i="3"/>
  <c r="E166" i="3"/>
  <c r="E151" i="3"/>
  <c r="E290" i="3"/>
  <c r="E326" i="3"/>
  <c r="E571" i="3"/>
  <c r="E515" i="3"/>
  <c r="E410" i="3"/>
  <c r="E42" i="3"/>
  <c r="E475" i="3"/>
  <c r="E341" i="3"/>
  <c r="E553" i="3"/>
  <c r="E318" i="3"/>
  <c r="E202" i="3"/>
  <c r="E421" i="3"/>
  <c r="E131" i="3"/>
  <c r="E98" i="3"/>
  <c r="E250" i="3"/>
  <c r="E479" i="3"/>
  <c r="E484" i="3"/>
  <c r="E33" i="3"/>
  <c r="E223" i="3"/>
  <c r="E483" i="3"/>
  <c r="E540" i="3"/>
  <c r="E62" i="3"/>
  <c r="E360" i="3"/>
  <c r="E332" i="3"/>
  <c r="E275" i="3"/>
  <c r="E80" i="3"/>
  <c r="E364" i="3"/>
  <c r="K6" i="3"/>
  <c r="E211" i="3"/>
  <c r="E514" i="3"/>
  <c r="E191" i="3"/>
  <c r="E350" i="3"/>
  <c r="E379" i="3"/>
  <c r="E29" i="3"/>
  <c r="E418" i="3"/>
  <c r="AN6" i="3"/>
  <c r="E495" i="3"/>
  <c r="E424" i="3"/>
  <c r="E164" i="3"/>
  <c r="E30" i="3"/>
  <c r="V6" i="3"/>
  <c r="E578" i="3"/>
  <c r="E85" i="3"/>
  <c r="E111" i="3"/>
  <c r="E505" i="3"/>
  <c r="E205" i="3"/>
  <c r="E584" i="3"/>
  <c r="E175" i="3"/>
  <c r="E583" i="3"/>
  <c r="E155" i="3"/>
  <c r="E455" i="3"/>
  <c r="E416" i="3"/>
  <c r="E259" i="3"/>
  <c r="E163" i="3"/>
  <c r="E19" i="3"/>
  <c r="E442" i="3"/>
  <c r="E152" i="3"/>
  <c r="E46" i="3"/>
  <c r="E381" i="3"/>
  <c r="E564" i="3"/>
  <c r="E100" i="3"/>
  <c r="E140" i="3"/>
  <c r="E452" i="3"/>
  <c r="E342" i="3"/>
  <c r="E22" i="3"/>
  <c r="E465" i="3"/>
  <c r="E327" i="3"/>
  <c r="E109" i="3"/>
  <c r="E387" i="3"/>
  <c r="E122" i="3"/>
  <c r="E432" i="3"/>
  <c r="E169" i="3"/>
  <c r="E496" i="3"/>
  <c r="E45" i="3"/>
  <c r="E569" i="3"/>
  <c r="S7" i="35"/>
  <c r="AA7" i="35"/>
  <c r="R38" i="35" s="1"/>
  <c r="E263" i="3"/>
  <c r="E271" i="3"/>
  <c r="C41" i="77"/>
  <c r="B2" i="77"/>
  <c r="B3" i="77" s="1"/>
  <c r="E272" i="3"/>
  <c r="R48" i="21"/>
  <c r="D14" i="71"/>
  <c r="C13" i="71"/>
  <c r="E248" i="3"/>
  <c r="E114" i="3"/>
  <c r="G53" i="21"/>
  <c r="H53" i="21" s="1"/>
  <c r="G52" i="21"/>
  <c r="H52" i="21" s="1"/>
  <c r="AA7" i="37"/>
  <c r="R42" i="37" s="1"/>
  <c r="S7" i="37"/>
  <c r="M46" i="36"/>
  <c r="E38" i="3"/>
  <c r="G14" i="83"/>
  <c r="F15" i="83"/>
  <c r="H59" i="86" s="1"/>
  <c r="I52" i="21"/>
  <c r="J52" i="21" s="1"/>
  <c r="E288" i="3"/>
  <c r="W7" i="35"/>
  <c r="AC7" i="35"/>
  <c r="V38" i="35" s="1"/>
  <c r="I38" i="35" s="1"/>
  <c r="AZ5" i="3"/>
  <c r="I58" i="86"/>
  <c r="J58" i="86" s="1"/>
  <c r="K58" i="86" s="1"/>
  <c r="L58" i="86" s="1"/>
  <c r="M58" i="86" s="1"/>
  <c r="N58" i="86" s="1"/>
  <c r="O58" i="86" s="1"/>
  <c r="J7" i="86"/>
  <c r="D44" i="71"/>
  <c r="T44" i="71"/>
  <c r="G42" i="35"/>
  <c r="H42" i="35" s="1"/>
  <c r="T60" i="71"/>
  <c r="D60" i="71"/>
  <c r="E75" i="3"/>
  <c r="L69" i="39"/>
  <c r="M67" i="39"/>
  <c r="F22" i="83"/>
  <c r="G21" i="83"/>
  <c r="E247" i="3"/>
  <c r="E286" i="3"/>
  <c r="E178" i="3"/>
  <c r="E179" i="3"/>
  <c r="T15" i="43"/>
  <c r="V15" i="43" s="1"/>
  <c r="E28" i="3"/>
  <c r="J7" i="37"/>
  <c r="G59" i="86"/>
  <c r="M59" i="86"/>
  <c r="K26" i="6"/>
  <c r="M26" i="6" s="1"/>
  <c r="I26" i="6" s="1"/>
  <c r="S26" i="6" s="1"/>
  <c r="K25" i="6"/>
  <c r="M25" i="6" s="1"/>
  <c r="I25" i="6" s="1"/>
  <c r="S25" i="6" s="1"/>
  <c r="E31" i="6"/>
  <c r="K22" i="6"/>
  <c r="M22" i="6" s="1"/>
  <c r="I22" i="6" s="1"/>
  <c r="S22" i="6" s="1"/>
  <c r="K19" i="6"/>
  <c r="K24" i="6"/>
  <c r="M24" i="6" s="1"/>
  <c r="I24" i="6" s="1"/>
  <c r="S24" i="6" s="1"/>
  <c r="K20" i="6"/>
  <c r="M20" i="6" s="1"/>
  <c r="I20" i="6" s="1"/>
  <c r="S20" i="6" s="1"/>
  <c r="K21" i="6"/>
  <c r="M21" i="6" s="1"/>
  <c r="I21" i="6" s="1"/>
  <c r="S21" i="6" s="1"/>
  <c r="K23" i="6"/>
  <c r="M23" i="6" s="1"/>
  <c r="I23" i="6" s="1"/>
  <c r="S23" i="6" s="1"/>
  <c r="E134" i="3"/>
  <c r="E227" i="3"/>
  <c r="J63" i="40"/>
  <c r="I65" i="40"/>
  <c r="S12" i="71"/>
  <c r="B11" i="71"/>
  <c r="B10" i="71" s="1"/>
  <c r="B9" i="71" s="1"/>
  <c r="B8" i="71" s="1"/>
  <c r="B7" i="71" s="1"/>
  <c r="B6" i="71" s="1"/>
  <c r="B5" i="71" s="1"/>
  <c r="E25" i="3"/>
  <c r="C59" i="15"/>
  <c r="C59" i="88"/>
  <c r="C10" i="67"/>
  <c r="C5" i="67" s="1"/>
  <c r="C38" i="67" s="1"/>
  <c r="C48" i="88"/>
  <c r="C66" i="88" s="1"/>
  <c r="F69" i="88"/>
  <c r="J24" i="67"/>
  <c r="J26" i="67"/>
  <c r="B4" i="62"/>
  <c r="B71" i="72" s="1"/>
  <c r="K4" i="4"/>
  <c r="B46" i="48" s="1"/>
  <c r="B4" i="72" s="1"/>
  <c r="C23" i="11"/>
  <c r="J24" i="88"/>
  <c r="J26" i="88"/>
  <c r="J29" i="88" s="1"/>
  <c r="C20" i="15"/>
  <c r="C26" i="15" s="1"/>
  <c r="C10" i="88"/>
  <c r="C5" i="88" s="1"/>
  <c r="C31" i="88"/>
  <c r="C26" i="12"/>
  <c r="D25" i="12" s="1"/>
  <c r="J24" i="15"/>
  <c r="J26" i="15"/>
  <c r="J29" i="15" s="1"/>
  <c r="C48" i="67"/>
  <c r="C59" i="67"/>
  <c r="C44" i="69"/>
  <c r="D41" i="69" s="1"/>
  <c r="O36" i="43"/>
  <c r="P36" i="43"/>
  <c r="C53" i="15"/>
  <c r="C48" i="15" s="1"/>
  <c r="C10" i="15"/>
  <c r="C5" i="15" s="1"/>
  <c r="F41" i="67"/>
  <c r="F69" i="67" l="1"/>
  <c r="J29" i="67"/>
  <c r="C41" i="43"/>
  <c r="C38" i="43"/>
  <c r="C26" i="69"/>
  <c r="D22" i="69" s="1"/>
  <c r="M36" i="43"/>
  <c r="N36" i="43"/>
  <c r="Q36" i="43"/>
  <c r="C44" i="68"/>
  <c r="D41" i="68" s="1"/>
  <c r="C39" i="43"/>
  <c r="E39" i="43" s="1"/>
  <c r="C37" i="43"/>
  <c r="E37" i="43" s="1"/>
  <c r="C40" i="43"/>
  <c r="E40" i="43" s="1"/>
  <c r="F41" i="68"/>
  <c r="C33" i="43"/>
  <c r="E33" i="43" s="1"/>
  <c r="C6" i="68" s="1"/>
  <c r="C7" i="68" s="1"/>
  <c r="T16" i="43"/>
  <c r="V16" i="43" s="1"/>
  <c r="T9" i="43"/>
  <c r="V9" i="43" s="1"/>
  <c r="T10" i="43"/>
  <c r="V10" i="43" s="1"/>
  <c r="T8" i="43"/>
  <c r="V8" i="43" s="1"/>
  <c r="T12" i="43"/>
  <c r="V12" i="43" s="1"/>
  <c r="T5" i="43"/>
  <c r="V5" i="43" s="1"/>
  <c r="T14" i="43"/>
  <c r="V14" i="43" s="1"/>
  <c r="T13" i="43"/>
  <c r="V13" i="43" s="1"/>
  <c r="T3" i="43"/>
  <c r="V3" i="43" s="1"/>
  <c r="T2" i="43"/>
  <c r="V2" i="43" s="1"/>
  <c r="T7" i="43"/>
  <c r="V7" i="43" s="1"/>
  <c r="T6" i="43"/>
  <c r="V6" i="43" s="1"/>
  <c r="T4" i="43"/>
  <c r="V4" i="43" s="1"/>
  <c r="C26" i="11"/>
  <c r="D22" i="11" s="1"/>
  <c r="W7" i="86"/>
  <c r="AC7" i="86"/>
  <c r="V48" i="86" s="1"/>
  <c r="I48" i="86" s="1"/>
  <c r="I42" i="35"/>
  <c r="J42" i="35" s="1"/>
  <c r="I43" i="35"/>
  <c r="J43" i="35" s="1"/>
  <c r="D13" i="71"/>
  <c r="C12" i="71"/>
  <c r="E38" i="35"/>
  <c r="R39" i="35"/>
  <c r="AC6" i="3"/>
  <c r="C34" i="43"/>
  <c r="E34" i="43" s="1"/>
  <c r="M69" i="39"/>
  <c r="N67" i="39"/>
  <c r="N46" i="36"/>
  <c r="AC7" i="37"/>
  <c r="V42" i="37" s="1"/>
  <c r="I42" i="37" s="1"/>
  <c r="W7" i="37"/>
  <c r="E38" i="43"/>
  <c r="G38" i="43"/>
  <c r="I38" i="43" s="1"/>
  <c r="H21" i="83"/>
  <c r="G22" i="83"/>
  <c r="G43" i="35"/>
  <c r="H43" i="35" s="1"/>
  <c r="H14" i="83"/>
  <c r="G15" i="83"/>
  <c r="I59" i="86" s="1"/>
  <c r="E48" i="21"/>
  <c r="R49" i="21"/>
  <c r="G46" i="37"/>
  <c r="H46" i="37" s="1"/>
  <c r="G47" i="37"/>
  <c r="H47" i="37" s="1"/>
  <c r="G42" i="43"/>
  <c r="I42" i="43" s="1"/>
  <c r="E42" i="43"/>
  <c r="H6" i="3"/>
  <c r="E6" i="3" s="1"/>
  <c r="K63" i="40"/>
  <c r="J65" i="40"/>
  <c r="S6" i="1"/>
  <c r="M19" i="6"/>
  <c r="K27" i="6"/>
  <c r="E41" i="43"/>
  <c r="G41" i="43"/>
  <c r="I41" i="43" s="1"/>
  <c r="AY6" i="3"/>
  <c r="E3" i="6"/>
  <c r="R43" i="37"/>
  <c r="E42" i="37"/>
  <c r="C23" i="15"/>
  <c r="C29" i="15" s="1"/>
  <c r="C36" i="15" s="1"/>
  <c r="C66" i="67"/>
  <c r="C38" i="15"/>
  <c r="C66" i="15"/>
  <c r="Q37" i="43"/>
  <c r="O37" i="43"/>
  <c r="M37" i="43"/>
  <c r="N37" i="43"/>
  <c r="P37" i="43"/>
  <c r="C38" i="88"/>
  <c r="C14" i="88"/>
  <c r="C14" i="67"/>
  <c r="C17" i="88"/>
  <c r="C17" i="67"/>
  <c r="G39" i="43" l="1"/>
  <c r="I39" i="43" s="1"/>
  <c r="G37" i="43"/>
  <c r="I37" i="43" s="1"/>
  <c r="G40" i="43"/>
  <c r="I40" i="43" s="1"/>
  <c r="C31" i="43" s="1"/>
  <c r="C30" i="43"/>
  <c r="C18" i="67"/>
  <c r="C15" i="67"/>
  <c r="C15" i="88"/>
  <c r="C18" i="88"/>
  <c r="D3" i="34"/>
  <c r="B3" i="34" s="1"/>
  <c r="D3" i="37"/>
  <c r="B3" i="37" s="1"/>
  <c r="D14" i="12"/>
  <c r="E6" i="6"/>
  <c r="B1" i="87"/>
  <c r="D3" i="33"/>
  <c r="B3" i="33" s="1"/>
  <c r="D37" i="11"/>
  <c r="C37" i="11" s="1"/>
  <c r="C33" i="11" s="1"/>
  <c r="C17" i="4"/>
  <c r="B4" i="52" s="1"/>
  <c r="B43" i="72" s="1"/>
  <c r="D19" i="11"/>
  <c r="C19" i="11" s="1"/>
  <c r="L63" i="40"/>
  <c r="K65" i="40"/>
  <c r="I14" i="83"/>
  <c r="H15" i="83"/>
  <c r="C38" i="35"/>
  <c r="C39" i="35"/>
  <c r="M3" i="35" s="1"/>
  <c r="I52" i="86"/>
  <c r="J52" i="86" s="1"/>
  <c r="AY209" i="3"/>
  <c r="AY532" i="3"/>
  <c r="AY35" i="3"/>
  <c r="AY440" i="3"/>
  <c r="AY260" i="3"/>
  <c r="AY31" i="3"/>
  <c r="AY280" i="3"/>
  <c r="AY102" i="3"/>
  <c r="AY188" i="3"/>
  <c r="AY279" i="3"/>
  <c r="D3" i="6"/>
  <c r="AY30" i="3"/>
  <c r="AY386" i="3"/>
  <c r="AY454" i="3"/>
  <c r="AY405" i="3"/>
  <c r="AY445" i="3"/>
  <c r="AY216" i="3"/>
  <c r="AY443" i="3"/>
  <c r="AY394" i="3"/>
  <c r="AY476" i="3"/>
  <c r="AY339" i="3"/>
  <c r="AY296" i="3"/>
  <c r="AY336" i="3"/>
  <c r="AY306" i="3"/>
  <c r="AY424" i="3"/>
  <c r="BR6" i="3"/>
  <c r="AY223" i="3"/>
  <c r="AY449" i="3"/>
  <c r="AY417" i="3"/>
  <c r="AY467" i="3"/>
  <c r="AY447" i="3"/>
  <c r="AY348" i="3"/>
  <c r="AY61" i="3"/>
  <c r="AY225" i="3"/>
  <c r="AY95" i="3"/>
  <c r="AY382" i="3"/>
  <c r="AY204" i="3"/>
  <c r="AY180" i="3"/>
  <c r="AY433" i="3"/>
  <c r="AY45" i="3"/>
  <c r="AY118" i="3"/>
  <c r="AY381" i="3"/>
  <c r="AY177" i="3"/>
  <c r="AY332" i="3"/>
  <c r="BM6" i="3"/>
  <c r="AY42" i="3"/>
  <c r="AY366" i="3"/>
  <c r="AY252" i="3"/>
  <c r="AY245" i="3"/>
  <c r="AY513" i="3"/>
  <c r="AY60" i="3"/>
  <c r="AY299" i="3"/>
  <c r="AY357" i="3"/>
  <c r="AY114" i="3"/>
  <c r="AY491" i="3"/>
  <c r="AY561" i="3"/>
  <c r="AY237" i="3"/>
  <c r="AY535" i="3"/>
  <c r="AY117" i="3"/>
  <c r="AY130" i="3"/>
  <c r="AY516" i="3"/>
  <c r="AY132" i="3"/>
  <c r="AY326" i="3"/>
  <c r="AY162" i="3"/>
  <c r="AY72" i="3"/>
  <c r="AY406" i="3"/>
  <c r="AY268" i="3"/>
  <c r="AY529" i="3"/>
  <c r="AY92" i="3"/>
  <c r="AY219" i="3"/>
  <c r="AY333" i="3"/>
  <c r="BG6" i="3"/>
  <c r="AY481" i="3"/>
  <c r="AY271" i="3"/>
  <c r="AY340" i="3"/>
  <c r="AY49" i="3"/>
  <c r="AY436" i="3"/>
  <c r="AY270" i="3"/>
  <c r="AY480" i="3"/>
  <c r="AY101" i="3"/>
  <c r="AY234" i="3"/>
  <c r="AY458" i="3"/>
  <c r="AY542" i="3"/>
  <c r="AY135" i="3"/>
  <c r="AY456" i="3"/>
  <c r="AY184" i="3"/>
  <c r="AY338" i="3"/>
  <c r="AY58" i="3"/>
  <c r="AY460" i="3"/>
  <c r="BE6" i="3"/>
  <c r="AY262" i="3"/>
  <c r="AY388" i="3"/>
  <c r="AY495" i="3"/>
  <c r="AY390" i="3"/>
  <c r="AY126" i="3"/>
  <c r="AY356" i="3"/>
  <c r="AY523" i="3"/>
  <c r="AY343" i="3"/>
  <c r="AY286" i="3"/>
  <c r="AY309" i="3"/>
  <c r="AY582" i="3"/>
  <c r="AY251" i="3"/>
  <c r="AY468" i="3"/>
  <c r="AY565" i="3"/>
  <c r="AY156" i="3"/>
  <c r="AY469" i="3"/>
  <c r="AY38" i="3"/>
  <c r="AY354" i="3"/>
  <c r="AY32" i="3"/>
  <c r="AY431" i="3"/>
  <c r="AY233" i="3"/>
  <c r="AY136" i="3"/>
  <c r="AY153" i="3"/>
  <c r="AY538" i="3"/>
  <c r="AY359" i="3"/>
  <c r="AY240" i="3"/>
  <c r="AY307" i="3"/>
  <c r="AY248" i="3"/>
  <c r="AY479" i="3"/>
  <c r="AY208" i="3"/>
  <c r="AY120" i="3"/>
  <c r="AY321" i="3"/>
  <c r="AY323" i="3"/>
  <c r="AY466" i="3"/>
  <c r="AY509" i="3"/>
  <c r="AY266" i="3"/>
  <c r="AY324" i="3"/>
  <c r="AY478" i="3"/>
  <c r="AY325" i="3"/>
  <c r="AY355" i="3"/>
  <c r="AY353" i="3"/>
  <c r="AY115" i="3"/>
  <c r="AY182" i="3"/>
  <c r="AY487" i="3"/>
  <c r="AY399" i="3"/>
  <c r="AY547" i="3"/>
  <c r="AY211" i="3"/>
  <c r="AY283" i="3"/>
  <c r="AY86" i="3"/>
  <c r="AY360" i="3"/>
  <c r="AY410" i="3"/>
  <c r="AY113" i="3"/>
  <c r="AY295" i="3"/>
  <c r="AY129" i="3"/>
  <c r="AY288" i="3"/>
  <c r="AY44" i="3"/>
  <c r="AY369" i="3"/>
  <c r="AY315" i="3"/>
  <c r="AY500" i="3"/>
  <c r="AY361" i="3"/>
  <c r="AY576" i="3"/>
  <c r="AY418" i="3"/>
  <c r="AY256" i="3"/>
  <c r="AY127" i="3"/>
  <c r="AY328" i="3"/>
  <c r="AY161" i="3"/>
  <c r="AY82" i="3"/>
  <c r="AY36" i="3"/>
  <c r="AY166" i="3"/>
  <c r="AY26" i="3"/>
  <c r="AY144" i="3"/>
  <c r="AY303" i="3"/>
  <c r="AY470" i="3"/>
  <c r="AY465" i="3"/>
  <c r="AY28" i="3"/>
  <c r="AY231" i="3"/>
  <c r="AY24" i="3"/>
  <c r="AY488" i="3"/>
  <c r="AY207" i="3"/>
  <c r="AY236" i="3"/>
  <c r="AY318" i="3"/>
  <c r="AY342" i="3"/>
  <c r="AY77" i="3"/>
  <c r="AY263" i="3"/>
  <c r="AY41" i="3"/>
  <c r="AY317" i="3"/>
  <c r="AY546" i="3"/>
  <c r="AY269" i="3"/>
  <c r="AY178" i="3"/>
  <c r="AY393" i="3"/>
  <c r="AY496" i="3"/>
  <c r="AY229" i="3"/>
  <c r="AY291" i="3"/>
  <c r="AY370" i="3"/>
  <c r="AY131" i="3"/>
  <c r="AY217" i="3"/>
  <c r="AY165" i="3"/>
  <c r="AY259" i="3"/>
  <c r="AY90" i="3"/>
  <c r="AY53" i="3"/>
  <c r="AY243" i="3"/>
  <c r="AY292" i="3"/>
  <c r="AY20" i="3"/>
  <c r="AY215" i="3"/>
  <c r="AY48" i="3"/>
  <c r="AY344" i="3"/>
  <c r="AY524" i="3"/>
  <c r="AY249" i="3"/>
  <c r="BL6" i="3"/>
  <c r="AY391" i="3"/>
  <c r="AY371" i="3"/>
  <c r="AY327" i="3"/>
  <c r="AY125" i="3"/>
  <c r="AY316" i="3"/>
  <c r="AY75" i="3"/>
  <c r="AY25" i="3"/>
  <c r="AY464" i="3"/>
  <c r="AY350" i="3"/>
  <c r="AY193" i="3"/>
  <c r="AY438" i="3"/>
  <c r="AY194" i="3"/>
  <c r="AY312" i="3"/>
  <c r="AY570" i="3"/>
  <c r="AY232" i="3"/>
  <c r="AY91" i="3"/>
  <c r="AY490" i="3"/>
  <c r="AY352" i="3"/>
  <c r="AY203" i="3"/>
  <c r="AY375" i="3"/>
  <c r="AY320" i="3"/>
  <c r="AY301" i="3"/>
  <c r="AY477" i="3"/>
  <c r="AY451" i="3"/>
  <c r="AY250" i="3"/>
  <c r="AY528" i="3"/>
  <c r="AY450" i="3"/>
  <c r="AY273" i="3"/>
  <c r="AY167" i="3"/>
  <c r="AY313" i="3"/>
  <c r="AY29" i="3"/>
  <c r="AY112" i="3"/>
  <c r="AY85" i="3"/>
  <c r="AY56" i="3"/>
  <c r="AY310" i="3"/>
  <c r="AY176" i="3"/>
  <c r="AY568" i="3"/>
  <c r="AY515" i="3"/>
  <c r="AY64" i="3"/>
  <c r="AY421" i="3"/>
  <c r="AY17" i="3"/>
  <c r="AY504" i="3"/>
  <c r="AY70" i="3"/>
  <c r="AY187" i="3"/>
  <c r="AY484" i="3"/>
  <c r="AY514" i="3"/>
  <c r="AY134" i="3"/>
  <c r="AY577" i="3"/>
  <c r="AY157" i="3"/>
  <c r="AY571" i="3"/>
  <c r="AY247" i="3"/>
  <c r="AY473" i="3"/>
  <c r="AY549" i="3"/>
  <c r="AY400" i="3"/>
  <c r="BD6" i="3"/>
  <c r="AY552" i="3"/>
  <c r="AY420" i="3"/>
  <c r="AY363" i="3"/>
  <c r="AY104" i="3"/>
  <c r="AY123" i="3"/>
  <c r="AY377" i="3"/>
  <c r="AY57" i="3"/>
  <c r="AY121" i="3"/>
  <c r="BF6" i="3"/>
  <c r="AY181" i="3"/>
  <c r="AY241" i="3"/>
  <c r="AY98" i="3"/>
  <c r="AY275" i="3"/>
  <c r="AY285" i="3"/>
  <c r="AY298" i="3"/>
  <c r="AY62" i="3"/>
  <c r="AY71" i="3"/>
  <c r="AY550" i="3"/>
  <c r="AY489" i="3"/>
  <c r="AY297" i="3"/>
  <c r="AY267" i="3"/>
  <c r="AY119" i="3"/>
  <c r="AY147" i="3"/>
  <c r="AY109" i="3"/>
  <c r="AY534" i="3"/>
  <c r="BC6" i="3"/>
  <c r="AY18" i="3"/>
  <c r="AY159" i="3"/>
  <c r="AY493" i="3"/>
  <c r="AY526" i="3"/>
  <c r="AY331" i="3"/>
  <c r="AY337" i="3"/>
  <c r="AY475" i="3"/>
  <c r="AY459" i="3"/>
  <c r="AY562" i="3"/>
  <c r="AY172" i="3"/>
  <c r="AY174" i="3"/>
  <c r="AY482" i="3"/>
  <c r="AY235" i="3"/>
  <c r="AY179" i="3"/>
  <c r="AY78" i="3"/>
  <c r="AY169" i="3"/>
  <c r="AY227" i="3"/>
  <c r="AY518" i="3"/>
  <c r="AY486" i="3"/>
  <c r="AY397" i="3"/>
  <c r="AY261" i="3"/>
  <c r="AY152" i="3"/>
  <c r="AY196" i="3"/>
  <c r="AY409" i="3"/>
  <c r="BK6" i="3"/>
  <c r="AY201" i="3"/>
  <c r="AY214" i="3"/>
  <c r="AY290" i="3"/>
  <c r="AY446" i="3"/>
  <c r="AY124" i="3"/>
  <c r="AY67" i="3"/>
  <c r="AY428" i="3"/>
  <c r="AY452" i="3"/>
  <c r="AY206" i="3"/>
  <c r="AY246" i="3"/>
  <c r="AY197" i="3"/>
  <c r="AY457" i="3"/>
  <c r="AY16" i="3"/>
  <c r="AY311" i="3"/>
  <c r="AY254" i="3"/>
  <c r="AY308" i="3"/>
  <c r="AY81" i="3"/>
  <c r="AY557" i="3"/>
  <c r="AY238" i="3"/>
  <c r="AY483" i="3"/>
  <c r="AY103" i="3"/>
  <c r="AY463" i="3"/>
  <c r="AY278" i="3"/>
  <c r="AY472" i="3"/>
  <c r="AY334" i="3"/>
  <c r="AY146" i="3"/>
  <c r="AY435" i="3"/>
  <c r="AY455" i="3"/>
  <c r="AY141" i="3"/>
  <c r="AY503" i="3"/>
  <c r="AY158" i="3"/>
  <c r="AY471" i="3"/>
  <c r="AY578" i="3"/>
  <c r="AY378" i="3"/>
  <c r="AY55" i="3"/>
  <c r="AY448" i="3"/>
  <c r="AY160" i="3"/>
  <c r="AY401" i="3"/>
  <c r="AY374" i="3"/>
  <c r="AY430" i="3"/>
  <c r="AY425" i="3"/>
  <c r="AY222" i="3"/>
  <c r="AY525" i="3"/>
  <c r="AY43" i="3"/>
  <c r="AY384" i="3"/>
  <c r="AY572" i="3"/>
  <c r="AY137" i="3"/>
  <c r="AY426" i="3"/>
  <c r="AY99" i="3"/>
  <c r="AY362" i="3"/>
  <c r="AY148" i="3"/>
  <c r="AY429" i="3"/>
  <c r="AY492" i="3"/>
  <c r="AY330" i="3"/>
  <c r="AY432" i="3"/>
  <c r="AY434" i="3"/>
  <c r="AY408" i="3"/>
  <c r="AY566" i="3"/>
  <c r="BT6" i="3"/>
  <c r="AY19" i="3"/>
  <c r="AY21" i="3"/>
  <c r="AY347" i="3"/>
  <c r="AY122" i="3"/>
  <c r="AY27" i="3"/>
  <c r="AY94" i="3"/>
  <c r="AY189" i="3"/>
  <c r="AY255" i="3"/>
  <c r="BN6" i="3"/>
  <c r="AY387" i="3"/>
  <c r="AY230" i="3"/>
  <c r="AY441" i="3"/>
  <c r="AY521" i="3"/>
  <c r="AY485" i="3"/>
  <c r="AY402" i="3"/>
  <c r="AY474" i="3"/>
  <c r="AY383" i="3"/>
  <c r="AY461" i="3"/>
  <c r="AY416" i="3"/>
  <c r="AY517" i="3"/>
  <c r="BA6" i="3"/>
  <c r="AY345" i="3"/>
  <c r="AY580" i="3"/>
  <c r="AY100" i="3"/>
  <c r="AY403" i="3"/>
  <c r="BO6" i="3"/>
  <c r="AY462" i="3"/>
  <c r="AY190" i="3"/>
  <c r="AY50" i="3"/>
  <c r="AY505" i="3"/>
  <c r="AY34" i="3"/>
  <c r="AY349" i="3"/>
  <c r="AY149" i="3"/>
  <c r="AY68" i="3"/>
  <c r="AY155" i="3"/>
  <c r="AY574" i="3"/>
  <c r="AY494" i="3"/>
  <c r="AY506" i="3"/>
  <c r="AY59" i="3"/>
  <c r="AY145" i="3"/>
  <c r="AY191" i="3"/>
  <c r="AY329" i="3"/>
  <c r="AY224" i="3"/>
  <c r="AY396" i="3"/>
  <c r="AY97" i="3"/>
  <c r="AY423" i="3"/>
  <c r="AY372" i="3"/>
  <c r="AY173" i="3"/>
  <c r="AY583" i="3"/>
  <c r="AY373" i="3"/>
  <c r="AY205" i="3"/>
  <c r="AY200" i="3"/>
  <c r="AY116" i="3"/>
  <c r="AY213" i="3"/>
  <c r="AY151" i="3"/>
  <c r="AY540" i="3"/>
  <c r="AY304" i="3"/>
  <c r="AY531" i="3"/>
  <c r="AY257" i="3"/>
  <c r="BP6" i="3"/>
  <c r="AY15" i="3"/>
  <c r="AY47" i="3"/>
  <c r="AY498" i="3"/>
  <c r="AY587" i="3"/>
  <c r="AY499" i="3"/>
  <c r="AY96" i="3"/>
  <c r="AY198" i="3"/>
  <c r="AY186" i="3"/>
  <c r="AY501" i="3"/>
  <c r="AY133" i="3"/>
  <c r="AY87" i="3"/>
  <c r="AY111" i="3"/>
  <c r="AY74" i="3"/>
  <c r="AY228" i="3"/>
  <c r="AY541" i="3"/>
  <c r="AY138" i="3"/>
  <c r="AY554" i="3"/>
  <c r="AY210" i="3"/>
  <c r="AY427" i="3"/>
  <c r="AY281" i="3"/>
  <c r="AY139" i="3"/>
  <c r="AY106" i="3"/>
  <c r="AY569" i="3"/>
  <c r="AY170" i="3"/>
  <c r="AY392" i="3"/>
  <c r="AY274" i="3"/>
  <c r="AY414" i="3"/>
  <c r="AY171" i="3"/>
  <c r="AY555" i="3"/>
  <c r="AY365" i="3"/>
  <c r="AY422" i="3"/>
  <c r="AY220" i="3"/>
  <c r="AY105" i="3"/>
  <c r="AY368" i="3"/>
  <c r="AY83" i="3"/>
  <c r="AY183" i="3"/>
  <c r="AY544" i="3"/>
  <c r="BH6" i="3"/>
  <c r="AY411" i="3"/>
  <c r="AY199" i="3"/>
  <c r="AY389" i="3"/>
  <c r="AY527" i="3"/>
  <c r="AY212" i="3"/>
  <c r="AY507" i="3"/>
  <c r="AY520" i="3"/>
  <c r="AY287" i="3"/>
  <c r="AY439" i="3"/>
  <c r="AY63" i="3"/>
  <c r="AY346" i="3"/>
  <c r="AY128" i="3"/>
  <c r="AY23" i="3"/>
  <c r="AY284" i="3"/>
  <c r="AY76" i="3"/>
  <c r="AY73" i="3"/>
  <c r="AY585" i="3"/>
  <c r="AY404" i="3"/>
  <c r="BI6" i="3"/>
  <c r="AY508" i="3"/>
  <c r="AY573" i="3"/>
  <c r="AY88" i="3"/>
  <c r="AY543" i="3"/>
  <c r="AY380" i="3"/>
  <c r="AY407" i="3"/>
  <c r="AY46" i="3"/>
  <c r="AY437" i="3"/>
  <c r="AY277" i="3"/>
  <c r="AY511" i="3"/>
  <c r="AY575" i="3"/>
  <c r="AY13" i="3"/>
  <c r="AY567" i="3"/>
  <c r="AY545" i="3"/>
  <c r="AY107" i="3"/>
  <c r="AY293" i="3"/>
  <c r="AY551" i="3"/>
  <c r="AY413" i="3"/>
  <c r="AY110" i="3"/>
  <c r="AY586" i="3"/>
  <c r="AY512" i="3"/>
  <c r="AY579" i="3"/>
  <c r="AY519" i="3"/>
  <c r="AY84" i="3"/>
  <c r="AY93" i="3"/>
  <c r="AY510" i="3"/>
  <c r="AY154" i="3"/>
  <c r="AY289" i="3"/>
  <c r="AY351" i="3"/>
  <c r="AY265" i="3"/>
  <c r="AY305" i="3"/>
  <c r="AY272" i="3"/>
  <c r="AY140" i="3"/>
  <c r="AY385" i="3"/>
  <c r="AY367" i="3"/>
  <c r="AY314" i="3"/>
  <c r="AY502" i="3"/>
  <c r="AY282" i="3"/>
  <c r="AY341" i="3"/>
  <c r="AY379" i="3"/>
  <c r="AY226" i="3"/>
  <c r="AY244" i="3"/>
  <c r="AY242" i="3"/>
  <c r="AY533" i="3"/>
  <c r="AY276" i="3"/>
  <c r="AY584" i="3"/>
  <c r="AY522" i="3"/>
  <c r="AY80" i="3"/>
  <c r="AY530" i="3"/>
  <c r="AY258" i="3"/>
  <c r="AY218" i="3"/>
  <c r="AY419" i="3"/>
  <c r="AY322" i="3"/>
  <c r="AY54" i="3"/>
  <c r="AY175" i="3"/>
  <c r="AY376" i="3"/>
  <c r="AY442" i="3"/>
  <c r="AY497" i="3"/>
  <c r="BQ6" i="3"/>
  <c r="AY253" i="3"/>
  <c r="AY108" i="3"/>
  <c r="AY294" i="3"/>
  <c r="AY51" i="3"/>
  <c r="AY395" i="3"/>
  <c r="AY553" i="3"/>
  <c r="BJ6" i="3"/>
  <c r="AY444" i="3"/>
  <c r="AY559" i="3"/>
  <c r="AY52" i="3"/>
  <c r="AY319" i="3"/>
  <c r="AY202" i="3"/>
  <c r="AY40" i="3"/>
  <c r="AY539" i="3"/>
  <c r="AY364" i="3"/>
  <c r="AY192" i="3"/>
  <c r="AY300" i="3"/>
  <c r="AY185" i="3"/>
  <c r="AY150" i="3"/>
  <c r="AY69" i="3"/>
  <c r="AY65" i="3"/>
  <c r="AY560" i="3"/>
  <c r="AY563" i="3"/>
  <c r="AY164" i="3"/>
  <c r="AY415" i="3"/>
  <c r="AY564" i="3"/>
  <c r="AY221" i="3"/>
  <c r="AY453" i="3"/>
  <c r="AY302" i="3"/>
  <c r="AY398" i="3"/>
  <c r="AY79" i="3"/>
  <c r="AY22" i="3"/>
  <c r="AY142" i="3"/>
  <c r="AY264" i="3"/>
  <c r="BB6" i="3"/>
  <c r="BS6" i="3"/>
  <c r="AY163" i="3"/>
  <c r="AY66" i="3"/>
  <c r="AY335" i="3"/>
  <c r="AY537" i="3"/>
  <c r="AY239" i="3"/>
  <c r="AY358" i="3"/>
  <c r="AY168" i="3"/>
  <c r="AY581" i="3"/>
  <c r="AY412" i="3"/>
  <c r="AY33" i="3"/>
  <c r="AY556" i="3"/>
  <c r="AY558" i="3"/>
  <c r="AY89" i="3"/>
  <c r="AY14" i="3"/>
  <c r="AY39" i="3"/>
  <c r="AY195" i="3"/>
  <c r="AY536" i="3"/>
  <c r="AY143" i="3"/>
  <c r="AY548" i="3"/>
  <c r="AY37" i="3"/>
  <c r="M27" i="6"/>
  <c r="I19" i="6"/>
  <c r="C49" i="21"/>
  <c r="C48" i="21"/>
  <c r="O46" i="36"/>
  <c r="H7" i="36" s="1"/>
  <c r="F7" i="36"/>
  <c r="J7" i="36"/>
  <c r="B2" i="43"/>
  <c r="E42" i="35"/>
  <c r="F42" i="35" s="1"/>
  <c r="E43" i="35"/>
  <c r="F43" i="35" s="1"/>
  <c r="E46" i="37"/>
  <c r="F46" i="37" s="1"/>
  <c r="E47" i="37"/>
  <c r="F47" i="37" s="1"/>
  <c r="T6" i="1"/>
  <c r="T16" i="1" s="1"/>
  <c r="E6" i="70"/>
  <c r="E2" i="70" s="1"/>
  <c r="AQ6" i="1"/>
  <c r="S16" i="1"/>
  <c r="AR6" i="1"/>
  <c r="E52" i="21"/>
  <c r="F52" i="21" s="1"/>
  <c r="E53" i="21"/>
  <c r="F53" i="21" s="1"/>
  <c r="I53" i="21"/>
  <c r="J53" i="21" s="1"/>
  <c r="N69" i="39"/>
  <c r="O67" i="39"/>
  <c r="O69" i="39" s="1"/>
  <c r="C11" i="71"/>
  <c r="T12" i="71"/>
  <c r="D12" i="71"/>
  <c r="U12" i="71" s="1"/>
  <c r="C42" i="37"/>
  <c r="C43" i="37"/>
  <c r="H7" i="86"/>
  <c r="F7" i="86"/>
  <c r="H22" i="83"/>
  <c r="I21" i="83"/>
  <c r="I46" i="37"/>
  <c r="J46" i="37" s="1"/>
  <c r="I47" i="37"/>
  <c r="J47" i="37" s="1"/>
  <c r="H7" i="39"/>
  <c r="F7" i="39"/>
  <c r="J7" i="39"/>
  <c r="J14" i="15"/>
  <c r="J22" i="15" s="1"/>
  <c r="J59" i="15"/>
  <c r="J60" i="15" s="1"/>
  <c r="Q48" i="15" s="1"/>
  <c r="C13" i="15"/>
  <c r="C75" i="15" s="1"/>
  <c r="Q49" i="15"/>
  <c r="C57" i="15"/>
  <c r="C64" i="15" s="1"/>
  <c r="E6" i="76"/>
  <c r="B6" i="76"/>
  <c r="E2" i="76" l="1"/>
  <c r="C19" i="67"/>
  <c r="C20" i="67" s="1"/>
  <c r="C23" i="67" s="1"/>
  <c r="J13" i="15"/>
  <c r="J23" i="15" s="1"/>
  <c r="J16" i="15" s="1"/>
  <c r="J25" i="15" s="1"/>
  <c r="C19" i="88"/>
  <c r="C20" i="88" s="1"/>
  <c r="C26" i="88" s="1"/>
  <c r="B2" i="76"/>
  <c r="S7" i="86"/>
  <c r="AA7" i="86"/>
  <c r="R48" i="86" s="1"/>
  <c r="D11" i="71"/>
  <c r="C10" i="71"/>
  <c r="AC7" i="36"/>
  <c r="V36" i="36" s="1"/>
  <c r="I36" i="36" s="1"/>
  <c r="W7" i="36"/>
  <c r="B3" i="21"/>
  <c r="B2" i="21"/>
  <c r="B3" i="87"/>
  <c r="D25" i="6"/>
  <c r="R25" i="6" s="1"/>
  <c r="D24" i="6"/>
  <c r="D14" i="6"/>
  <c r="H25" i="6"/>
  <c r="D23" i="6"/>
  <c r="D13" i="6"/>
  <c r="H26" i="6"/>
  <c r="H20" i="6"/>
  <c r="D21" i="6"/>
  <c r="C18" i="4"/>
  <c r="D6" i="6"/>
  <c r="D15" i="6"/>
  <c r="D20" i="6"/>
  <c r="R20" i="6" s="1"/>
  <c r="D9" i="6"/>
  <c r="H22" i="6"/>
  <c r="D5" i="6"/>
  <c r="D28" i="6"/>
  <c r="D30" i="6" s="1"/>
  <c r="H24" i="6"/>
  <c r="H23" i="6"/>
  <c r="H19" i="6"/>
  <c r="D8" i="6"/>
  <c r="D19" i="6"/>
  <c r="D11" i="6"/>
  <c r="D22" i="6"/>
  <c r="R22" i="6" s="1"/>
  <c r="D26" i="6"/>
  <c r="D10" i="6"/>
  <c r="H21" i="6"/>
  <c r="D12" i="6"/>
  <c r="D29" i="6"/>
  <c r="E61" i="40"/>
  <c r="I15" i="83"/>
  <c r="J14" i="83"/>
  <c r="D10" i="69"/>
  <c r="D20" i="12"/>
  <c r="C20" i="12" s="1"/>
  <c r="C18" i="12" s="1"/>
  <c r="D10" i="11"/>
  <c r="C10" i="11" s="1"/>
  <c r="W7" i="39"/>
  <c r="AC7" i="39"/>
  <c r="V47" i="39" s="1"/>
  <c r="I47" i="39" s="1"/>
  <c r="U7" i="86"/>
  <c r="AB7" i="86"/>
  <c r="T48" i="86" s="1"/>
  <c r="G48" i="86" s="1"/>
  <c r="AA7" i="36"/>
  <c r="R36" i="36" s="1"/>
  <c r="S7" i="36"/>
  <c r="S19" i="6"/>
  <c r="S27" i="6" s="1"/>
  <c r="I27" i="6"/>
  <c r="L18" i="9"/>
  <c r="C39" i="11"/>
  <c r="C43" i="11" s="1"/>
  <c r="C46" i="11"/>
  <c r="C45" i="11" s="1"/>
  <c r="C42" i="11"/>
  <c r="S7" i="39"/>
  <c r="AA7" i="39"/>
  <c r="R47" i="39" s="1"/>
  <c r="J21" i="83"/>
  <c r="I22" i="83"/>
  <c r="AB7" i="36"/>
  <c r="T36" i="36" s="1"/>
  <c r="G36" i="36" s="1"/>
  <c r="U7" i="36"/>
  <c r="M63" i="40"/>
  <c r="L65" i="40"/>
  <c r="D17" i="12"/>
  <c r="C17" i="12" s="1"/>
  <c r="C14" i="12"/>
  <c r="C16" i="12" s="1"/>
  <c r="U7" i="39"/>
  <c r="AB7" i="39"/>
  <c r="T47" i="39" s="1"/>
  <c r="G47" i="39" s="1"/>
  <c r="B3" i="43"/>
  <c r="C20" i="11"/>
  <c r="C25" i="11" s="1"/>
  <c r="C28" i="11"/>
  <c r="C27" i="11" s="1"/>
  <c r="C24" i="11"/>
  <c r="C37" i="15"/>
  <c r="C30" i="15" s="1"/>
  <c r="C39" i="15" s="1"/>
  <c r="C40" i="15" s="1"/>
  <c r="L46" i="15"/>
  <c r="Q70" i="15"/>
  <c r="C56" i="15"/>
  <c r="C65" i="15" s="1"/>
  <c r="C58" i="15" s="1"/>
  <c r="C67" i="15" s="1"/>
  <c r="C68" i="15" s="1"/>
  <c r="C71" i="15" s="1"/>
  <c r="C20" i="9"/>
  <c r="D10" i="68"/>
  <c r="C19" i="9"/>
  <c r="B3" i="76" l="1"/>
  <c r="C23" i="88"/>
  <c r="C29" i="88" s="1"/>
  <c r="C13" i="88" s="1"/>
  <c r="C22" i="11"/>
  <c r="C31" i="11" s="1"/>
  <c r="C41" i="11"/>
  <c r="C49" i="11" s="1"/>
  <c r="C51" i="11" s="1"/>
  <c r="C26" i="67"/>
  <c r="C29" i="67" s="1"/>
  <c r="Q69" i="15"/>
  <c r="Q68" i="15" s="1"/>
  <c r="C80" i="15"/>
  <c r="C79" i="15" s="1"/>
  <c r="C102" i="9"/>
  <c r="C103" i="9"/>
  <c r="G53" i="86"/>
  <c r="H53" i="86" s="1"/>
  <c r="G52" i="86"/>
  <c r="H52" i="86" s="1"/>
  <c r="H27" i="6"/>
  <c r="I40" i="36"/>
  <c r="J40" i="36" s="1"/>
  <c r="G51" i="39"/>
  <c r="H51" i="39" s="1"/>
  <c r="G52" i="39"/>
  <c r="H52" i="39" s="1"/>
  <c r="N63" i="40"/>
  <c r="M65" i="40"/>
  <c r="K21" i="83"/>
  <c r="J22" i="83"/>
  <c r="C10" i="68"/>
  <c r="C8" i="68" s="1"/>
  <c r="C5" i="68" s="1"/>
  <c r="C23" i="68" s="1"/>
  <c r="D19" i="68"/>
  <c r="D10" i="71"/>
  <c r="C9" i="71"/>
  <c r="G40" i="36"/>
  <c r="H40" i="36" s="1"/>
  <c r="G41" i="36"/>
  <c r="H41" i="36" s="1"/>
  <c r="C21" i="12"/>
  <c r="E47" i="39"/>
  <c r="R48" i="39"/>
  <c r="I51" i="39"/>
  <c r="J51" i="39" s="1"/>
  <c r="I52" i="39"/>
  <c r="J52" i="39" s="1"/>
  <c r="D19" i="69"/>
  <c r="C10" i="69"/>
  <c r="C8" i="69" s="1"/>
  <c r="C5" i="69" s="1"/>
  <c r="R26" i="6"/>
  <c r="M19" i="9"/>
  <c r="C118" i="9" s="1"/>
  <c r="R19" i="6"/>
  <c r="D27" i="6"/>
  <c r="D31" i="6" s="1"/>
  <c r="L19" i="9"/>
  <c r="C21" i="9" s="1"/>
  <c r="C4" i="52"/>
  <c r="B45" i="72" s="1"/>
  <c r="A10" i="51"/>
  <c r="B9" i="72" s="1"/>
  <c r="A7" i="51"/>
  <c r="B7" i="72" s="1"/>
  <c r="R24" i="6"/>
  <c r="E36" i="36"/>
  <c r="R37" i="36"/>
  <c r="J15" i="83"/>
  <c r="B24" i="83" s="1"/>
  <c r="K14" i="83"/>
  <c r="D16" i="6"/>
  <c r="R21" i="6"/>
  <c r="R23" i="6"/>
  <c r="R49" i="86"/>
  <c r="E48" i="86"/>
  <c r="C46" i="15"/>
  <c r="B2" i="15"/>
  <c r="B3" i="15" s="1"/>
  <c r="Q65" i="15"/>
  <c r="Q47" i="15"/>
  <c r="Q53" i="15" s="1"/>
  <c r="Q56" i="15"/>
  <c r="C43" i="15"/>
  <c r="C83" i="15"/>
  <c r="C82" i="15" s="1"/>
  <c r="L51" i="15"/>
  <c r="J14" i="88" l="1"/>
  <c r="C36" i="88"/>
  <c r="Q49" i="88"/>
  <c r="C57" i="88"/>
  <c r="C64" i="88" s="1"/>
  <c r="Q67" i="15"/>
  <c r="L57" i="15"/>
  <c r="L60" i="15" s="1"/>
  <c r="Q66" i="15" s="1"/>
  <c r="Q75" i="15" s="1"/>
  <c r="C52" i="11"/>
  <c r="B2" i="11" s="1"/>
  <c r="B3" i="11" s="1"/>
  <c r="C48" i="86"/>
  <c r="C49" i="86"/>
  <c r="I6" i="6"/>
  <c r="I5" i="6"/>
  <c r="C37" i="36"/>
  <c r="C36" i="36"/>
  <c r="R6" i="1"/>
  <c r="R27" i="6"/>
  <c r="C19" i="69"/>
  <c r="C24" i="69" s="1"/>
  <c r="D37" i="69"/>
  <c r="C37" i="69" s="1"/>
  <c r="C33" i="69" s="1"/>
  <c r="C47" i="39"/>
  <c r="C48" i="39"/>
  <c r="C37" i="88"/>
  <c r="C56" i="88"/>
  <c r="C65" i="88" s="1"/>
  <c r="C75" i="88"/>
  <c r="Q70" i="88"/>
  <c r="C19" i="68"/>
  <c r="D37" i="68"/>
  <c r="C37" i="68" s="1"/>
  <c r="C33" i="68" s="1"/>
  <c r="C23" i="69"/>
  <c r="K22" i="83"/>
  <c r="L21" i="83"/>
  <c r="E53" i="86"/>
  <c r="F53" i="86" s="1"/>
  <c r="E52" i="86"/>
  <c r="F52" i="86" s="1"/>
  <c r="I53" i="86"/>
  <c r="J53" i="86" s="1"/>
  <c r="E40" i="36"/>
  <c r="F40" i="36" s="1"/>
  <c r="E41" i="36"/>
  <c r="F41" i="36" s="1"/>
  <c r="J14" i="67"/>
  <c r="C57" i="67"/>
  <c r="C64" i="67" s="1"/>
  <c r="C36" i="67"/>
  <c r="C13" i="67"/>
  <c r="Q49" i="67"/>
  <c r="E51" i="39"/>
  <c r="F51" i="39" s="1"/>
  <c r="E52" i="39"/>
  <c r="F52" i="39" s="1"/>
  <c r="J13" i="88"/>
  <c r="J23" i="88" s="1"/>
  <c r="J22" i="88"/>
  <c r="N65" i="40"/>
  <c r="J7" i="40" s="1"/>
  <c r="O63" i="40"/>
  <c r="O65" i="40" s="1"/>
  <c r="I41" i="36"/>
  <c r="J41" i="36" s="1"/>
  <c r="K15" i="83"/>
  <c r="L14" i="83"/>
  <c r="C22" i="12"/>
  <c r="C30" i="12" s="1"/>
  <c r="C28" i="12" s="1"/>
  <c r="C8" i="71"/>
  <c r="D9" i="71"/>
  <c r="F35" i="67"/>
  <c r="M21" i="88"/>
  <c r="F35" i="88"/>
  <c r="M21" i="67"/>
  <c r="C30" i="88" l="1"/>
  <c r="C39" i="88" s="1"/>
  <c r="C80" i="88" s="1"/>
  <c r="C79" i="88" s="1"/>
  <c r="C58" i="88"/>
  <c r="C67" i="88" s="1"/>
  <c r="C68" i="88" s="1"/>
  <c r="C71" i="88" s="1"/>
  <c r="Q57" i="15"/>
  <c r="Q62" i="15" s="1"/>
  <c r="C20" i="69"/>
  <c r="C28" i="69" s="1"/>
  <c r="C27" i="69" s="1"/>
  <c r="C56" i="11"/>
  <c r="C57" i="11" s="1"/>
  <c r="J20" i="67"/>
  <c r="F63" i="88"/>
  <c r="J20" i="88"/>
  <c r="F63" i="67"/>
  <c r="C75" i="67"/>
  <c r="C56" i="67"/>
  <c r="C65" i="67" s="1"/>
  <c r="C58" i="67" s="1"/>
  <c r="C67" i="67" s="1"/>
  <c r="C68" i="67" s="1"/>
  <c r="C37" i="67"/>
  <c r="C30" i="67" s="1"/>
  <c r="C39" i="67" s="1"/>
  <c r="Q70" i="67"/>
  <c r="C27" i="12"/>
  <c r="C25" i="12" s="1"/>
  <c r="C32" i="12" s="1"/>
  <c r="B2" i="12" s="1"/>
  <c r="B3" i="12" s="1"/>
  <c r="J22" i="67"/>
  <c r="J13" i="67"/>
  <c r="J23" i="67" s="1"/>
  <c r="B63" i="39"/>
  <c r="F63" i="39" s="1"/>
  <c r="B60" i="39"/>
  <c r="F60" i="39" s="1"/>
  <c r="B57" i="39"/>
  <c r="F57" i="39" s="1"/>
  <c r="B62" i="39"/>
  <c r="F62" i="39" s="1"/>
  <c r="B64" i="39"/>
  <c r="F64" i="39" s="1"/>
  <c r="B61" i="39"/>
  <c r="F61" i="39" s="1"/>
  <c r="B58" i="39"/>
  <c r="F58" i="39" s="1"/>
  <c r="B59" i="39"/>
  <c r="F59" i="39" s="1"/>
  <c r="B56" i="39"/>
  <c r="F56" i="39" s="1"/>
  <c r="F65" i="39" s="1"/>
  <c r="B2" i="39" s="1"/>
  <c r="B3" i="39" s="1"/>
  <c r="F7" i="40"/>
  <c r="H7" i="40"/>
  <c r="R16" i="1"/>
  <c r="AC7" i="40"/>
  <c r="V42" i="40" s="1"/>
  <c r="I42" i="40" s="1"/>
  <c r="W7" i="40"/>
  <c r="M21" i="83"/>
  <c r="L22" i="83"/>
  <c r="C39" i="68"/>
  <c r="C42" i="68"/>
  <c r="C42" i="69"/>
  <c r="C39" i="69"/>
  <c r="C43" i="69" s="1"/>
  <c r="B3" i="86"/>
  <c r="B4" i="87"/>
  <c r="C7" i="71"/>
  <c r="D8" i="71"/>
  <c r="L15" i="83"/>
  <c r="M14" i="83"/>
  <c r="J16" i="88"/>
  <c r="J25" i="88" s="1"/>
  <c r="C20" i="68"/>
  <c r="C25" i="68" s="1"/>
  <c r="C24" i="68"/>
  <c r="L51" i="88"/>
  <c r="C40" i="88" l="1"/>
  <c r="Q69" i="88"/>
  <c r="Q68" i="88" s="1"/>
  <c r="C25" i="69"/>
  <c r="C22" i="69" s="1"/>
  <c r="C31" i="69" s="1"/>
  <c r="C28" i="68"/>
  <c r="C27" i="68" s="1"/>
  <c r="C22" i="68"/>
  <c r="L57" i="88"/>
  <c r="Q67" i="88"/>
  <c r="N14" i="83"/>
  <c r="M15" i="83"/>
  <c r="I46" i="40"/>
  <c r="J46" i="40" s="1"/>
  <c r="D7" i="71"/>
  <c r="C6" i="71"/>
  <c r="C46" i="69"/>
  <c r="C45" i="69" s="1"/>
  <c r="U7" i="40"/>
  <c r="AB7" i="40"/>
  <c r="T42" i="40" s="1"/>
  <c r="G42" i="40" s="1"/>
  <c r="C40" i="67"/>
  <c r="C45" i="67" s="1"/>
  <c r="C46" i="67" s="1"/>
  <c r="Q69" i="67"/>
  <c r="Q68" i="67" s="1"/>
  <c r="C45" i="88"/>
  <c r="C46" i="88" s="1"/>
  <c r="C83" i="88"/>
  <c r="C82" i="88" s="1"/>
  <c r="Q65" i="88"/>
  <c r="Q75" i="88" s="1"/>
  <c r="D2" i="88"/>
  <c r="C43" i="88"/>
  <c r="Q56" i="88"/>
  <c r="Q62" i="88" s="1"/>
  <c r="Q47" i="88"/>
  <c r="Q53" i="88" s="1"/>
  <c r="S7" i="40"/>
  <c r="AA7" i="40"/>
  <c r="R42" i="40" s="1"/>
  <c r="J16" i="67"/>
  <c r="J25" i="67" s="1"/>
  <c r="C71" i="67"/>
  <c r="C46" i="68"/>
  <c r="C45" i="68" s="1"/>
  <c r="C43" i="68"/>
  <c r="C41" i="68" s="1"/>
  <c r="C41" i="69"/>
  <c r="N21" i="83"/>
  <c r="M22" i="83"/>
  <c r="C80" i="67"/>
  <c r="C79" i="67" s="1"/>
  <c r="L51" i="67"/>
  <c r="C31" i="68" l="1"/>
  <c r="C49" i="69"/>
  <c r="C51" i="69" s="1"/>
  <c r="C52" i="69" s="1"/>
  <c r="B2" i="69" s="1"/>
  <c r="B3" i="69" s="1"/>
  <c r="C49" i="68"/>
  <c r="C51" i="68" s="1"/>
  <c r="L57" i="67"/>
  <c r="Q67" i="67"/>
  <c r="R43" i="40"/>
  <c r="E42" i="40"/>
  <c r="G47" i="40"/>
  <c r="H47" i="40" s="1"/>
  <c r="G46" i="40"/>
  <c r="H46" i="40" s="1"/>
  <c r="N15" i="83"/>
  <c r="O14" i="83"/>
  <c r="B2" i="88"/>
  <c r="B3" i="88"/>
  <c r="D4" i="87" s="1"/>
  <c r="F4" i="87" s="1"/>
  <c r="G4" i="87" s="1"/>
  <c r="O21" i="83"/>
  <c r="O22" i="83" s="1"/>
  <c r="N22" i="83"/>
  <c r="Q47" i="67"/>
  <c r="Q53" i="67" s="1"/>
  <c r="C43" i="67"/>
  <c r="D3" i="87" s="1"/>
  <c r="F3" i="87" s="1"/>
  <c r="G3" i="87" s="1"/>
  <c r="Q56" i="67"/>
  <c r="Q62" i="67" s="1"/>
  <c r="D2" i="67"/>
  <c r="Q65" i="67"/>
  <c r="Q75" i="67" s="1"/>
  <c r="C83" i="67"/>
  <c r="C82" i="67" s="1"/>
  <c r="C5" i="71"/>
  <c r="D6" i="71"/>
  <c r="C52" i="68" l="1"/>
  <c r="B2" i="68" s="1"/>
  <c r="B3" i="67"/>
  <c r="B2" i="67"/>
  <c r="D5" i="71"/>
  <c r="M24" i="43"/>
  <c r="P14" i="83"/>
  <c r="O15" i="83"/>
  <c r="E46" i="40"/>
  <c r="F46" i="40" s="1"/>
  <c r="E47" i="40"/>
  <c r="F47" i="40" s="1"/>
  <c r="I47" i="40"/>
  <c r="J47" i="40" s="1"/>
  <c r="C57" i="68"/>
  <c r="C56" i="68" s="1"/>
  <c r="C43" i="40"/>
  <c r="C42" i="40"/>
  <c r="C57" i="69"/>
  <c r="C56" i="69" s="1"/>
  <c r="D19" i="9"/>
  <c r="AO6" i="1"/>
  <c r="B3" i="68"/>
  <c r="B6" i="70" l="1"/>
  <c r="B2" i="70" s="1"/>
  <c r="B3" i="70" s="1"/>
  <c r="D22" i="9"/>
  <c r="G19" i="9"/>
  <c r="G21" i="9" s="1"/>
  <c r="D102" i="9"/>
  <c r="D21" i="9"/>
  <c r="B58" i="40"/>
  <c r="F58" i="40" s="1"/>
  <c r="B53" i="40"/>
  <c r="F53" i="40" s="1"/>
  <c r="B52" i="40"/>
  <c r="F52" i="40" s="1"/>
  <c r="B51" i="40"/>
  <c r="F51" i="40" s="1"/>
  <c r="B54" i="40"/>
  <c r="F54" i="40" s="1"/>
  <c r="B59" i="40"/>
  <c r="F59" i="40" s="1"/>
  <c r="B56" i="40"/>
  <c r="F56" i="40" s="1"/>
  <c r="B57" i="40"/>
  <c r="F57" i="40" s="1"/>
  <c r="F61" i="40"/>
  <c r="B2" i="40" s="1"/>
  <c r="B3" i="40" s="1"/>
  <c r="B60" i="40"/>
  <c r="F60" i="40" s="1"/>
  <c r="Q14" i="83"/>
  <c r="P15" i="83"/>
  <c r="D20" i="9"/>
  <c r="G20" i="9" l="1"/>
  <c r="H23" i="9" s="1"/>
  <c r="D103" i="9"/>
  <c r="G22" i="9"/>
  <c r="G23" i="9" s="1"/>
  <c r="J16" i="83"/>
  <c r="A16" i="83" s="1"/>
  <c r="C32" i="9"/>
  <c r="C35" i="9" s="1"/>
  <c r="C34" i="9" s="1"/>
  <c r="Q15" i="83"/>
  <c r="R14" i="83"/>
  <c r="S14" i="83" l="1"/>
  <c r="R15" i="83"/>
  <c r="G25" i="9"/>
  <c r="D14" i="74"/>
  <c r="B5" i="74" l="1"/>
  <c r="E14" i="74"/>
  <c r="F14" i="74"/>
  <c r="T14" i="83"/>
  <c r="S15" i="83"/>
  <c r="U14" i="83" l="1"/>
  <c r="T15" i="83"/>
  <c r="D5" i="74"/>
  <c r="U15" i="83" l="1"/>
  <c r="V14" i="83"/>
  <c r="W14" i="83" l="1"/>
  <c r="V15" i="83"/>
  <c r="X14" i="83" l="1"/>
  <c r="X15" i="83" s="1"/>
  <c r="W15" i="83"/>
  <c r="N60" i="9"/>
  <c r="N61" i="9"/>
  <c r="P57" i="9"/>
  <c r="N59" i="9"/>
  <c r="N58" i="9"/>
  <c r="C6" i="74"/>
  <c r="D53" i="9"/>
  <c r="D52" i="9"/>
  <c r="B47" i="72"/>
  <c r="H5" i="52"/>
  <c r="M48" i="9"/>
  <c r="M54" i="9"/>
  <c r="B48" i="72"/>
  <c r="D4" i="52"/>
  <c r="N57" i="9"/>
  <c r="C104" i="9"/>
  <c r="H4" i="52"/>
  <c r="H119" i="9"/>
  <c r="B53" i="72"/>
  <c r="B22" i="72"/>
  <c r="B21" i="72"/>
  <c r="F4" i="52"/>
  <c r="B51" i="72"/>
  <c r="C81" i="9"/>
  <c r="D8" i="52"/>
  <c r="C78" i="9"/>
  <c r="C73" i="9"/>
  <c r="G4" i="52"/>
  <c r="B52" i="72"/>
  <c r="D7" i="53"/>
  <c r="C5" i="74"/>
  <c r="I4" i="52"/>
  <c r="H102" i="9"/>
  <c r="C105" i="9"/>
  <c r="D119" i="9"/>
  <c r="D5" i="52"/>
  <c r="B49" i="72"/>
  <c r="D59" i="9"/>
  <c r="M55" i="9"/>
  <c r="B30" i="72"/>
  <c r="D122" i="9"/>
  <c r="D123" i="9"/>
  <c r="D9" i="52"/>
  <c r="B20" i="72"/>
  <c r="D5" i="53"/>
  <c r="D6" i="53"/>
  <c r="C93" i="9"/>
  <c r="C86" i="9"/>
  <c r="G118" i="9"/>
  <c r="F118" i="9"/>
  <c r="F119" i="9"/>
  <c r="F5" i="52"/>
  <c r="D118" i="9"/>
  <c r="E118" i="9"/>
  <c r="E4" i="52"/>
  <c r="H108" i="9"/>
  <c r="D15" i="53"/>
  <c r="B31" i="72"/>
  <c r="C64" i="9"/>
  <c r="C63" i="9"/>
  <c r="C67" i="9"/>
  <c r="C68" i="9"/>
  <c r="D54" i="9"/>
  <c r="C96" i="9"/>
  <c r="E96" i="9"/>
  <c r="E97" i="9"/>
  <c r="H107" i="9"/>
  <c r="D13" i="53"/>
  <c r="D14" i="53"/>
  <c r="B32" i="72"/>
  <c r="C85" i="9"/>
  <c r="C95" i="9"/>
  <c r="C97" i="9"/>
  <c r="D58" i="9"/>
  <c r="D56" i="9"/>
  <c r="C80" i="9"/>
  <c r="E80" i="9"/>
  <c r="E81" i="9"/>
  <c r="C72" i="9"/>
  <c r="C79"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<sst xmlns="http://schemas.openxmlformats.org/spreadsheetml/2006/main" count="11323" uniqueCount="4406">
  <si>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</si>
  <si>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</si>
  <si>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</si>
  <si>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</si>
  <si>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</si>
  <si>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</si>
  <si>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</si>
  <si>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</si>
  <si>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</si>
  <si>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</si>
  <si>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</si>
  <si>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</si>
  <si>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</si>
  <si>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</si>
  <si>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</si>
  <si>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</si>
  <si>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</si>
  <si>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</si>
  <si>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</si>
  <si>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</si>
  <si>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</si>
  <si>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</si>
  <si>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</si>
  <si>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</si>
  <si>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</si>
  <si>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</si>
  <si>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</si>
  <si>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</si>
  <si>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</si>
  <si>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</si>
  <si>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</si>
  <si>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</si>
  <si>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</si>
  <si>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</si>
  <si>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</si>
  <si>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</si>
  <si>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</si>
  <si>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</si>
  <si>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</si>
  <si>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</si>
  <si>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</si>
  <si>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</si>
  <si>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</si>
  <si>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</si>
  <si>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</si>
  <si>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</si>
  <si>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</si>
  <si>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</si>
  <si>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</si>
  <si>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</si>
  <si>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</si>
  <si>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</si>
  <si>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</si>
  <si>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</si>
  <si>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</si>
  <si>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</si>
  <si>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</si>
  <si>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</si>
  <si>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</si>
  <si>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</si>
  <si>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</si>
  <si>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</si>
  <si>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</si>
  <si>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</si>
  <si>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</si>
  <si>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</si>
  <si>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</si>
  <si>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</si>
  <si>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</si>
  <si>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</si>
  <si>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</si>
  <si>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</si>
  <si>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</si>
  <si>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</si>
  <si>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</si>
  <si>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</si>
  <si>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</si>
  <si>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</si>
  <si>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</si>
  <si>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</si>
  <si>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</si>
  <si>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</si>
  <si>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</si>
  <si>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</si>
  <si>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</si>
  <si>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</si>
  <si>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</si>
  <si>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</si>
  <si>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</si>
  <si>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</si>
  <si>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</si>
  <si>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</si>
  <si>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</si>
  <si>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</si>
  <si>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</si>
  <si>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</si>
  <si>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</si>
  <si>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</si>
  <si>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</si>
  <si>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</si>
  <si>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</si>
  <si>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</si>
  <si>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</si>
  <si>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</si>
  <si>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</si>
  <si>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</si>
  <si>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</si>
  <si>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</si>
  <si>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</si>
  <si>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</si>
  <si>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</si>
  <si>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</si>
  <si>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</si>
  <si>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</si>
  <si>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</si>
  <si>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</si>
  <si>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</si>
  <si>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</si>
  <si>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</si>
  <si>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</si>
  <si>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</si>
  <si>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</si>
  <si>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</si>
  <si>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</si>
  <si>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</si>
  <si>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</si>
  <si>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</si>
  <si>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</si>
  <si>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</si>
  <si>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</si>
  <si>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</si>
  <si>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</si>
  <si>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</si>
  <si>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</si>
  <si>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</si>
  <si>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</si>
  <si>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</si>
  <si>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</si>
  <si>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</si>
  <si>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</si>
  <si>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</si>
  <si>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</si>
  <si>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</si>
  <si>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</si>
  <si>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</si>
  <si>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</si>
  <si>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</si>
  <si>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</si>
  <si>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</si>
  <si>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</si>
  <si>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</si>
  <si>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</si>
  <si>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</si>
  <si>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</si>
  <si>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</si>
  <si>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</si>
  <si>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</si>
  <si>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</si>
  <si>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</si>
  <si>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</si>
  <si>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</si>
  <si>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</si>
  <si>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</si>
  <si>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</si>
  <si>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</si>
  <si>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</si>
  <si>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</si>
  <si>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</si>
  <si>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</si>
  <si>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</si>
  <si>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</si>
  <si>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</si>
  <si>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</si>
  <si>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</si>
  <si>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</si>
  <si>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</si>
  <si>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</si>
  <si>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</si>
  <si>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</si>
  <si>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</si>
  <si>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</si>
  <si>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</si>
  <si>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</si>
  <si>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</si>
  <si>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</si>
  <si>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</si>
  <si>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</si>
  <si>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</si>
  <si>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</si>
  <si>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</si>
  <si>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</si>
  <si>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</si>
  <si>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</si>
  <si>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</si>
  <si>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</si>
  <si>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</si>
  <si>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</si>
  <si>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</si>
  <si>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</si>
  <si>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</si>
  <si>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</si>
  <si>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</si>
  <si>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</si>
  <si>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</si>
  <si>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</si>
  <si>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</si>
  <si>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</si>
  <si>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</si>
  <si>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</si>
  <si>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</si>
  <si>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</si>
  <si>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</si>
  <si>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</si>
  <si>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</si>
  <si>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</si>
  <si>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</si>
  <si>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</si>
  <si>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</si>
  <si>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</si>
  <si>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</si>
  <si>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</si>
  <si>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</si>
  <si>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</si>
  <si>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</si>
  <si>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</si>
  <si>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</si>
  <si>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</si>
  <si>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</si>
  <si>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</si>
  <si>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</si>
  <si>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</si>
  <si>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</si>
  <si>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</si>
  <si>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</si>
  <si>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</si>
  <si>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</si>
  <si>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</si>
  <si>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</si>
  <si>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</si>
  <si>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</si>
  <si>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</si>
  <si>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</si>
  <si>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</si>
  <si>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</si>
  <si>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</si>
  <si>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</si>
  <si>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</si>
  <si>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</si>
  <si>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</si>
  <si>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</si>
  <si>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</si>
  <si>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</si>
  <si>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</si>
  <si>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</si>
  <si>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</si>
  <si>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</si>
  <si>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</si>
  <si>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</si>
  <si>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</si>
  <si>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</si>
  <si>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</si>
  <si>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</si>
  <si>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</si>
  <si>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</si>
  <si>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</si>
  <si>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</si>
  <si>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</si>
  <si>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</si>
  <si>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</si>
  <si>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</si>
  <si>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</si>
  <si>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</si>
  <si>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</si>
  <si>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</si>
  <si>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</si>
  <si>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</si>
  <si>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</si>
  <si>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</si>
  <si>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</si>
  <si>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</si>
  <si>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</si>
  <si>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</si>
  <si>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</si>
  <si>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</si>
  <si>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</si>
  <si>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</si>
  <si>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</si>
  <si>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</si>
  <si>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</si>
  <si>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</si>
  <si>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</si>
  <si>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</si>
  <si>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</si>
  <si>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</si>
  <si>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</si>
  <si>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</si>
  <si>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</si>
  <si>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</si>
  <si>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</si>
  <si>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</si>
  <si>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</si>
  <si>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</si>
  <si>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</si>
  <si>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</si>
  <si>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</si>
  <si>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</si>
  <si>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</si>
  <si>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</si>
  <si>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</si>
  <si>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</si>
  <si>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</si>
  <si>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</si>
  <si>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</si>
  <si>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</si>
  <si>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</si>
  <si>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</si>
  <si>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</si>
  <si>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</si>
  <si>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</si>
  <si>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</si>
  <si>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</si>
  <si>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</si>
  <si>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</si>
  <si>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</si>
  <si>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</si>
  <si>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</si>
  <si>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</si>
  <si>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</si>
  <si>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</si>
  <si>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</si>
  <si>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</si>
  <si>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</si>
  <si>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</si>
  <si>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</si>
  <si>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</si>
  <si>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</si>
  <si>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</si>
  <si>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</si>
  <si>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</si>
  <si>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</si>
  <si>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</si>
  <si>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</si>
  <si>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</si>
  <si>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</si>
  <si>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</si>
  <si>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</si>
  <si>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</si>
  <si>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</si>
  <si>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</si>
  <si>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</si>
  <si>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</si>
  <si>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</si>
  <si>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</si>
  <si>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</si>
  <si>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</si>
  <si>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</si>
  <si>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</si>
  <si>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</si>
  <si>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</si>
  <si>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</si>
  <si>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</si>
  <si>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</si>
  <si>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</si>
  <si>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</si>
  <si>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</si>
  <si>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</si>
  <si>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</si>
  <si>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</si>
  <si>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</si>
  <si>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</si>
  <si>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</si>
  <si>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</si>
  <si>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</si>
  <si>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</si>
  <si>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</si>
  <si>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</si>
  <si>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</si>
  <si>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</si>
  <si>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</si>
  <si>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</si>
  <si>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</si>
  <si>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</si>
  <si>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</si>
  <si>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</si>
  <si>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</si>
  <si>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</si>
  <si>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</si>
  <si>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</si>
  <si>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</si>
  <si>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</si>
  <si>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</si>
  <si>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</si>
  <si>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</si>
  <si>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</si>
  <si>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</si>
  <si>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</si>
  <si>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</si>
  <si>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</si>
  <si>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</si>
  <si>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</si>
  <si>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</si>
  <si>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</si>
  <si>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</si>
  <si>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</si>
  <si>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</si>
  <si>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</si>
  <si>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</si>
  <si>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</si>
  <si>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</si>
  <si>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</si>
  <si>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</si>
  <si>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</si>
  <si>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</si>
  <si>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</si>
  <si>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</si>
  <si>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</si>
  <si>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</si>
  <si>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</si>
  <si>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</si>
  <si>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</si>
  <si>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</si>
  <si>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</si>
  <si>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</si>
  <si>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</si>
  <si>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</si>
  <si>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</si>
  <si>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</si>
  <si>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</si>
  <si>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</si>
  <si>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</si>
  <si>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</si>
  <si>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</si>
  <si>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</si>
  <si>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</si>
  <si>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</si>
  <si>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</si>
  <si>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</si>
  <si>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</si>
  <si>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</si>
  <si>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</si>
  <si>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</si>
  <si>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</si>
  <si>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</si>
  <si>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</si>
  <si>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</si>
  <si>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</si>
  <si>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</si>
  <si>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</si>
  <si>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</si>
  <si>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</si>
  <si>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</si>
  <si>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</si>
  <si>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</si>
  <si>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</si>
  <si>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</si>
  <si>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</si>
  <si>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</si>
  <si>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</si>
  <si>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</si>
  <si>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</si>
  <si>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</si>
  <si>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</si>
  <si>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</si>
  <si>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</si>
  <si>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</si>
  <si>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</si>
  <si>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</si>
  <si>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</si>
  <si>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</si>
  <si>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</si>
  <si>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</si>
  <si>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</si>
  <si>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</si>
  <si>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</si>
  <si>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</si>
  <si>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</si>
  <si>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</si>
  <si>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</si>
  <si>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</si>
  <si>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</si>
  <si>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</si>
  <si>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</si>
  <si>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</si>
  <si>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</si>
  <si>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</si>
  <si>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</si>
  <si>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</si>
  <si>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</si>
  <si>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</si>
  <si>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</si>
  <si>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</si>
  <si>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</si>
  <si>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</si>
  <si>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</si>
  <si>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</si>
  <si>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</si>
  <si>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</si>
  <si>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</si>
  <si>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</si>
  <si>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</si>
  <si>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</si>
  <si>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</si>
  <si>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</si>
  <si>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</si>
  <si>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</si>
  <si>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</si>
  <si>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</si>
  <si>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</si>
  <si>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</si>
  <si>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</si>
  <si>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</si>
  <si>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</si>
  <si>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</si>
  <si>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</si>
  <si>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</si>
  <si>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</si>
  <si>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</si>
  <si>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</si>
  <si>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</si>
  <si>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</si>
  <si>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</si>
  <si>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</si>
  <si>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</si>
  <si>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</si>
  <si>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</si>
  <si>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</si>
  <si>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</si>
  <si>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</si>
  <si>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</si>
  <si>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</si>
  <si>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</si>
  <si>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</si>
  <si>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</si>
  <si>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</si>
  <si>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</si>
  <si>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</si>
  <si>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</si>
  <si>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</si>
  <si>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</si>
  <si>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</si>
  <si>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</si>
  <si>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</si>
  <si>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</si>
  <si>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</si>
  <si>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</si>
  <si>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</si>
  <si>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</si>
  <si>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</si>
  <si>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</si>
  <si>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</si>
  <si>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</si>
  <si>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</si>
  <si>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</si>
  <si>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</si>
  <si>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</si>
  <si>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</si>
  <si>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</si>
  <si>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</si>
  <si>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</si>
  <si>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</si>
  <si>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</si>
  <si>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</si>
  <si>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</si>
  <si>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</si>
  <si>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</si>
  <si>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</si>
  <si>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</si>
  <si>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</si>
  <si>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</si>
  <si>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</si>
  <si>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</si>
  <si>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</si>
  <si>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</si>
  <si>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</si>
  <si>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</si>
  <si>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</si>
  <si>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</si>
  <si>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</si>
  <si>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</si>
  <si>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</si>
  <si>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</si>
  <si>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</si>
  <si>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</si>
  <si>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</si>
  <si>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</si>
  <si>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</si>
  <si>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</si>
  <si>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</si>
  <si>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</si>
  <si>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</si>
  <si>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</si>
  <si>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</si>
  <si>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</si>
  <si>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</si>
  <si>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</si>
  <si>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</si>
  <si>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</si>
  <si>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</si>
  <si>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</si>
  <si>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</si>
  <si>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</si>
  <si>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</si>
  <si>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</si>
  <si>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</si>
  <si>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</si>
  <si>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</si>
  <si>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</si>
  <si>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</si>
  <si>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</si>
  <si>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</si>
  <si>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</si>
  <si>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</si>
  <si>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</si>
  <si>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</si>
  <si>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</si>
  <si>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</si>
  <si>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</si>
  <si>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</si>
  <si>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</si>
  <si>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</si>
  <si>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</si>
  <si>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</si>
  <si>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</si>
  <si>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</si>
  <si>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</si>
  <si>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</si>
  <si>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</si>
  <si>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</si>
  <si>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</si>
  <si>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</si>
  <si>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</si>
  <si>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</si>
  <si>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</si>
  <si>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</si>
  <si>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</si>
  <si>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</si>
  <si>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</si>
  <si>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</si>
  <si>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</si>
  <si>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</si>
  <si>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</si>
  <si>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</si>
  <si>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</si>
  <si>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</si>
  <si>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</si>
  <si>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</si>
  <si>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</si>
  <si>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</si>
  <si>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</si>
  <si>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</si>
  <si>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</si>
  <si>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</si>
  <si>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</si>
  <si>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</si>
  <si>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</si>
  <si>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</si>
  <si>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</si>
  <si>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</si>
  <si>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</si>
  <si>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</si>
  <si>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</si>
  <si>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</si>
  <si>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</si>
  <si>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</si>
  <si>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</si>
  <si>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</si>
  <si>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</si>
  <si>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</si>
  <si>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</si>
  <si>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</si>
  <si>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</si>
  <si>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</si>
  <si>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</si>
  <si>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</si>
  <si>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</si>
  <si>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</si>
  <si>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</si>
  <si>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</si>
  <si>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</si>
  <si>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</si>
  <si>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</si>
  <si>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</si>
  <si>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</si>
  <si>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</si>
  <si>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</si>
  <si>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</si>
  <si>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</si>
  <si>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</si>
  <si>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</si>
  <si>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</si>
  <si>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</si>
  <si>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</si>
  <si>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</si>
  <si>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</si>
  <si>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</si>
  <si>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</si>
  <si>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</si>
  <si>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</si>
  <si>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</si>
  <si>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</si>
  <si>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</si>
  <si>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</si>
  <si>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</si>
  <si>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</si>
  <si>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</si>
  <si>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</si>
  <si>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</si>
  <si>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</si>
  <si>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</si>
  <si>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</si>
  <si>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</si>
  <si>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</si>
  <si>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</si>
  <si>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</si>
  <si>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</si>
  <si>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</si>
  <si>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</si>
  <si>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</si>
  <si>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</si>
  <si>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</si>
  <si>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</si>
  <si>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</si>
  <si>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</si>
  <si>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</si>
  <si>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</si>
  <si>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</si>
  <si>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</si>
  <si>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</si>
  <si>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</si>
  <si>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</si>
  <si>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</si>
  <si>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</si>
  <si>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</si>
  <si>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</si>
  <si>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</si>
  <si>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</si>
  <si>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</si>
  <si>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</si>
  <si>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</si>
  <si>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</si>
  <si>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</si>
  <si>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</si>
  <si>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</si>
  <si>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</si>
  <si>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</si>
  <si>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</si>
  <si>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</si>
  <si>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</si>
  <si>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</si>
  <si>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</si>
  <si>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</si>
  <si>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</si>
  <si>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</si>
  <si>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</si>
  <si>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</si>
  <si>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</si>
  <si>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</si>
  <si>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</si>
  <si>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</si>
  <si>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</si>
  <si>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</si>
  <si>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</si>
  <si>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</si>
  <si>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</si>
  <si>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</si>
  <si>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</si>
  <si>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</si>
  <si>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</si>
  <si>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</si>
  <si>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</si>
  <si>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</si>
  <si>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</si>
  <si>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</si>
  <si>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</si>
  <si>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</si>
  <si>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</si>
  <si>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</si>
  <si>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</si>
  <si>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</si>
  <si>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</si>
  <si>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</si>
  <si>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</si>
  <si>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</si>
  <si>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</si>
  <si>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</si>
  <si>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</si>
  <si>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</si>
  <si>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</si>
  <si>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</si>
  <si>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</si>
  <si>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</si>
  <si>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</si>
  <si>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</si>
  <si>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</si>
  <si>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</si>
  <si>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</si>
  <si>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</si>
  <si>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</si>
  <si>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</si>
  <si>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</si>
  <si>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</si>
  <si>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</si>
  <si>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</si>
  <si>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</si>
  <si>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</si>
  <si>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</si>
  <si>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</si>
  <si>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</si>
  <si>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</si>
  <si>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</si>
  <si>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</si>
  <si>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</si>
  <si>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</si>
  <si>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</si>
  <si>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</si>
  <si>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</si>
  <si>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</si>
  <si>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</si>
  <si>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</si>
  <si>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</si>
  <si>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</si>
  <si>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</si>
  <si>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</si>
  <si>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</si>
  <si>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</si>
  <si>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</si>
  <si>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</si>
  <si>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</si>
  <si>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</si>
  <si>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</si>
  <si>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</si>
  <si>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</si>
  <si>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</si>
  <si>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</si>
  <si>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</si>
  <si>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</si>
  <si>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</si>
  <si>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</si>
  <si>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</si>
  <si>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</si>
  <si>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</si>
  <si>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</si>
  <si>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</si>
  <si>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</si>
  <si>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</si>
  <si>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</si>
  <si>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</si>
  <si>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</si>
  <si>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</si>
  <si>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</si>
  <si>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</si>
  <si>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</si>
  <si>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</si>
  <si>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</si>
  <si>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</si>
  <si>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</si>
  <si>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</si>
  <si>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</si>
  <si>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</si>
  <si>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</si>
  <si>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</si>
  <si>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</si>
  <si>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</si>
  <si>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</si>
  <si>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</si>
  <si>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</si>
  <si>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</si>
  <si>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</si>
  <si>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</si>
  <si>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</si>
  <si>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</si>
  <si>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</si>
  <si>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</si>
  <si>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</si>
  <si>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</si>
  <si>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</si>
  <si>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</si>
  <si>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</si>
  <si>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</si>
  <si>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</si>
  <si>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</si>
  <si>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</si>
  <si>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</si>
  <si>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</si>
  <si>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</si>
  <si>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</si>
  <si>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</si>
  <si>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</si>
  <si>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</si>
  <si>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</si>
  <si>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</si>
  <si>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</si>
  <si>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</si>
  <si>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</si>
  <si>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</si>
  <si>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</si>
  <si>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</si>
  <si>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</si>
  <si>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</si>
  <si>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</si>
  <si>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</si>
  <si>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</si>
  <si>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</si>
  <si>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</si>
  <si>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</si>
  <si>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</si>
  <si>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</si>
  <si>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</si>
  <si>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</si>
  <si>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</si>
  <si>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</si>
  <si>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</si>
  <si>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</si>
  <si>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</si>
  <si>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</si>
  <si>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</si>
  <si>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</si>
  <si>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</si>
  <si>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</si>
  <si>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</si>
  <si>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</si>
  <si>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</si>
  <si>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</si>
  <si>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</si>
  <si>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</si>
  <si>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</si>
  <si>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</si>
  <si>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</si>
  <si>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</si>
  <si>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</si>
  <si>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</si>
  <si>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</si>
  <si>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</si>
  <si>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</si>
  <si>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</si>
  <si>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</si>
  <si>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</si>
  <si>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</si>
  <si>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</si>
  <si>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</si>
  <si>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</si>
  <si>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</si>
  <si>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</si>
  <si>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</si>
  <si>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</si>
  <si>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</si>
  <si>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</si>
  <si>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</si>
  <si>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</si>
  <si>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</si>
  <si>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</si>
  <si>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</si>
  <si>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</si>
  <si>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</si>
  <si>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</si>
  <si>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</si>
  <si>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</si>
  <si>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</si>
  <si>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</si>
  <si>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</si>
  <si>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</si>
  <si>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</si>
  <si>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</si>
  <si>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</si>
  <si>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</si>
  <si>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</si>
  <si>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</si>
  <si>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</si>
  <si>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</si>
  <si>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</si>
  <si>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</si>
  <si>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</si>
  <si>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</si>
  <si>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</si>
  <si>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</si>
  <si>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</si>
  <si>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</si>
  <si>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</si>
  <si>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</si>
  <si>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</si>
  <si>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</si>
  <si>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</si>
  <si>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</si>
  <si>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</si>
  <si>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</si>
  <si>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</si>
  <si>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</si>
  <si>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</si>
  <si>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</si>
  <si>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</si>
  <si>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</si>
  <si>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</si>
  <si>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</si>
  <si>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</si>
  <si>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</si>
  <si>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</si>
  <si>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</si>
  <si>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</si>
  <si>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</si>
  <si>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</si>
  <si>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</si>
  <si>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</si>
  <si>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</si>
  <si>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</si>
  <si>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</si>
  <si>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</si>
  <si>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</si>
  <si>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</si>
  <si>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</si>
  <si>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</si>
  <si>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</si>
  <si>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</si>
  <si>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</si>
  <si>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</si>
  <si>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</si>
  <si>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</si>
  <si>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</si>
  <si>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</si>
  <si>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</si>
  <si>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</si>
  <si>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</si>
  <si>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</si>
  <si>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</si>
  <si>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</si>
  <si>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</si>
  <si>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</si>
  <si>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</si>
  <si>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</si>
  <si>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</si>
  <si>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</si>
  <si>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</si>
  <si>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</si>
  <si>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</si>
  <si>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</si>
  <si>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</si>
  <si>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</si>
  <si>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</si>
  <si>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</si>
  <si>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</si>
  <si>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</si>
  <si>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</si>
  <si>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</si>
  <si>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</si>
  <si>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</si>
  <si>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</si>
  <si>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</si>
  <si>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</si>
  <si>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</si>
  <si>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</si>
  <si>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</si>
  <si>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</si>
  <si>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</si>
  <si>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</si>
  <si>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</si>
  <si>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</si>
  <si>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</si>
  <si>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</si>
  <si>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</si>
  <si>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</si>
  <si>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</si>
  <si>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</si>
  <si>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</si>
  <si>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</si>
  <si>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</si>
  <si>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</si>
  <si>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</si>
  <si>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</si>
  <si>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</si>
  <si>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</si>
  <si>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</si>
  <si>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</si>
  <si>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</si>
  <si>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</si>
  <si>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</si>
  <si>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</si>
  <si>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</si>
  <si>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</si>
  <si>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</si>
  <si>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</si>
  <si>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</si>
  <si>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</si>
  <si>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</si>
  <si>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</si>
  <si>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</si>
  <si>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</si>
  <si>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</si>
  <si>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</si>
  <si>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</si>
  <si>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</si>
  <si>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</si>
  <si>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</si>
  <si>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</si>
  <si>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</si>
  <si>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</si>
  <si>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</si>
  <si>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</si>
  <si>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</si>
  <si>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</si>
  <si>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</si>
  <si>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</si>
  <si>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</si>
  <si>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</si>
  <si>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</si>
  <si>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</si>
  <si>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</si>
  <si>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</si>
  <si>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</si>
  <si>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</si>
  <si>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</si>
  <si>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</si>
  <si>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</si>
  <si>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</si>
  <si>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</si>
  <si>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</si>
  <si>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</si>
  <si>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</si>
  <si>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</si>
  <si>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</si>
  <si>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</si>
  <si>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</si>
  <si>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</si>
  <si>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</si>
  <si>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</si>
  <si>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</si>
  <si>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</si>
  <si>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</si>
  <si>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</si>
  <si>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</si>
  <si>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</si>
  <si>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</si>
  <si>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</si>
  <si>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</si>
  <si>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</si>
  <si>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</si>
  <si>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</si>
  <si>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</si>
  <si>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</si>
  <si>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</si>
  <si>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</si>
  <si>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</si>
  <si>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</si>
  <si>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</si>
  <si>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</si>
  <si>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</si>
  <si>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</si>
  <si>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</si>
  <si>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</si>
  <si>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</si>
  <si>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</si>
  <si>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</si>
  <si>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</si>
  <si>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</si>
  <si>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</si>
  <si>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</si>
  <si>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</si>
  <si>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</si>
  <si>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</si>
  <si>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</si>
  <si>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</si>
  <si>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</si>
  <si>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</si>
  <si>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</si>
  <si>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</si>
  <si>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</si>
  <si>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</si>
  <si>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</si>
  <si>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</si>
  <si>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</si>
  <si>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</si>
  <si>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</si>
  <si>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</si>
  <si>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</si>
  <si>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</si>
  <si>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</si>
  <si>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</si>
  <si>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</si>
  <si>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</si>
  <si>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</si>
  <si>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</si>
  <si>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</si>
  <si>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</si>
  <si>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</si>
  <si>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</si>
  <si>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</si>
  <si>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</si>
  <si>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</si>
  <si>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</si>
  <si>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</si>
  <si>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</si>
  <si>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</si>
  <si>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</si>
  <si>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</si>
  <si>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</si>
  <si>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</si>
  <si>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</si>
  <si>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</si>
  <si>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</si>
  <si>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</si>
  <si>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</si>
  <si>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</si>
  <si>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</si>
  <si>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</si>
  <si>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</si>
  <si>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</si>
  <si>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</si>
  <si>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</si>
  <si>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</si>
  <si>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</si>
  <si>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</si>
  <si>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</si>
  <si>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</si>
  <si>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</si>
  <si>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</si>
  <si>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</si>
  <si>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</si>
  <si>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</si>
  <si>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</si>
  <si>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</si>
  <si>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</si>
  <si>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</si>
  <si>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</si>
  <si>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</si>
  <si>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</si>
  <si>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</si>
  <si>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</si>
  <si>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</si>
  <si>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</si>
  <si>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</si>
  <si>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</si>
  <si>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</si>
  <si>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</si>
  <si>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</si>
  <si>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</si>
  <si>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</si>
  <si>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</si>
  <si>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</si>
  <si>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</si>
  <si>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</si>
  <si>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</si>
  <si>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</si>
  <si>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</si>
  <si>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</si>
  <si>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</si>
  <si>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</si>
  <si>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</si>
  <si>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</si>
  <si>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</si>
  <si>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</si>
  <si>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</si>
  <si>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</si>
  <si>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</si>
  <si>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</si>
  <si>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</si>
  <si>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</si>
  <si>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</si>
  <si>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</si>
  <si>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</si>
  <si>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</si>
  <si>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</si>
  <si>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</si>
  <si>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</si>
  <si>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</si>
  <si>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</si>
  <si>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</si>
  <si>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</si>
  <si>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</si>
  <si>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</si>
  <si>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</si>
  <si>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</si>
  <si>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</si>
  <si>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</si>
  <si>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</si>
  <si>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</si>
  <si>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</si>
  <si>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</si>
  <si>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</si>
  <si>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</si>
  <si>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</si>
  <si>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</si>
  <si>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</si>
  <si>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</si>
  <si>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</si>
  <si>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</si>
  <si>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</si>
  <si>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</si>
  <si>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</si>
  <si>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</si>
  <si>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</si>
  <si>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</si>
  <si>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</si>
  <si>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</si>
  <si>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</si>
  <si>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</si>
  <si>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</si>
  <si>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</si>
  <si>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</si>
  <si>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</si>
  <si>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</si>
  <si>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</si>
  <si>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</si>
  <si>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</si>
  <si>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</si>
  <si>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</si>
  <si>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</si>
  <si>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</si>
  <si>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</si>
  <si>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</si>
  <si>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</si>
  <si>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</si>
  <si>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</si>
  <si>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</si>
  <si>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</si>
  <si>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</si>
  <si>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</si>
  <si>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</si>
  <si>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</si>
  <si>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</si>
  <si>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</si>
  <si>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</si>
  <si>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</si>
  <si>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</si>
  <si>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</si>
  <si>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</si>
  <si>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</si>
  <si>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</si>
  <si>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</si>
  <si>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</si>
  <si>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</si>
  <si>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</si>
  <si>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</si>
  <si>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</si>
  <si>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</si>
  <si>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</si>
  <si>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</si>
  <si>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</si>
  <si>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</si>
  <si>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</si>
  <si>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</si>
  <si>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</si>
  <si>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</si>
  <si>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</si>
  <si>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</si>
  <si>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</si>
  <si>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</si>
  <si>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</si>
  <si>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</si>
  <si>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</si>
  <si>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</si>
  <si>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</si>
  <si>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</si>
  <si>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</si>
  <si>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</si>
  <si>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</si>
  <si>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</si>
  <si>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</si>
  <si>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</si>
  <si>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</si>
  <si>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</si>
  <si>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</si>
  <si>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</si>
  <si>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</si>
  <si>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</si>
  <si>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</si>
  <si>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</si>
  <si>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</si>
  <si>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</si>
  <si>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</si>
  <si>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</si>
  <si>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</si>
  <si>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</si>
  <si>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</si>
  <si>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</si>
  <si>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</si>
  <si>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</si>
  <si>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</si>
  <si>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</si>
  <si>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</si>
  <si>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</si>
  <si>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</si>
  <si>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</si>
  <si>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</si>
  <si>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</si>
  <si>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</si>
  <si>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</si>
  <si>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</si>
  <si>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</si>
  <si>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</si>
  <si>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</si>
  <si>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</si>
  <si>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</si>
  <si>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</si>
  <si>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</si>
  <si>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</si>
  <si>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</si>
  <si>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</si>
  <si>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</si>
  <si>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</si>
  <si>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</si>
  <si>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</si>
  <si>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</si>
  <si>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</si>
  <si>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</si>
  <si>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</si>
  <si>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</si>
  <si>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</si>
  <si>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</si>
  <si>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</si>
  <si>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</si>
  <si>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</si>
  <si>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</si>
  <si>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</si>
  <si>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</si>
  <si>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</si>
  <si>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</si>
  <si>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</si>
  <si>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</si>
  <si>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</si>
  <si>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</si>
  <si>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</si>
  <si>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</si>
  <si>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</si>
  <si>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</si>
  <si>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</si>
  <si>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</si>
  <si>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</si>
  <si>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</si>
  <si>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</si>
  <si>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</si>
  <si>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</si>
  <si>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</si>
  <si>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</si>
  <si>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</si>
  <si>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</si>
  <si>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</si>
  <si>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</si>
  <si>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</si>
  <si>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</si>
  <si>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</si>
  <si>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</si>
  <si>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</si>
  <si>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</si>
  <si>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</si>
  <si>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</si>
  <si>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</si>
  <si>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</si>
  <si>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</si>
  <si>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</si>
  <si>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</si>
  <si>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</si>
  <si>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</si>
  <si>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</si>
  <si>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</si>
  <si>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</si>
  <si>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</si>
  <si>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</si>
  <si>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</si>
  <si>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</si>
  <si>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</si>
  <si>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</si>
  <si>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</si>
  <si>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</si>
  <si>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</si>
  <si>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</si>
  <si>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</si>
  <si>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</si>
  <si>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</si>
  <si>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</si>
  <si>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</si>
  <si>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</si>
  <si>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</si>
  <si>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</si>
  <si>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</si>
  <si>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</si>
  <si>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</si>
  <si>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</si>
  <si>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</si>
  <si>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</si>
  <si>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</si>
  <si>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</si>
  <si>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</si>
  <si>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</si>
  <si>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</si>
  <si>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</si>
  <si>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</si>
  <si>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</si>
  <si>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</si>
  <si>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</si>
  <si>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</si>
  <si>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</si>
  <si>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</si>
  <si>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</si>
  <si>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</si>
  <si>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</si>
  <si>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</si>
  <si>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</si>
  <si>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</si>
  <si>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</si>
  <si>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</si>
  <si>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</si>
  <si>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</si>
  <si>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</si>
  <si>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</si>
  <si>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</si>
  <si>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</si>
  <si>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</si>
  <si>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</si>
  <si>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</si>
  <si>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</si>
  <si>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</si>
  <si>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</si>
  <si>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</si>
  <si>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</si>
  <si>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</si>
  <si>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</si>
  <si>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</si>
  <si>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</si>
  <si>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</si>
  <si>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</si>
  <si>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</si>
  <si>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</si>
  <si>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</si>
  <si>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</si>
  <si>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</si>
  <si>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</si>
  <si>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</si>
  <si>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</si>
  <si>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</si>
  <si>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</si>
  <si>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</si>
  <si>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</si>
  <si>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</si>
  <si>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</si>
  <si>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</si>
  <si>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</si>
  <si>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</si>
  <si>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</si>
  <si>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</si>
  <si>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</si>
  <si>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</si>
  <si>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</si>
  <si>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</si>
  <si>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</si>
  <si>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</si>
  <si>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</si>
  <si>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</si>
  <si>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</si>
  <si>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</si>
  <si>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</si>
  <si>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</si>
  <si>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</si>
  <si>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</si>
  <si>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</si>
  <si>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</si>
  <si>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</si>
  <si>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</si>
  <si>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</si>
  <si>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</si>
  <si>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</si>
  <si>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</si>
  <si>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</si>
  <si>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</si>
  <si>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</si>
  <si>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</si>
  <si>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</si>
  <si>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</si>
  <si>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</si>
  <si>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</si>
  <si>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</si>
  <si>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</si>
  <si>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</si>
  <si>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</si>
  <si>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</si>
  <si>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</si>
  <si>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</si>
  <si>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</si>
  <si>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</si>
  <si>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</si>
  <si>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</si>
  <si>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</si>
  <si>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</si>
  <si>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</si>
  <si>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</si>
  <si>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</si>
  <si>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</si>
  <si>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</si>
  <si>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</si>
  <si>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</si>
  <si>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</si>
  <si>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</si>
  <si>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</si>
  <si>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</si>
  <si>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</si>
  <si>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</si>
  <si>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</si>
  <si>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</si>
  <si>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</si>
  <si>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</si>
  <si>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</si>
  <si>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</si>
  <si>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</si>
  <si>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</si>
  <si>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</si>
  <si>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</si>
  <si>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</si>
  <si>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</si>
  <si>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</si>
  <si>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</si>
  <si>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</si>
  <si>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</si>
  <si>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</si>
  <si>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</si>
  <si>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</si>
  <si>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</si>
  <si>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</si>
  <si>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</si>
  <si>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</si>
  <si>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</si>
  <si>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</si>
  <si>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</si>
  <si>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</si>
  <si>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</si>
  <si>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</si>
  <si>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</si>
  <si>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</si>
  <si>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</si>
  <si>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</si>
  <si>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</si>
  <si>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</si>
  <si>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</si>
  <si>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</si>
  <si>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</si>
  <si>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</si>
  <si>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</si>
  <si>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</si>
  <si>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</si>
  <si>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</si>
  <si>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</si>
  <si>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</si>
  <si>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</si>
  <si>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</si>
  <si>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</si>
  <si>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</si>
  <si>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</si>
  <si>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</si>
  <si>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</si>
  <si>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</si>
  <si>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</si>
  <si>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</si>
  <si>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</si>
  <si>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</si>
  <si>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</si>
  <si>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</si>
  <si>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</si>
  <si>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</si>
  <si>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</si>
  <si>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</si>
  <si>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</si>
  <si>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</si>
  <si>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</si>
  <si>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</si>
  <si>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</si>
  <si>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</si>
  <si>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</si>
  <si>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</si>
  <si>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</si>
  <si>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</si>
  <si>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</si>
  <si>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</si>
  <si>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</si>
  <si>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</si>
  <si>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</si>
  <si>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</si>
  <si>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</si>
  <si>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</si>
  <si>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</si>
  <si>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</si>
  <si>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</si>
  <si>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</si>
  <si>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</si>
  <si>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</si>
  <si>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</si>
  <si>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</si>
  <si>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</si>
  <si>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</si>
  <si>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</si>
  <si>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</si>
  <si>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</si>
  <si>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</si>
  <si>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</si>
  <si>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</si>
  <si>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</si>
  <si>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</si>
  <si>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</si>
  <si>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</si>
  <si>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</si>
  <si>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</si>
  <si>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</si>
  <si>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</si>
  <si>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</si>
  <si>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</si>
  <si>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</si>
  <si>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</si>
  <si>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</si>
  <si>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</si>
  <si>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</si>
  <si>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</si>
  <si>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</si>
  <si>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</si>
  <si>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</si>
  <si>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</si>
  <si>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</si>
  <si>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</si>
  <si>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</si>
  <si>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</si>
  <si>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</si>
  <si>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</si>
  <si>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</si>
  <si>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</si>
  <si>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</si>
  <si>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</si>
  <si>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</si>
  <si>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</si>
  <si>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</si>
  <si>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</si>
  <si>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</si>
  <si>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</si>
  <si>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</si>
  <si>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</si>
  <si>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</si>
  <si>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</si>
  <si>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</si>
  <si>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</si>
  <si>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</si>
  <si>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</si>
  <si>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</si>
  <si>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</si>
  <si>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</si>
  <si>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</si>
  <si>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</si>
  <si>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</si>
  <si>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</si>
  <si>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</si>
  <si>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</si>
  <si>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</si>
  <si>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</si>
  <si>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</si>
  <si>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</si>
  <si>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</si>
  <si>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</si>
  <si>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</si>
  <si>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</si>
  <si>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</si>
  <si>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</si>
  <si>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</si>
  <si>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</si>
  <si>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</si>
  <si>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</si>
  <si>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</si>
  <si>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</si>
  <si>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</si>
  <si>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</si>
  <si>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</si>
  <si>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</si>
  <si>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</si>
  <si>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</si>
  <si>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</si>
  <si>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</si>
  <si>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</si>
  <si>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</si>
  <si>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</si>
  <si>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</si>
  <si>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</si>
  <si>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</si>
  <si>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</si>
  <si>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</si>
  <si>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</si>
  <si>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</si>
  <si>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</si>
  <si>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</si>
  <si>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</si>
  <si>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</si>
  <si>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</si>
  <si>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</si>
  <si>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</si>
  <si>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</si>
  <si>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</si>
  <si>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</si>
  <si>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</si>
  <si>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</si>
  <si>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</si>
  <si>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</si>
  <si>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</si>
  <si>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</si>
  <si>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</si>
  <si>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</si>
  <si>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</si>
  <si>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</si>
  <si>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</si>
  <si>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</si>
  <si>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</si>
  <si>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</si>
  <si>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</si>
  <si>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</si>
  <si>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</si>
  <si>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</si>
  <si>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</si>
  <si>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</si>
  <si>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</si>
  <si>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</si>
  <si>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</si>
  <si>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</si>
  <si>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</si>
  <si>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</si>
  <si>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</si>
  <si>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</si>
  <si>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</si>
  <si>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</si>
  <si>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</si>
  <si>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</si>
  <si>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</si>
  <si>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</si>
  <si>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</si>
  <si>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</si>
  <si>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</si>
  <si>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</si>
  <si>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</si>
  <si>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</si>
  <si>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</si>
  <si>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</si>
  <si>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</si>
  <si>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</si>
  <si>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</si>
  <si>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</si>
  <si>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</si>
  <si>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</si>
  <si>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</si>
  <si>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</si>
  <si>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</si>
  <si>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</si>
  <si>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</si>
  <si>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</si>
  <si>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</si>
  <si>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</si>
  <si>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</si>
  <si>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</si>
  <si>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</si>
  <si>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</si>
  <si>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</si>
  <si>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</si>
  <si>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</si>
  <si>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</si>
  <si>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</si>
  <si>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</si>
  <si>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</si>
  <si>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</si>
  <si>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</si>
  <si>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</si>
  <si>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</si>
  <si>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</si>
  <si>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</si>
  <si>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</si>
  <si>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</si>
  <si>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</si>
  <si>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</si>
  <si>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</si>
  <si>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</si>
  <si>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</si>
  <si>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</si>
  <si>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</si>
  <si>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</si>
  <si>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</si>
  <si>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</si>
  <si>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</si>
  <si>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</si>
  <si>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</si>
  <si>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</si>
  <si>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</si>
  <si>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</si>
  <si>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</si>
  <si>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</si>
  <si>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</si>
  <si>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</si>
  <si>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</si>
  <si>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</si>
  <si>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</si>
  <si>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</si>
  <si>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</si>
  <si>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</si>
  <si>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</si>
  <si>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</si>
  <si>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</si>
  <si>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</si>
  <si>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</si>
  <si>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</si>
  <si>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</si>
  <si>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</si>
  <si>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</si>
  <si>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</si>
  <si>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</si>
  <si>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</si>
  <si>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</si>
  <si>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</si>
  <si>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</si>
  <si>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</si>
  <si>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</si>
  <si>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</si>
  <si>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</si>
  <si>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</si>
  <si>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</si>
  <si>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</si>
  <si>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</si>
  <si>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</si>
  <si>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</si>
  <si>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</si>
  <si>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</si>
  <si>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</si>
  <si>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</si>
  <si>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</si>
  <si>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</si>
  <si>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</si>
  <si>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</si>
  <si>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</si>
  <si>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</si>
  <si>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</si>
  <si>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</si>
  <si>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</si>
  <si>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</si>
  <si>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</si>
  <si>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</si>
  <si>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</si>
  <si>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</si>
  <si>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</si>
  <si>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</si>
  <si>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</si>
  <si>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</si>
  <si>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</si>
  <si>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</si>
  <si>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</si>
  <si>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</si>
  <si>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</si>
  <si>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</si>
  <si>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</si>
  <si>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</si>
  <si>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</si>
  <si>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</si>
  <si>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</si>
  <si>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</si>
  <si>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</si>
  <si>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</si>
  <si>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</si>
  <si>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</si>
  <si>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</si>
  <si>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</si>
  <si>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</si>
  <si>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</si>
  <si>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</si>
  <si>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</si>
  <si>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</si>
  <si>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</si>
  <si>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</si>
  <si>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</si>
  <si>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</si>
  <si>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</si>
  <si>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</si>
  <si>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</si>
  <si>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</si>
  <si>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</si>
  <si>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</si>
  <si>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</si>
  <si>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</si>
  <si>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</si>
  <si>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</si>
  <si>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</si>
  <si>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</si>
  <si>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</si>
  <si>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</si>
  <si>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</si>
  <si>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</si>
  <si>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</si>
  <si>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</si>
  <si>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</si>
  <si>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</si>
  <si>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</si>
  <si>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</si>
  <si>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</si>
  <si>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</si>
  <si>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</si>
  <si>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</si>
  <si>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</si>
  <si>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</si>
  <si>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</si>
  <si>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</si>
  <si>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</si>
  <si>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</si>
  <si>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</si>
  <si>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</si>
  <si>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</si>
  <si>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</si>
  <si>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</si>
  <si>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</si>
  <si>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</si>
  <si>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</si>
  <si>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</si>
  <si>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</si>
  <si>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</si>
  <si>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</si>
  <si>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</si>
  <si>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</si>
  <si>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</si>
  <si>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</si>
  <si>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</si>
  <si>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</si>
  <si>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</si>
  <si>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</si>
  <si>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</si>
  <si>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</si>
  <si>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</si>
  <si>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</si>
  <si>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</si>
  <si>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</si>
  <si>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</si>
  <si>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</si>
  <si>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</si>
  <si>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</si>
  <si>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</si>
  <si>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</si>
  <si>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</si>
  <si>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</si>
  <si>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</si>
  <si>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</si>
  <si>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</si>
  <si>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</si>
  <si>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</si>
  <si>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</si>
  <si>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</si>
  <si>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</si>
  <si>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</si>
  <si>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</si>
  <si>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</si>
  <si>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</si>
  <si>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</si>
  <si>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</si>
  <si>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</si>
  <si>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</si>
  <si>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</si>
  <si>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</si>
  <si>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</si>
  <si>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</si>
  <si>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</si>
  <si>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</si>
  <si>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</si>
  <si>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</si>
  <si>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</si>
  <si>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</si>
  <si>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</si>
  <si>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</si>
  <si>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</si>
  <si>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</si>
  <si>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</si>
  <si>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</si>
  <si>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</si>
  <si>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</si>
  <si>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</si>
  <si>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</si>
  <si>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</si>
  <si>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</si>
  <si>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</si>
  <si>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</si>
  <si>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</si>
  <si>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</si>
  <si>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</si>
  <si>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</si>
  <si>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</si>
  <si>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</si>
  <si>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</si>
  <si>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</si>
  <si>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</si>
  <si>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</si>
  <si>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</si>
  <si>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</si>
  <si>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</si>
  <si>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</si>
  <si>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</si>
  <si>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</si>
  <si>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</si>
  <si>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</si>
  <si>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</si>
  <si>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</si>
  <si>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</si>
  <si>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</si>
  <si>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</si>
  <si>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</si>
  <si>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</si>
  <si>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</si>
  <si>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</si>
  <si>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</si>
  <si>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</si>
  <si>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</si>
  <si>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</si>
  <si>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</si>
  <si>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</si>
  <si>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</si>
  <si>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</si>
  <si>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</si>
  <si>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</si>
  <si>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</si>
  <si>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</si>
  <si>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</si>
  <si>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</si>
  <si>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</si>
  <si>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</si>
  <si>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</si>
  <si>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</si>
  <si>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</si>
  <si>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</si>
  <si>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</si>
  <si>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</si>
  <si>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</si>
  <si>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</si>
  <si>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</si>
  <si>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</si>
  <si>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</si>
  <si>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</si>
  <si>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</si>
  <si>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</si>
  <si>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</si>
  <si>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</si>
  <si>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</si>
  <si>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</si>
  <si>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</si>
  <si>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</si>
  <si>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</si>
  <si>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</si>
  <si>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</si>
  <si>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</si>
  <si>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</si>
  <si>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</si>
  <si>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</si>
  <si>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</si>
  <si>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</si>
  <si>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</si>
  <si>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</si>
  <si>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</si>
  <si>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</si>
  <si>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</si>
  <si>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</si>
  <si>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</si>
  <si>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</si>
  <si>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</si>
  <si>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</si>
  <si>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</si>
  <si>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</si>
  <si>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</si>
  <si>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</si>
  <si>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</si>
  <si>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</si>
  <si>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</si>
  <si>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</si>
  <si>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</si>
  <si>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</si>
  <si>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</si>
  <si>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</si>
  <si>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</si>
  <si>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</si>
  <si>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</si>
  <si>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</si>
  <si>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</si>
  <si>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</si>
  <si>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</si>
  <si>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</si>
  <si>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</si>
  <si>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</si>
  <si>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</si>
  <si>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</si>
  <si>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</si>
  <si>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</si>
  <si>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</si>
  <si>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</si>
  <si>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</si>
  <si>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</si>
  <si>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</si>
  <si>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</si>
  <si>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</si>
  <si>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</si>
  <si>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</si>
  <si>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</si>
  <si>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</si>
  <si>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</si>
  <si>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</si>
  <si>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</si>
  <si>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</si>
  <si>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</si>
  <si>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</si>
  <si>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</si>
  <si>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</si>
  <si>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</si>
  <si>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</si>
  <si>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</si>
  <si>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</si>
  <si>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</si>
  <si>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</si>
  <si>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</si>
  <si>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</si>
  <si>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</si>
  <si>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</si>
  <si>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</si>
  <si>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</si>
  <si>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</si>
  <si>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</si>
  <si>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</si>
  <si>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</si>
  <si>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</si>
  <si>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</si>
  <si>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</si>
  <si>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</si>
  <si>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</si>
  <si>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</si>
  <si>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</si>
  <si>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</si>
  <si>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</si>
  <si>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</si>
  <si>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</si>
  <si>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</si>
  <si>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</si>
  <si>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</si>
  <si>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</si>
  <si>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</si>
  <si>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</si>
  <si>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</si>
  <si>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</si>
  <si>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</si>
  <si>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</si>
  <si>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</si>
  <si>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</si>
  <si>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</si>
  <si>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</si>
  <si>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</si>
  <si>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</si>
  <si>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</si>
  <si>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</si>
  <si>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</si>
  <si>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</si>
  <si>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</si>
  <si>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</si>
  <si>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</si>
  <si>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</si>
  <si>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</si>
  <si>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</si>
  <si>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</si>
  <si>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</si>
  <si>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</si>
  <si>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</si>
  <si>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</si>
  <si>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</si>
  <si>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</si>
  <si>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</si>
  <si>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</si>
  <si>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</si>
  <si>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</si>
  <si>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</si>
  <si>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</si>
  <si>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</si>
  <si>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</si>
  <si>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</si>
  <si>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</si>
  <si>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</si>
  <si>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</si>
  <si>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</si>
  <si>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</si>
  <si>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</si>
  <si>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</si>
  <si>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</si>
  <si>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</si>
  <si>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</si>
  <si>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</si>
  <si>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</si>
  <si>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</si>
  <si>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</si>
  <si>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</si>
  <si>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</si>
  <si>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</si>
  <si>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</si>
  <si>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</si>
  <si>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</si>
  <si>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</si>
  <si>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</si>
  <si>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</si>
  <si>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</si>
  <si>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</si>
  <si>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</si>
  <si>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</si>
  <si>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</si>
  <si>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</si>
  <si>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</si>
  <si>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</si>
  <si>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</si>
  <si>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</si>
  <si>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</si>
  <si>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</si>
  <si>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</si>
  <si>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</si>
  <si>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</si>
  <si>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</si>
  <si>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</si>
  <si>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</si>
  <si>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</si>
  <si>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</si>
  <si>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</si>
  <si>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</si>
  <si>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</si>
  <si>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</si>
  <si>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</si>
  <si>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</si>
  <si>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</si>
  <si>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</si>
  <si>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</si>
  <si>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</si>
  <si>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</si>
  <si>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</si>
  <si>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</si>
  <si>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</si>
  <si>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</si>
  <si>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</si>
  <si>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</si>
  <si>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</si>
  <si>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</si>
  <si>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</si>
  <si>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</si>
  <si>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</si>
  <si>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</si>
  <si>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</si>
  <si>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</si>
  <si>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</si>
  <si>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</si>
  <si>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</si>
  <si>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</si>
  <si>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</si>
  <si>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</si>
  <si>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</si>
  <si>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</si>
  <si>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</si>
  <si>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</si>
  <si>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</si>
  <si>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</si>
  <si>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</si>
  <si>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</si>
  <si>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</si>
  <si>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</si>
  <si>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</si>
  <si>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</si>
  <si>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</si>
  <si>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</si>
  <si>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</si>
  <si>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</si>
  <si>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</si>
  <si>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</si>
  <si>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</si>
  <si>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</si>
  <si>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</si>
  <si>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</si>
  <si>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</si>
  <si>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</si>
  <si>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</si>
  <si>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</si>
  <si>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</si>
  <si>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</si>
  <si>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</si>
  <si>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</si>
  <si>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</si>
  <si>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</si>
  <si>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</si>
  <si>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</si>
  <si>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</si>
  <si>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</si>
  <si>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</si>
  <si>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</si>
  <si>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</si>
  <si>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</si>
  <si>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</si>
  <si>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</si>
  <si>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</si>
  <si>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</si>
  <si>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</si>
  <si>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</si>
  <si>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</si>
  <si>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</si>
  <si>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</si>
  <si>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</si>
  <si>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</si>
  <si>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</si>
  <si>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</si>
  <si>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</si>
  <si>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</si>
  <si>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</si>
  <si>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</si>
  <si>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</si>
  <si>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</si>
  <si>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</si>
  <si>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</si>
  <si>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</si>
  <si>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</si>
  <si>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</si>
  <si>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</si>
  <si>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</si>
  <si>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</si>
  <si>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</si>
  <si>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</si>
  <si>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</si>
  <si>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</si>
  <si>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</si>
  <si>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</si>
  <si>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</si>
  <si>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</si>
  <si>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</si>
  <si>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</si>
  <si>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</si>
  <si>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</si>
  <si>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</si>
  <si>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</si>
  <si>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</si>
  <si>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</si>
  <si>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</si>
  <si>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</si>
  <si>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</si>
  <si>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</si>
  <si>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</si>
  <si>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</si>
  <si>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</si>
  <si>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</si>
  <si>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</si>
  <si>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</si>
  <si>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</si>
  <si>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</si>
  <si>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</si>
  <si>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</si>
  <si>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</si>
  <si>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</si>
  <si>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</si>
  <si>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</si>
  <si>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</si>
  <si>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</si>
  <si>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</si>
  <si>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</si>
  <si>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</si>
  <si>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</si>
  <si>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</si>
  <si>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</si>
  <si>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</si>
  <si>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</si>
  <si>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</si>
  <si>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</si>
  <si>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</si>
  <si>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</si>
  <si>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</si>
  <si>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</si>
  <si>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</si>
  <si>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</si>
  <si>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</si>
  <si>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</si>
  <si>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</si>
  <si>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</si>
  <si>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</si>
  <si>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</si>
  <si>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</si>
  <si>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</si>
  <si>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</si>
  <si>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</si>
  <si>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</si>
  <si>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</si>
  <si>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</si>
  <si>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</si>
  <si>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</si>
  <si>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</si>
  <si>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</si>
  <si>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</si>
  <si>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</si>
  <si>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</si>
  <si>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</si>
  <si>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</si>
  <si>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</si>
  <si>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</si>
  <si>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</si>
  <si>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</si>
  <si>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</si>
  <si>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</si>
  <si>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</si>
  <si>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</si>
  <si>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</si>
  <si>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</si>
  <si>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</si>
  <si>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</si>
  <si>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</si>
  <si>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</si>
  <si>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</si>
  <si>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</si>
  <si>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</si>
  <si>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</si>
  <si>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</si>
  <si>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</si>
  <si>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</si>
  <si>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</si>
  <si>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</si>
  <si>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</si>
  <si>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</si>
  <si>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</si>
  <si>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</si>
  <si>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</si>
  <si>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</si>
  <si>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</si>
  <si>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</si>
  <si>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</si>
  <si>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</si>
  <si>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</si>
  <si>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</si>
  <si>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</si>
  <si>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</si>
  <si>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</si>
  <si>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</si>
  <si>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</si>
  <si>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</si>
  <si>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</si>
  <si>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</si>
  <si>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</si>
  <si>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</si>
  <si>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</si>
  <si>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</si>
  <si>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</si>
  <si>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</si>
  <si>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</si>
  <si>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</si>
  <si>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</si>
  <si>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</si>
  <si>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</si>
  <si>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</si>
  <si>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</si>
  <si>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</si>
  <si>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</si>
  <si>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</si>
  <si>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</si>
  <si>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</si>
  <si>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</si>
  <si>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</si>
  <si>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</si>
  <si>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</si>
  <si>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</si>
  <si>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</si>
  <si>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</si>
  <si>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</si>
  <si>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</si>
  <si>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</si>
  <si>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</si>
  <si>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</si>
  <si>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</si>
  <si>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</si>
  <si>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</si>
  <si>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</si>
  <si>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</si>
  <si>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</si>
  <si>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</si>
  <si>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</si>
  <si>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</si>
  <si>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</si>
  <si>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</si>
  <si>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</si>
  <si>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</si>
  <si>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</si>
  <si>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</si>
  <si>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</si>
  <si>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</si>
  <si>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</si>
  <si>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</si>
  <si>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</si>
  <si>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</si>
  <si>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</si>
  <si>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</si>
  <si>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</si>
  <si>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</si>
  <si>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</si>
  <si>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</si>
  <si>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</si>
  <si>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</si>
  <si>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</si>
  <si>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</si>
  <si>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</si>
  <si>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</si>
  <si>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</si>
  <si>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</si>
  <si>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</si>
  <si>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</si>
  <si>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</si>
  <si>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</si>
  <si>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</si>
  <si>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</si>
  <si>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</si>
  <si>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</si>
  <si>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</si>
  <si>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</si>
  <si>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</si>
  <si>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</si>
  <si>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</si>
  <si>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</si>
  <si>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</si>
  <si>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</si>
  <si>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</si>
  <si>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</si>
  <si>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</si>
  <si>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</si>
  <si>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</si>
  <si>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</si>
  <si>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</si>
  <si>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</si>
  <si>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</si>
  <si>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</si>
  <si>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</si>
  <si>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</si>
  <si>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</si>
  <si>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</si>
  <si>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</si>
  <si>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</si>
  <si>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</si>
  <si>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</si>
  <si>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</si>
  <si>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</si>
  <si>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</si>
  <si>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</si>
  <si>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</si>
  <si>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</si>
  <si>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</si>
  <si>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</si>
  <si>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</si>
  <si>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</si>
  <si>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</si>
  <si>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</si>
  <si>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</si>
  <si>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</si>
  <si>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</si>
  <si>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</si>
  <si>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</si>
  <si>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</si>
  <si>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</si>
  <si>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</si>
  <si>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</si>
  <si>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</si>
  <si>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</si>
  <si>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</si>
  <si>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</si>
  <si>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</si>
  <si>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</si>
  <si>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</si>
  <si>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</si>
  <si>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</si>
  <si>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</si>
  <si>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</si>
  <si>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</si>
  <si>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</si>
  <si>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</si>
  <si>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</si>
  <si>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</si>
  <si>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</si>
  <si>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</si>
  <si>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</si>
  <si>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</si>
  <si>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</si>
  <si>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</si>
  <si>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</si>
  <si>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</si>
  <si>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</si>
  <si>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</si>
  <si>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</si>
  <si>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</si>
  <si>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</si>
  <si>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</si>
  <si>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</si>
  <si>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</si>
  <si>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</si>
  <si>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</si>
  <si>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</si>
  <si>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</si>
  <si>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</si>
  <si>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</si>
  <si>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</si>
  <si>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</si>
  <si>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</si>
  <si>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</si>
  <si>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</si>
  <si>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</si>
  <si>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</si>
  <si>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</si>
  <si>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</si>
  <si>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</si>
  <si>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</si>
  <si>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</si>
  <si>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</si>
  <si>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</si>
  <si>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</si>
  <si>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</si>
  <si>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</si>
  <si>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</si>
  <si>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</si>
  <si>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</si>
  <si>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</si>
  <si>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</si>
  <si>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</si>
  <si>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</si>
  <si>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</si>
  <si>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</si>
  <si>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</si>
  <si>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</si>
  <si>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</si>
  <si>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</si>
  <si>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</si>
  <si>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</si>
  <si>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</si>
  <si>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</si>
  <si>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</si>
  <si>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</si>
  <si>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</si>
  <si>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</si>
  <si>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</si>
  <si>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</si>
  <si>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</si>
  <si>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</si>
  <si>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</si>
  <si>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</si>
  <si>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</si>
  <si>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</si>
  <si>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</si>
  <si>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</si>
  <si>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</si>
  <si>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</si>
  <si>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</si>
  <si>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</si>
  <si>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</si>
  <si>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</si>
  <si>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</si>
  <si>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</si>
  <si>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</si>
  <si>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</si>
  <si>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</si>
  <si>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</si>
  <si>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</si>
  <si>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</si>
  <si>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</si>
  <si>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</si>
  <si>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</si>
  <si>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</si>
  <si>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</si>
  <si>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</si>
  <si>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</si>
  <si>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</si>
  <si>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</si>
  <si>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</si>
  <si>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</si>
  <si>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</si>
  <si>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</si>
  <si>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</si>
  <si>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</si>
  <si>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</si>
  <si>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</si>
  <si>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</si>
  <si>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</si>
  <si>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</si>
  <si>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</si>
  <si>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</si>
  <si>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</si>
  <si>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</si>
  <si>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</si>
  <si>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</si>
  <si>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</si>
  <si>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</si>
  <si>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</si>
  <si>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</si>
  <si>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</si>
  <si>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</si>
  <si>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</si>
  <si>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</si>
  <si>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</si>
  <si>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</si>
  <si>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</si>
  <si>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</si>
  <si>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</si>
  <si>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</si>
  <si>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</si>
  <si>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</si>
  <si>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</si>
  <si>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</si>
  <si>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</si>
  <si>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</si>
  <si>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</si>
  <si>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</si>
  <si>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</si>
  <si>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</si>
  <si>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</si>
  <si>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</si>
  <si>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</si>
  <si>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</si>
  <si>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</si>
  <si>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</si>
  <si>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</si>
  <si>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</si>
  <si>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</si>
  <si>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</si>
  <si>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</si>
  <si>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</si>
  <si>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</si>
  <si>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</si>
  <si>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</si>
  <si>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</si>
  <si>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</si>
  <si>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</si>
  <si>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</si>
  <si>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</si>
  <si>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</si>
  <si>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</si>
  <si>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</si>
  <si>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</si>
  <si>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</si>
  <si>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</si>
  <si>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</si>
  <si>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</si>
  <si>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</si>
  <si>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</si>
  <si>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</si>
  <si>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</si>
  <si>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</si>
  <si>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</si>
  <si>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</si>
  <si>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</si>
  <si>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</si>
  <si>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</si>
  <si>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</si>
  <si>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</si>
  <si>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</si>
  <si>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</si>
  <si>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</si>
  <si>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</si>
  <si>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</si>
  <si>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</si>
  <si>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</si>
  <si>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</si>
  <si>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</si>
  <si>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</si>
  <si>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</si>
  <si>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</si>
  <si>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</si>
  <si>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</si>
  <si>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</si>
  <si>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</si>
  <si>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</si>
  <si>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</si>
  <si>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</si>
  <si>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</si>
  <si>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</si>
  <si>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</si>
  <si>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</si>
  <si>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</si>
  <si>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</si>
  <si>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</si>
  <si>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</si>
  <si>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</si>
  <si>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</si>
  <si>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</si>
  <si>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</si>
  <si>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</si>
  <si>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</si>
  <si>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</si>
  <si>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</si>
  <si>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</si>
  <si>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</si>
  <si>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</si>
  <si>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</si>
  <si>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</si>
  <si>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</si>
  <si>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</si>
  <si>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</si>
  <si>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</si>
  <si>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</si>
  <si>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</si>
  <si>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</si>
  <si>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</si>
  <si>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</si>
  <si>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</si>
  <si>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</si>
  <si>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</si>
  <si>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</si>
  <si>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</si>
  <si>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</si>
  <si>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</si>
  <si>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</si>
  <si>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</si>
  <si>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</si>
  <si>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</si>
  <si>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</si>
  <si>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</si>
  <si>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</si>
  <si>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</si>
  <si>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</si>
  <si>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</si>
  <si>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</si>
  <si>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</si>
  <si>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</si>
  <si>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</si>
  <si>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</si>
  <si>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</si>
  <si>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</si>
  <si>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</si>
  <si>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</si>
  <si>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</si>
  <si>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</si>
  <si>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</si>
  <si>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</si>
  <si>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</si>
  <si>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</si>
  <si>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</si>
  <si>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</si>
  <si>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</si>
  <si>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</si>
  <si>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</si>
  <si>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</si>
  <si>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</si>
  <si>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</si>
  <si>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</si>
  <si>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</si>
  <si>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</si>
  <si>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</si>
  <si>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</si>
  <si>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</si>
  <si>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</si>
  <si>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</si>
  <si>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</si>
  <si>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</si>
  <si>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</si>
  <si>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</si>
  <si>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</si>
  <si>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</si>
  <si>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</si>
  <si>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</si>
  <si>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</si>
  <si>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</si>
  <si>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</si>
  <si>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</si>
  <si>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</si>
  <si>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</si>
  <si>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</si>
  <si>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</si>
  <si>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</si>
  <si>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</si>
  <si>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</si>
  <si>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</si>
  <si>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</si>
  <si>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</si>
  <si>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</si>
  <si>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</si>
  <si>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</si>
  <si>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</si>
  <si>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</si>
  <si>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</si>
  <si>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</si>
  <si>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</si>
  <si>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</si>
  <si>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</si>
  <si>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</si>
  <si>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</si>
  <si>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</si>
  <si>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</si>
  <si>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</si>
  <si>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</si>
  <si>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</si>
  <si>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</si>
  <si>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</si>
  <si>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</si>
  <si>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</si>
  <si>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</si>
  <si>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</si>
  <si>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</si>
  <si>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</si>
  <si>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</si>
  <si>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</si>
  <si>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</si>
  <si>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</si>
  <si>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</si>
  <si>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</si>
  <si>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</si>
  <si>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</si>
  <si>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</si>
  <si>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</si>
  <si>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</si>
  <si>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</si>
  <si>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</si>
  <si>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</si>
  <si>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</si>
  <si>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</si>
  <si>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</si>
  <si>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</si>
  <si>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</si>
  <si>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</si>
  <si>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</si>
  <si>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</si>
  <si>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</si>
  <si>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</si>
  <si>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</si>
  <si>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</si>
  <si>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</si>
  <si>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</si>
  <si>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</si>
  <si>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</si>
  <si>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</si>
  <si>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</si>
  <si>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</si>
  <si>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</si>
  <si>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</si>
  <si>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</si>
  <si>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</si>
  <si>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</si>
  <si>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</si>
  <si>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</si>
  <si>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</si>
  <si>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</si>
  <si>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</si>
  <si>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</si>
  <si>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</si>
  <si>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</si>
  <si>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</si>
  <si>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</si>
  <si>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</si>
  <si>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</si>
  <si>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</si>
  <si>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</si>
  <si>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</si>
  <si>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</si>
  <si>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</si>
  <si>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</si>
  <si>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</si>
  <si>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</si>
  <si>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</si>
  <si>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</si>
  <si>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</si>
  <si>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</si>
  <si>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</si>
  <si>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</si>
  <si>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</si>
  <si>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</si>
  <si>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</si>
  <si>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</si>
  <si>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</si>
  <si>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</si>
  <si>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</si>
  <si>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</si>
  <si>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</si>
  <si>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</si>
  <si>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</si>
  <si>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</si>
  <si>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</si>
  <si>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</si>
  <si>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</si>
  <si>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</si>
  <si>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</si>
  <si>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</si>
  <si>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</si>
  <si>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</si>
  <si>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</si>
  <si>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</si>
  <si>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</si>
  <si>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</si>
  <si>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</si>
  <si>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</si>
  <si>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</si>
  <si>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</si>
  <si>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</si>
  <si>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</si>
  <si>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</si>
  <si>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</si>
  <si>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</si>
  <si>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</si>
  <si>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</si>
  <si>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</si>
  <si>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</si>
  <si>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</si>
  <si>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</si>
  <si>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</si>
  <si>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</si>
  <si>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</si>
  <si>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</si>
  <si>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</si>
  <si>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</si>
  <si>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</si>
  <si>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</si>
  <si>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</si>
  <si>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</si>
  <si>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</si>
  <si>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</si>
  <si>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</si>
  <si>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</si>
  <si>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</si>
  <si>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</si>
  <si>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</si>
  <si>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</si>
  <si>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</si>
  <si>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</si>
  <si>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</si>
  <si>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</si>
  <si>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</si>
  <si>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</si>
  <si>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</si>
  <si>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</si>
  <si>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</si>
  <si>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</si>
  <si>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</si>
  <si>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</si>
  <si>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</si>
  <si>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</si>
  <si>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</si>
  <si>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</si>
  <si>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</si>
  <si>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</si>
  <si>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</si>
  <si>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</si>
  <si>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</si>
  <si>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</si>
  <si>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</si>
  <si>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</si>
  <si>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</si>
  <si>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</si>
  <si>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</si>
  <si>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</si>
  <si>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</si>
  <si>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</si>
  <si>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</si>
  <si>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</si>
  <si>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</si>
  <si>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</si>
  <si>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</si>
  <si>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</si>
  <si>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</si>
  <si>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</si>
  <si>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</si>
  <si>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</si>
  <si>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</si>
  <si>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</si>
  <si>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</si>
  <si>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</si>
  <si>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</si>
  <si>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</si>
  <si>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</si>
  <si>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</si>
  <si>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</si>
  <si>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</si>
  <si>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</si>
  <si>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</si>
  <si>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</si>
  <si>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</si>
  <si>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</si>
  <si>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</si>
  <si>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</si>
  <si>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</si>
  <si>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</si>
  <si>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</si>
  <si>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</si>
  <si>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</si>
  <si>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</si>
  <si>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</si>
  <si>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</si>
  <si>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</si>
  <si>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</si>
  <si>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</si>
  <si>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</si>
  <si>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</si>
  <si>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</si>
  <si>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</si>
  <si>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</si>
  <si>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</si>
  <si>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</si>
  <si>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</si>
  <si>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</si>
  <si>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</si>
  <si>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</si>
  <si>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</si>
  <si>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</si>
  <si>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</si>
  <si>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</si>
  <si>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</si>
  <si>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</si>
  <si>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</si>
  <si>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</si>
  <si>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</si>
  <si>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</si>
  <si>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</si>
  <si>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</si>
  <si>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</si>
  <si>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</si>
  <si>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</si>
  <si>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</si>
  <si>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</si>
  <si>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</si>
  <si>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</si>
  <si>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</si>
  <si>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</si>
  <si>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</si>
  <si>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</si>
  <si>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</si>
  <si>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</si>
  <si>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</si>
  <si>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</si>
  <si>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</si>
  <si>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</si>
  <si>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</si>
  <si>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</si>
  <si>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</si>
  <si>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</si>
  <si>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</si>
  <si>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</si>
  <si>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</si>
  <si>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</si>
  <si>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</si>
  <si>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</si>
  <si>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</si>
  <si>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</si>
  <si>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</si>
  <si>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</si>
  <si>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</si>
  <si>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</si>
  <si>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</si>
  <si>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</si>
  <si>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</si>
  <si>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</si>
  <si>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</si>
  <si>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</si>
  <si>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</si>
  <si>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</si>
  <si>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</si>
  <si>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</si>
  <si>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</si>
  <si>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</si>
  <si>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</si>
  <si>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</si>
  <si>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</si>
  <si>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</si>
  <si>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</si>
  <si>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</si>
  <si>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</si>
  <si>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</si>
  <si>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</si>
  <si>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</si>
  <si>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</si>
  <si>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</si>
  <si>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</si>
  <si>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</si>
  <si>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</si>
  <si>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</si>
  <si>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</si>
  <si>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</si>
  <si>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</si>
  <si>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</si>
  <si>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</si>
  <si>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</si>
  <si>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</si>
  <si>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</si>
  <si>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</si>
  <si>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</si>
  <si>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</si>
  <si>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</si>
  <si>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</si>
  <si>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</si>
  <si>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</si>
  <si>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</si>
  <si>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</si>
  <si>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</si>
  <si>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</si>
  <si>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</si>
  <si>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</si>
  <si>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</si>
  <si>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</si>
  <si>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</si>
  <si>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</si>
  <si>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</si>
  <si>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</si>
  <si>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</si>
  <si>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</si>
  <si>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</si>
  <si>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</si>
  <si>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</si>
  <si>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</si>
  <si>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</si>
  <si>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</si>
  <si>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</si>
  <si>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</si>
  <si>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</si>
  <si>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</si>
  <si>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</si>
  <si>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</si>
  <si>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</si>
  <si>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</si>
  <si>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</si>
  <si>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</si>
  <si>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</si>
  <si>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</si>
  <si>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</si>
  <si>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</si>
  <si>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</si>
  <si>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</si>
  <si>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</si>
  <si>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</si>
  <si>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</si>
  <si>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</si>
  <si>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</si>
  <si>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</si>
  <si>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</si>
  <si>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</si>
  <si>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</si>
  <si>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</si>
  <si>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</si>
  <si>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</si>
  <si>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</si>
  <si>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</si>
  <si>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</si>
  <si>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</si>
  <si>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</si>
  <si>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</si>
  <si>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</si>
  <si>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</si>
  <si>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</si>
  <si>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</si>
  <si>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</si>
  <si>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</si>
  <si>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</si>
  <si>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</si>
  <si>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</si>
  <si>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</si>
  <si>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</si>
  <si>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</si>
  <si>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</si>
  <si>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</si>
  <si>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</si>
  <si>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</si>
  <si>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</si>
  <si>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</si>
  <si>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</si>
  <si>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</si>
  <si>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</si>
  <si>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</si>
  <si>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</si>
  <si>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</si>
  <si>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</si>
  <si>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</si>
  <si>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</si>
  <si>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</si>
  <si>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</si>
  <si>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</si>
  <si>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</si>
  <si>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</si>
  <si>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</si>
  <si>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</si>
  <si>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</si>
  <si>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</si>
  <si>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</si>
  <si>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</si>
  <si>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</si>
  <si>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</si>
  <si>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</si>
  <si>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</si>
  <si>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</si>
  <si>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</si>
  <si>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</si>
  <si>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</si>
  <si>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</si>
  <si>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</si>
  <si>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</si>
  <si>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</si>
  <si>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</si>
  <si>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</si>
  <si>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</si>
  <si>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</si>
  <si>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</si>
  <si>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</si>
  <si>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</si>
  <si>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</si>
  <si>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</si>
  <si>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</si>
  <si>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</si>
  <si>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</si>
  <si>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</si>
  <si>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</si>
  <si>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</si>
  <si>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</si>
  <si>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</si>
  <si>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</si>
  <si>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</si>
  <si>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</si>
  <si>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</si>
  <si>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</si>
  <si>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</si>
  <si>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</si>
  <si>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</si>
  <si>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</si>
  <si>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</si>
  <si>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</si>
  <si>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</si>
  <si>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</si>
  <si>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</si>
  <si>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</si>
  <si>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</si>
  <si>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</si>
  <si>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</si>
  <si>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</si>
  <si>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</si>
  <si>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</si>
  <si>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</si>
  <si>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</si>
  <si>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</si>
  <si>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</si>
  <si>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</si>
  <si>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</si>
  <si>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</si>
  <si>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</si>
  <si>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</si>
  <si>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</si>
  <si>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</si>
  <si>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</si>
  <si>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</si>
  <si>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</si>
  <si>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</si>
  <si>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</si>
  <si>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</si>
  <si>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</si>
  <si>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</si>
  <si>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</si>
  <si>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</si>
  <si>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</si>
  <si>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</si>
  <si>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</si>
  <si>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</si>
  <si>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</si>
  <si>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</si>
  <si>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</si>
  <si>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</si>
  <si>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</si>
  <si>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</si>
  <si>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</si>
  <si>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</si>
  <si>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</si>
  <si>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</si>
  <si>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</si>
  <si>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</si>
  <si>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</si>
  <si>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</si>
  <si>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</si>
  <si>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</si>
  <si>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</si>
  <si>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</si>
  <si>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</si>
  <si>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</si>
  <si>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</si>
  <si>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</si>
  <si>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</si>
  <si>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</si>
  <si>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</si>
  <si>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</si>
  <si>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</si>
  <si>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</si>
  <si>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</si>
  <si>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</si>
  <si>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</si>
  <si>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</si>
  <si>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</si>
  <si>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</si>
  <si>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</si>
  <si>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</si>
  <si>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</si>
  <si>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</si>
  <si>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</si>
  <si>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</si>
  <si>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</si>
  <si>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</si>
  <si>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</si>
  <si>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</si>
  <si>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</si>
  <si>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</si>
  <si>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</si>
  <si>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</si>
  <si>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</si>
  <si>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</si>
  <si>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</si>
  <si>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</si>
  <si>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</si>
  <si>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</si>
  <si>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</si>
  <si>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</si>
  <si>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</si>
  <si>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</si>
  <si>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</si>
  <si>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</si>
  <si>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</si>
  <si>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</si>
  <si>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</si>
  <si>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</si>
  <si>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</si>
  <si>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</si>
  <si>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</si>
  <si>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</si>
  <si>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</si>
  <si>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</si>
  <si>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</si>
  <si>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</si>
  <si>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</si>
  <si>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</si>
  <si>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</si>
  <si>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</si>
  <si>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</si>
  <si>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</si>
  <si>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</si>
  <si>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</si>
  <si>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</si>
  <si>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</si>
  <si>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</si>
  <si>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</si>
  <si>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</si>
  <si>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</si>
  <si>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</si>
  <si>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</si>
  <si>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</si>
  <si>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</si>
  <si>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</si>
  <si>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</si>
  <si>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</si>
  <si>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</si>
  <si>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</si>
  <si>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</si>
  <si>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</si>
  <si>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</si>
  <si>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</si>
  <si>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</si>
  <si>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</si>
  <si>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</si>
  <si>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</si>
  <si>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</si>
  <si>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</si>
  <si>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</si>
  <si>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</si>
  <si>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</si>
  <si>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</si>
  <si>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</si>
  <si>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</si>
  <si>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</si>
  <si>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</si>
  <si>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</si>
  <si>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</si>
  <si>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</si>
  <si>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</si>
  <si>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</si>
  <si>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</si>
  <si>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</si>
  <si>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</si>
  <si>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</si>
  <si>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</si>
  <si>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</si>
  <si>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</si>
  <si>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</si>
  <si>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</si>
  <si>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</si>
  <si>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</si>
  <si>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</si>
  <si>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</si>
  <si>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</si>
  <si>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</si>
  <si>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</si>
  <si>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</si>
  <si>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</si>
  <si>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</si>
  <si>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</si>
  <si>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</si>
  <si>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</si>
  <si>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</si>
  <si>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</si>
  <si>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</si>
  <si>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</si>
  <si>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</si>
  <si>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</si>
  <si>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</si>
  <si>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</si>
  <si>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</si>
  <si>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</si>
  <si>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</si>
  <si>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</si>
  <si>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</si>
  <si>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</si>
  <si>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</si>
  <si>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</si>
  <si>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</si>
  <si>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</si>
  <si>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</si>
  <si>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</si>
  <si>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</si>
  <si>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</si>
  <si>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</si>
  <si>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</si>
  <si>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</si>
  <si>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</si>
  <si>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</si>
  <si>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</si>
  <si>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</si>
  <si>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</si>
  <si>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</si>
  <si>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</si>
  <si>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</si>
  <si>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</si>
  <si>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</si>
  <si>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</si>
  <si>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</si>
  <si>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</si>
  <si>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</si>
  <si>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</si>
  <si>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</si>
  <si>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</si>
  <si>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</si>
  <si>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</si>
  <si>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</si>
  <si>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</si>
  <si>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</si>
  <si>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</si>
  <si>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</si>
  <si>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</si>
  <si>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</si>
  <si>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</si>
  <si>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</si>
  <si>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</si>
  <si>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</si>
  <si>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</si>
  <si>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</si>
  <si>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</si>
  <si>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</si>
  <si>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</si>
  <si>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</si>
  <si>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</si>
  <si>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</si>
  <si>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</si>
  <si>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</si>
  <si>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</si>
  <si>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</si>
  <si>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</si>
  <si>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</si>
  <si>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</si>
  <si>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</si>
  <si>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</si>
  <si>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</si>
  <si>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</si>
  <si>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</si>
  <si>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</si>
  <si>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</si>
  <si>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</si>
  <si>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</si>
  <si>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</si>
  <si>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</si>
  <si>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</si>
  <si>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</si>
  <si>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</si>
  <si>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</si>
  <si>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</si>
  <si>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</si>
  <si>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</si>
  <si>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</si>
  <si>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</si>
  <si>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</si>
  <si>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</si>
  <si>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</si>
  <si>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</si>
  <si>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</si>
  <si>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</si>
  <si>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</si>
  <si>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</si>
  <si>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</si>
  <si>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</si>
  <si>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</si>
  <si>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</si>
  <si>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</si>
  <si>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</si>
  <si>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</si>
  <si>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</si>
  <si>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</si>
  <si>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</si>
  <si>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</si>
  <si>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</si>
  <si>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</si>
  <si>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</si>
  <si>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</si>
  <si>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</si>
  <si>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</si>
  <si>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</si>
  <si>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</si>
  <si>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</si>
  <si>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</si>
  <si>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</si>
  <si>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</si>
  <si>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</si>
  <si>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</si>
  <si>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</si>
  <si>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</si>
  <si>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</si>
  <si>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</si>
  <si>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</si>
  <si>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</si>
  <si>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</si>
  <si>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</si>
  <si>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</si>
  <si>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</si>
  <si>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</si>
  <si>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</si>
  <si>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</si>
  <si>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</si>
  <si>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</si>
  <si>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</si>
  <si>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</si>
  <si>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</si>
  <si>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</si>
  <si>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</si>
  <si>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</si>
  <si>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</si>
  <si>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</si>
  <si>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</si>
  <si>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</si>
  <si>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</si>
  <si>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</si>
  <si>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</si>
  <si>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</si>
  <si>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</si>
  <si>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</si>
  <si>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</si>
  <si>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</si>
  <si>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</si>
  <si>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</si>
  <si>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</si>
  <si>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</si>
  <si>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</si>
  <si>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</si>
  <si>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</si>
  <si>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</si>
  <si>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</si>
  <si>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</si>
  <si>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</si>
  <si>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</si>
  <si>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</si>
  <si>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</si>
  <si>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</si>
  <si>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</si>
  <si>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</si>
  <si>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</si>
  <si>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</si>
  <si>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</si>
  <si>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</si>
  <si>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</si>
  <si>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</si>
  <si>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</si>
  <si>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</si>
  <si>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</si>
  <si>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</si>
  <si>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</si>
  <si>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</si>
  <si>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</si>
  <si>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</si>
  <si>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</si>
  <si>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</si>
  <si>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</si>
  <si>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</si>
  <si>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</si>
  <si>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</si>
  <si>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</si>
  <si>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</si>
  <si>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</si>
  <si>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</si>
  <si>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</si>
  <si>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</si>
  <si>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</si>
  <si>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</si>
  <si>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</si>
  <si>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</si>
  <si>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</si>
  <si>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</si>
  <si>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</si>
  <si>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</si>
  <si>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</si>
  <si>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</si>
  <si>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</si>
  <si>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</si>
  <si>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</si>
  <si>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</si>
  <si>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</si>
  <si>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</si>
  <si>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</si>
  <si>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</si>
  <si>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</si>
  <si>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</si>
  <si>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</si>
  <si>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</si>
  <si>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</si>
  <si>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</si>
  <si>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</si>
  <si>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</si>
  <si>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</si>
  <si>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</si>
  <si>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</si>
  <si>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</si>
  <si>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</si>
  <si>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</si>
  <si>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</si>
  <si>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</si>
  <si>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</si>
  <si>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</si>
  <si>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</si>
  <si>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</si>
  <si>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</si>
  <si>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</si>
  <si>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</si>
  <si>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</si>
  <si>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</si>
  <si>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</si>
  <si>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</si>
  <si>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</si>
  <si>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</si>
  <si>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</si>
  <si>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</si>
  <si>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</si>
  <si>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</si>
  <si>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</si>
  <si>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</si>
  <si>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</si>
  <si>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</si>
  <si>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</si>
  <si>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</si>
  <si>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</si>
  <si>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</si>
  <si>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</si>
  <si>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</si>
  <si>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</si>
  <si>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</si>
  <si>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</si>
  <si>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</si>
  <si>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</si>
  <si>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</si>
  <si>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</si>
  <si>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</si>
  <si>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</si>
  <si>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</si>
  <si>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</si>
  <si>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</si>
  <si>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</si>
  <si>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</si>
  <si>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</si>
  <si>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</si>
  <si>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</si>
  <si>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</si>
  <si>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</si>
  <si>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</si>
  <si>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</si>
  <si>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</si>
  <si>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</si>
  <si>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</si>
  <si>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</si>
  <si>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</si>
  <si>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</si>
  <si>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</si>
  <si>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</si>
  <si>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</si>
  <si>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</si>
  <si>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</si>
  <si>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</si>
  <si>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</si>
  <si>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</si>
  <si>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</si>
  <si>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</si>
  <si>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</si>
  <si>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</si>
  <si>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</si>
  <si>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</si>
  <si>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</si>
  <si>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</si>
  <si>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</si>
  <si>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</si>
  <si>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</si>
  <si>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</si>
  <si>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</si>
  <si>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</si>
  <si>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</si>
  <si>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</si>
  <si>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</si>
  <si>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</si>
  <si>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</si>
  <si>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</si>
  <si>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</si>
  <si>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</si>
  <si>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</si>
  <si>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</si>
  <si>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</si>
  <si>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</si>
  <si>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</si>
  <si>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</si>
  <si>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</si>
  <si>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</si>
  <si>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</si>
  <si>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</si>
  <si>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</si>
  <si>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</si>
  <si>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</si>
  <si>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</si>
  <si>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</si>
  <si>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</si>
  <si>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</si>
  <si>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</si>
  <si>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</si>
  <si>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</si>
  <si>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</si>
  <si>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</si>
  <si>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</si>
  <si>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</si>
  <si>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</si>
  <si>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</si>
  <si>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</si>
  <si>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</si>
  <si>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</si>
  <si>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</si>
  <si>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</si>
  <si>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</si>
  <si>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</si>
  <si>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</si>
  <si>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</si>
  <si>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</si>
  <si>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</si>
  <si>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</si>
  <si>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</si>
  <si>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</si>
  <si>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</si>
  <si>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</si>
  <si>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</si>
  <si>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</si>
  <si>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</si>
  <si>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</si>
  <si>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</si>
  <si>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</si>
  <si>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</si>
  <si>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</si>
  <si>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</si>
  <si>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</si>
  <si>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</si>
  <si>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</si>
  <si>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</si>
  <si>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</si>
  <si>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</si>
  <si>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</si>
  <si>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</si>
  <si>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</si>
  <si>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</si>
  <si>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</si>
  <si>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</si>
  <si>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</si>
  <si>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</si>
  <si>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</si>
  <si>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</si>
  <si>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</si>
  <si>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</si>
  <si>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</si>
  <si>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</si>
  <si>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</si>
  <si>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</si>
  <si>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</si>
  <si>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</si>
  <si>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</si>
  <si>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</si>
  <si>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</si>
  <si>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</si>
  <si>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</si>
  <si>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</si>
  <si>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</si>
  <si>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</si>
  <si>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</si>
  <si>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</si>
  <si>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</si>
  <si>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</si>
  <si>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</si>
  <si>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</si>
  <si>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</si>
  <si>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</si>
  <si>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</si>
  <si>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</si>
  <si>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</si>
  <si>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</si>
  <si>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</si>
  <si>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</si>
  <si>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</si>
  <si>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</si>
  <si>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</si>
  <si>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</si>
  <si>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</si>
  <si>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</si>
  <si>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</si>
  <si>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</si>
  <si>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</si>
  <si>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</si>
  <si>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</si>
  <si>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</si>
  <si>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</si>
  <si>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</si>
  <si>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</si>
  <si>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</si>
  <si>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</si>
  <si>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</si>
  <si>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</si>
  <si>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</si>
  <si>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</si>
  <si>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</si>
  <si>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</si>
  <si>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</si>
  <si>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</si>
  <si>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</si>
  <si>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</si>
  <si>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</si>
  <si>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</si>
  <si>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</si>
  <si>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</si>
  <si>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</si>
  <si>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</si>
  <si>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</si>
  <si>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</si>
  <si>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</si>
  <si>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</si>
  <si>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</si>
  <si>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</si>
  <si>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</si>
  <si>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</si>
  <si>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</si>
  <si>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</si>
  <si>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</si>
  <si>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</si>
  <si>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</si>
  <si>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</si>
  <si>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</si>
  <si>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</si>
  <si>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</si>
  <si>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</si>
  <si>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</si>
  <si>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</si>
  <si>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</si>
  <si>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</si>
  <si>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</si>
  <si>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</si>
  <si>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</si>
  <si>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</si>
  <si>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</si>
  <si>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</si>
  <si>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</si>
  <si>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</si>
  <si>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</si>
  <si>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</si>
  <si>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</si>
  <si>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</si>
  <si>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</si>
  <si>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</si>
  <si>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</si>
  <si>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</si>
  <si>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</si>
  <si>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</si>
  <si>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</si>
  <si>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</si>
  <si>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</si>
  <si>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</si>
  <si>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</si>
  <si>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</si>
  <si>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</si>
  <si>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</si>
  <si>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</si>
  <si>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</si>
  <si>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</si>
  <si>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</si>
  <si>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</si>
  <si>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</si>
  <si>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</si>
  <si>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</si>
  <si>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</si>
  <si>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</si>
  <si>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</si>
  <si>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</si>
  <si>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</si>
  <si>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</si>
  <si>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</si>
  <si>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</si>
  <si>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</si>
  <si>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</si>
  <si>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</si>
  <si>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</si>
  <si>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</si>
  <si>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</si>
  <si>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</si>
  <si>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</si>
  <si>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</si>
  <si>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</si>
  <si>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</si>
  <si>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</si>
  <si>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</si>
  <si>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</si>
  <si>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</si>
  <si>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</si>
  <si>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</si>
  <si>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</si>
  <si>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</si>
  <si>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</si>
  <si>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</si>
  <si>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</si>
  <si>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</si>
  <si>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</si>
  <si>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</si>
  <si>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</si>
  <si>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</si>
  <si>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</si>
  <si>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</si>
  <si>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</si>
  <si>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</si>
  <si>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</si>
  <si>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</si>
  <si>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</si>
  <si>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</si>
  <si>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</si>
  <si>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</si>
  <si>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</si>
  <si>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</si>
  <si>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</si>
  <si>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</si>
  <si>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</si>
  <si>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</si>
  <si>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</si>
  <si>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</si>
  <si>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</si>
  <si>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</si>
  <si>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</si>
  <si>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</si>
  <si>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</si>
  <si>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</si>
  <si>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</si>
  <si>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</si>
  <si>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</si>
  <si>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</si>
  <si>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</si>
  <si>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</si>
  <si>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</si>
  <si>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</si>
  <si>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</si>
  <si>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</si>
  <si>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</si>
  <si>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</si>
  <si>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</si>
  <si>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</si>
  <si>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</si>
  <si>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</si>
  <si>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</si>
  <si>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</si>
  <si>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</si>
  <si>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</si>
  <si>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</si>
  <si>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</si>
  <si>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</si>
  <si>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</si>
  <si>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</si>
  <si>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</si>
  <si>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</si>
  <si>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</si>
  <si>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</si>
  <si>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</si>
  <si>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</si>
  <si>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</si>
  <si>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</si>
  <si>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</si>
  <si>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</si>
  <si>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</si>
  <si>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</si>
  <si>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</si>
  <si>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</si>
  <si>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</si>
  <si>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</si>
  <si>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</si>
  <si>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</si>
  <si>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</si>
  <si>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</si>
  <si>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</si>
  <si>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</si>
  <si>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</si>
  <si>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</si>
  <si>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</si>
  <si>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</si>
  <si>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</si>
  <si>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</si>
  <si>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</si>
  <si>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</si>
  <si>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</si>
  <si>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</si>
  <si>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</si>
  <si>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</si>
  <si>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</si>
  <si>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</si>
  <si>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</si>
  <si>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</si>
  <si>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</si>
  <si>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</si>
  <si>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</si>
  <si>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</si>
  <si>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</si>
  <si>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</si>
  <si>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</si>
  <si>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</si>
  <si>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</si>
  <si>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</si>
  <si>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</si>
  <si>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</si>
  <si>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</si>
  <si>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</si>
  <si>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</si>
  <si>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</si>
  <si>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</si>
  <si>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</si>
  <si>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</si>
  <si>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</si>
  <si>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</si>
  <si>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</si>
  <si>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</si>
  <si>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</si>
  <si>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</si>
  <si>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</si>
  <si>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</si>
  <si>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</si>
  <si>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</si>
  <si>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</si>
  <si>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</si>
  <si>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</si>
  <si>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</si>
  <si>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</si>
  <si>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</si>
  <si>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</si>
  <si>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</si>
  <si>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</si>
  <si>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</si>
  <si>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</si>
  <si>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</si>
  <si>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</si>
  <si>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</si>
  <si>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</si>
  <si>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</si>
  <si>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</si>
  <si>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</si>
  <si>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</si>
  <si>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</si>
  <si>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</si>
  <si>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</si>
  <si>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</si>
  <si>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</si>
  <si>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</si>
  <si>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</si>
  <si>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</si>
  <si>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</si>
  <si>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</si>
  <si>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</si>
  <si>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</si>
  <si>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</si>
  <si>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</si>
  <si>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</si>
  <si>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</si>
  <si>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</si>
  <si>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</si>
  <si>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</si>
  <si>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</si>
  <si>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</si>
  <si>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</si>
  <si>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</si>
  <si>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</si>
  <si>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</si>
  <si>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</si>
  <si>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</si>
  <si>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</si>
  <si>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</si>
  <si>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</si>
  <si>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</si>
  <si>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</si>
  <si>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</si>
  <si>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</si>
  <si>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</si>
  <si>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</si>
  <si>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</si>
  <si>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</si>
  <si>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</si>
  <si>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</si>
  <si>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</si>
  <si>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</si>
  <si>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</si>
  <si>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</si>
  <si>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</si>
  <si>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</si>
  <si>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</si>
  <si>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</si>
  <si>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</si>
  <si>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</si>
  <si>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</si>
  <si>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</si>
  <si>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</si>
  <si>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</si>
  <si>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</si>
  <si>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</si>
  <si>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</si>
  <si>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</si>
  <si>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</si>
  <si>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</si>
  <si>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</si>
  <si>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</si>
  <si>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</si>
  <si>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</si>
  <si>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</si>
  <si>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</si>
  <si>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</si>
  <si>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</si>
  <si>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</si>
  <si>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</si>
  <si>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</si>
  <si>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</si>
  <si>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</si>
  <si>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</si>
  <si>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</si>
  <si>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</si>
  <si>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</si>
  <si>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</si>
  <si>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</si>
  <si>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</si>
  <si>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</si>
  <si>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</si>
  <si>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</si>
  <si>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</si>
  <si>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</si>
  <si>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</si>
  <si>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</si>
  <si>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</si>
  <si>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</si>
  <si>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</si>
  <si>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</si>
  <si>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</si>
  <si>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</si>
  <si>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</si>
  <si>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</si>
  <si>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</si>
  <si>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</si>
  <si>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普通装修</t>
  </si>
  <si>
    <t>比较法-住宅</t>
  </si>
  <si>
    <t>单套模式</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</si>
  <si>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</si>
  <si>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</si>
  <si>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</si>
  <si>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出让</t>
  </si>
  <si>
    <t>景文东路1号院16号楼5层2单元501</t>
  </si>
  <si>
    <t>融创长滩壹号</t>
  </si>
  <si>
    <t>郭岩</t>
  </si>
  <si>
    <t>10（-1）</t>
  </si>
  <si>
    <t>9（-1）</t>
  </si>
  <si>
    <t>景文东路1号院15号楼9层3单元902</t>
  </si>
  <si>
    <t>景文东路1号院19号楼5层1单元502</t>
  </si>
  <si>
    <t>景文东路1号院16号楼1层4单元101</t>
  </si>
  <si>
    <t>景文东路1号院12号楼1至2层1单元101</t>
  </si>
  <si>
    <t>4（-01）</t>
  </si>
  <si>
    <t>景文东路1号院10号楼1至2层1单元101号</t>
  </si>
  <si>
    <t>景文东路1号院8号楼1至2层1单元101号</t>
  </si>
  <si>
    <t>4（-1）</t>
  </si>
  <si>
    <t>景文东路4号院11号楼4层2单元402</t>
  </si>
  <si>
    <t>金科廊桥水岸</t>
  </si>
  <si>
    <t>6（-02）</t>
  </si>
  <si>
    <t>景文东路4号院4号楼5至6层3单元502</t>
  </si>
  <si>
    <t>景文东路4号院1号楼3至4层2单元302</t>
  </si>
  <si>
    <t>6（-2）</t>
  </si>
  <si>
    <t>收益法1</t>
  </si>
  <si>
    <t>收益法1</t>
    <phoneticPr fontId="18" type="noConversion"/>
  </si>
  <si>
    <t>https://sf-item.taobao.com/sf_item/677699788979.htm?spm=a213w.7398504.paiList.1.4dab6f51PHANE9&amp;track_id=87259466-e904-48cf-82bc-047bc530e3ac</t>
    <phoneticPr fontId="136" type="noConversion"/>
  </si>
  <si>
    <t>北京市昌平区景文东路1号院11号楼3至4层2单元301</t>
    <phoneticPr fontId="136" type="noConversion"/>
  </si>
  <si>
    <t>成交价</t>
    <phoneticPr fontId="136" type="noConversion"/>
  </si>
  <si>
    <t>评估价</t>
    <phoneticPr fontId="136" type="noConversion"/>
  </si>
  <si>
    <t>面积</t>
    <phoneticPr fontId="136" type="noConversion"/>
  </si>
  <si>
    <t>景文东路1号院20号楼7层4单元702</t>
    <phoneticPr fontId="136" type="noConversion"/>
  </si>
  <si>
    <t>融创长滩壹号</t>
    <phoneticPr fontId="136" type="noConversion"/>
  </si>
  <si>
    <t>7-8/8(顶层）</t>
    <phoneticPr fontId="26" type="noConversion"/>
  </si>
  <si>
    <t>南北</t>
    <phoneticPr fontId="136" type="noConversion"/>
  </si>
  <si>
    <t>5/10(中楼层）</t>
    <phoneticPr fontId="26" type="noConversion"/>
  </si>
  <si>
    <t>7/9(高楼层）</t>
    <phoneticPr fontId="26" type="noConversion"/>
  </si>
  <si>
    <t>2/6(低楼层）</t>
    <phoneticPr fontId="26" type="noConversion"/>
  </si>
  <si>
    <t>小高层板楼</t>
  </si>
  <si>
    <t>精装修</t>
  </si>
  <si>
    <t>复式</t>
  </si>
  <si>
    <t>复式</t>
    <phoneticPr fontId="26" type="noConversion"/>
  </si>
  <si>
    <t>Ⅷ-昌1</t>
  </si>
  <si>
    <t>城镇住宅用地</t>
  </si>
  <si>
    <t>自定义容积率</t>
  </si>
  <si>
    <t>与级别开发程度不一致</t>
  </si>
  <si>
    <t>有</t>
  </si>
  <si>
    <t>1000米以外</t>
  </si>
  <si>
    <t>通路</t>
  </si>
  <si>
    <t>通电</t>
  </si>
  <si>
    <t>通讯</t>
  </si>
  <si>
    <t>通上水</t>
  </si>
  <si>
    <t>通下水</t>
  </si>
  <si>
    <t>燃气</t>
  </si>
  <si>
    <t>平整</t>
  </si>
  <si>
    <t>好</t>
  </si>
  <si>
    <t>未包含在土地购买价格中</t>
  </si>
  <si>
    <t>已包含在土地取得成本中</t>
  </si>
  <si>
    <t>全部缴纳</t>
  </si>
  <si>
    <t>成本法</t>
  </si>
  <si>
    <t>金科廊桥水岸</t>
    <phoneticPr fontId="136" type="noConversion"/>
  </si>
  <si>
    <t>融创长滩壹号</t>
    <phoneticPr fontId="136" type="noConversion"/>
  </si>
  <si>
    <t>景文东路4号院9号楼2层2单元201</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</si>
</sst>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8"/>
      <color rgb="FF999999"/>
      <name val="Arial"/>
      <family val="2"/>
    </font>
    <font>
      <sz val="10"/>
      <color rgb="FF333333"/>
      <name val="Arial"/>
      <family val="2"/>
    </font>
    <font>
      <sz val="6"/>
      <color rgb="FF000000"/>
      <name val="Microsoft YaHei"/>
      <family val="2"/>
      <charset val="134"/>
    </font>
    <font>
      <sz val="6"/>
      <color theme="1"/>
      <name val="宋体"/>
      <family val="3"/>
      <charset val="134"/>
      <scheme val="minor"/>
    </font>
    <font>
      <sz val="6"/>
      <color rgb="FF333333"/>
      <name val="Microsoft YaHei"/>
      <family val="2"/>
      <charset val="134"/>
    </font>
    <font>
      <sz val="6"/>
      <name val="Microsoft YaHei"/>
      <family val="2"/>
      <charset val="134"/>
    </font>
    <font>
      <sz val="6"/>
      <name val="宋体"/>
      <family val="3"/>
      <charset val="134"/>
      <scheme val="minor"/>
    </font>
    <font>
      <sz val="6"/>
      <color rgb="FFFF0000"/>
      <name val="Microsoft YaHei"/>
      <family val="2"/>
      <charset val="134"/>
    </font>
    <font>
      <sz val="6"/>
      <color rgb="FFFF0000"/>
      <name val="宋体"/>
      <family val="3"/>
      <charset val="134"/>
      <scheme val="minor"/>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7" fillId="0" borderId="0" applyNumberFormat="0" applyFill="0" applyBorder="0" applyAlignment="0" applyProtection="0">
      <alignment vertical="center"/>
    </xf>
  </cellStyleXfs>
  <cellXfs count="364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130" fillId="12" borderId="0" xfId="0" applyFont="1" applyFill="1" applyProtection="1">
      <alignment vertical="center"/>
      <protection locked="0"/>
    </xf>
    <xf numFmtId="0" fontId="288" fillId="0" borderId="0" xfId="0" applyFont="1">
      <alignment vertical="center"/>
    </xf>
    <xf numFmtId="0" fontId="289" fillId="0" borderId="0" xfId="0" applyFont="1">
      <alignment vertical="center"/>
    </xf>
    <xf numFmtId="0" fontId="54" fillId="9" borderId="24" xfId="0" applyFont="1" applyFill="1" applyBorder="1" applyAlignment="1">
      <alignment horizontal="center" vertical="center"/>
    </xf>
    <xf numFmtId="10" fontId="49" fillId="9" borderId="24" xfId="0" applyNumberFormat="1"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87" fillId="0" borderId="0" xfId="0" applyFont="1">
      <alignment vertical="center"/>
    </xf>
    <xf numFmtId="2" fontId="287" fillId="0" borderId="0" xfId="0" applyNumberFormat="1" applyFont="1">
      <alignment vertical="center"/>
    </xf>
    <xf numFmtId="2" fontId="287" fillId="5" borderId="0" xfId="0" applyNumberFormat="1" applyFont="1" applyFill="1">
      <alignment vertical="center"/>
    </xf>
    <xf numFmtId="0" fontId="290" fillId="23" borderId="176" xfId="0" applyFont="1" applyFill="1" applyBorder="1" applyAlignment="1">
      <alignment horizontal="center" vertical="center" wrapText="1"/>
    </xf>
    <xf numFmtId="0" fontId="291" fillId="0" borderId="0" xfId="0" applyFont="1">
      <alignment vertical="center"/>
    </xf>
    <xf numFmtId="0" fontId="292" fillId="23" borderId="176" xfId="0" applyFont="1" applyFill="1" applyBorder="1" applyAlignment="1">
      <alignment horizontal="center" vertical="center" wrapText="1"/>
    </xf>
    <xf numFmtId="31" fontId="292" fillId="23" borderId="176" xfId="0" applyNumberFormat="1" applyFont="1" applyFill="1" applyBorder="1" applyAlignment="1">
      <alignment horizontal="center" vertical="center" wrapText="1"/>
    </xf>
    <xf numFmtId="0" fontId="293" fillId="23" borderId="176" xfId="0" applyFont="1" applyFill="1" applyBorder="1" applyAlignment="1">
      <alignment horizontal="center" vertical="center" wrapText="1"/>
    </xf>
    <xf numFmtId="31" fontId="293" fillId="23" borderId="176" xfId="0" applyNumberFormat="1" applyFont="1" applyFill="1" applyBorder="1" applyAlignment="1">
      <alignment horizontal="center" vertical="center" wrapText="1"/>
    </xf>
    <xf numFmtId="0" fontId="294" fillId="0" borderId="0" xfId="0" applyFont="1">
      <alignment vertical="center"/>
    </xf>
    <xf numFmtId="58" fontId="292" fillId="23" borderId="176" xfId="0" applyNumberFormat="1" applyFont="1" applyFill="1" applyBorder="1" applyAlignment="1">
      <alignment horizontal="center" vertical="center" wrapText="1"/>
    </xf>
    <xf numFmtId="0" fontId="295" fillId="23" borderId="176" xfId="0" applyFont="1" applyFill="1" applyBorder="1" applyAlignment="1">
      <alignment horizontal="center" vertical="center" wrapText="1"/>
    </xf>
    <xf numFmtId="31" fontId="295" fillId="23" borderId="176" xfId="0" applyNumberFormat="1" applyFont="1" applyFill="1" applyBorder="1" applyAlignment="1">
      <alignment horizontal="center" vertical="center" wrapText="1"/>
    </xf>
    <xf numFmtId="0" fontId="296" fillId="0" borderId="0" xfId="0" applyFont="1">
      <alignment vertical="center"/>
    </xf>
    <xf numFmtId="0" fontId="297" fillId="0" borderId="0" xfId="20">
      <alignment vertical="center"/>
    </xf>
    <xf numFmtId="58" fontId="293" fillId="23" borderId="176" xfId="0" applyNumberFormat="1" applyFont="1" applyFill="1" applyBorder="1" applyAlignment="1">
      <alignment horizontal="center" vertical="center" wrapText="1"/>
    </xf>
    <xf numFmtId="2" fontId="0" fillId="0" borderId="0" xfId="0" applyNumberFormat="1">
      <alignment vertical="center"/>
    </xf>
    <xf numFmtId="183" fontId="46" fillId="9" borderId="70" xfId="0" applyNumberFormat="1" applyFont="1" applyFill="1" applyBorder="1" applyAlignment="1" applyProtection="1">
      <alignment horizontal="center" vertical="center" wrapText="1"/>
      <protection locked="0"/>
    </xf>
    <xf numFmtId="0" fontId="46" fillId="9" borderId="34" xfId="0" applyFont="1" applyFill="1" applyBorder="1" applyAlignment="1">
      <alignment horizontal="center" vertical="center" wrapText="1"/>
    </xf>
    <xf numFmtId="0" fontId="46" fillId="9" borderId="67" xfId="0" applyFont="1" applyFill="1" applyBorder="1" applyAlignment="1">
      <alignment horizontal="center" vertical="center" wrapText="1"/>
    </xf>
    <xf numFmtId="49" fontId="53" fillId="9" borderId="23" xfId="0" applyNumberFormat="1" applyFont="1" applyFill="1" applyBorder="1" applyAlignment="1" applyProtection="1">
      <alignment horizontal="center" vertical="center" wrapText="1"/>
      <protection locked="0"/>
    </xf>
    <xf numFmtId="0" fontId="53" fillId="9" borderId="5" xfId="0" applyFont="1" applyFill="1" applyBorder="1" applyAlignment="1">
      <alignment horizontal="center" vertical="center" wrapText="1"/>
    </xf>
    <xf numFmtId="0" fontId="53" fillId="9" borderId="24" xfId="0" applyFont="1" applyFill="1" applyBorder="1" applyAlignment="1">
      <alignment horizontal="center" vertical="center" wrapText="1"/>
    </xf>
    <xf numFmtId="186" fontId="52" fillId="5" borderId="84" xfId="0" applyNumberFormat="1" applyFont="1" applyFill="1" applyBorder="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38101</xdr:rowOff>
    </xdr:from>
    <xdr:to>
      <xdr:col>5</xdr:col>
      <xdr:colOff>380513</xdr:colOff>
      <xdr:row>61</xdr:row>
      <xdr:rowOff>6351</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0" y="7791451"/>
          <a:ext cx="3428513" cy="2882900"/>
        </a:xfrm>
        <a:prstGeom prst="rect">
          <a:avLst/>
        </a:prstGeom>
      </xdr:spPr>
    </xdr:pic>
    <xdr:clientData/>
  </xdr:twoCellAnchor>
  <xdr:twoCellAnchor editAs="oneCell">
    <xdr:from>
      <xdr:col>5</xdr:col>
      <xdr:colOff>215900</xdr:colOff>
      <xdr:row>20</xdr:row>
      <xdr:rowOff>44450</xdr:rowOff>
    </xdr:from>
    <xdr:to>
      <xdr:col>11</xdr:col>
      <xdr:colOff>133073</xdr:colOff>
      <xdr:row>47</xdr:row>
      <xdr:rowOff>56693</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3263900" y="6286500"/>
          <a:ext cx="3574773" cy="2926893"/>
        </a:xfrm>
        <a:prstGeom prst="rect">
          <a:avLst/>
        </a:prstGeom>
      </xdr:spPr>
    </xdr:pic>
    <xdr:clientData/>
  </xdr:twoCellAnchor>
  <xdr:twoCellAnchor editAs="oneCell">
    <xdr:from>
      <xdr:col>5</xdr:col>
      <xdr:colOff>177801</xdr:colOff>
      <xdr:row>43</xdr:row>
      <xdr:rowOff>55404</xdr:rowOff>
    </xdr:from>
    <xdr:to>
      <xdr:col>11</xdr:col>
      <xdr:colOff>361951</xdr:colOff>
      <xdr:row>72</xdr:row>
      <xdr:rowOff>31301</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3225801" y="8780304"/>
          <a:ext cx="3841750" cy="3106447"/>
        </a:xfrm>
        <a:prstGeom prst="rect">
          <a:avLst/>
        </a:prstGeom>
      </xdr:spPr>
    </xdr:pic>
    <xdr:clientData/>
  </xdr:twoCellAnchor>
  <xdr:twoCellAnchor editAs="oneCell">
    <xdr:from>
      <xdr:col>5</xdr:col>
      <xdr:colOff>285750</xdr:colOff>
      <xdr:row>57</xdr:row>
      <xdr:rowOff>38100</xdr:rowOff>
    </xdr:from>
    <xdr:to>
      <xdr:col>12</xdr:col>
      <xdr:colOff>199502</xdr:colOff>
      <xdr:row>78</xdr:row>
      <xdr:rowOff>94959</xdr:rowOff>
    </xdr:to>
    <xdr:pic>
      <xdr:nvPicPr>
        <xdr:cNvPr id="5" name="图片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4"/>
        <a:stretch>
          <a:fillRect/>
        </a:stretch>
      </xdr:blipFill>
      <xdr:spPr>
        <a:xfrm>
          <a:off x="3333750" y="10274300"/>
          <a:ext cx="4180952" cy="2323809"/>
        </a:xfrm>
        <a:prstGeom prst="rect">
          <a:avLst/>
        </a:prstGeom>
      </xdr:spPr>
    </xdr:pic>
    <xdr:clientData/>
  </xdr:twoCellAnchor>
  <xdr:twoCellAnchor editAs="oneCell">
    <xdr:from>
      <xdr:col>0</xdr:col>
      <xdr:colOff>0</xdr:colOff>
      <xdr:row>12</xdr:row>
      <xdr:rowOff>395122</xdr:rowOff>
    </xdr:from>
    <xdr:to>
      <xdr:col>14</xdr:col>
      <xdr:colOff>166767</xdr:colOff>
      <xdr:row>24</xdr:row>
      <xdr:rowOff>47401</xdr:rowOff>
    </xdr:to>
    <xdr:pic>
      <xdr:nvPicPr>
        <xdr:cNvPr id="6" name="图片 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5"/>
        <a:stretch>
          <a:fillRect/>
        </a:stretch>
      </xdr:blipFill>
      <xdr:spPr>
        <a:xfrm>
          <a:off x="0" y="5437022"/>
          <a:ext cx="8701167" cy="1284229"/>
        </a:xfrm>
        <a:prstGeom prst="rect">
          <a:avLst/>
        </a:prstGeom>
      </xdr:spPr>
    </xdr:pic>
    <xdr:clientData/>
  </xdr:twoCellAnchor>
  <xdr:twoCellAnchor editAs="oneCell">
    <xdr:from>
      <xdr:col>11</xdr:col>
      <xdr:colOff>247650</xdr:colOff>
      <xdr:row>26</xdr:row>
      <xdr:rowOff>38100</xdr:rowOff>
    </xdr:from>
    <xdr:to>
      <xdr:col>17</xdr:col>
      <xdr:colOff>561474</xdr:colOff>
      <xdr:row>43</xdr:row>
      <xdr:rowOff>69617</xdr:rowOff>
    </xdr:to>
    <xdr:pic>
      <xdr:nvPicPr>
        <xdr:cNvPr id="7" name="图片 6">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6"/>
        <a:stretch>
          <a:fillRect/>
        </a:stretch>
      </xdr:blipFill>
      <xdr:spPr>
        <a:xfrm>
          <a:off x="6953250" y="6927850"/>
          <a:ext cx="4009524" cy="1866667"/>
        </a:xfrm>
        <a:prstGeom prst="rect">
          <a:avLst/>
        </a:prstGeom>
      </xdr:spPr>
    </xdr:pic>
    <xdr:clientData/>
  </xdr:twoCellAnchor>
  <xdr:twoCellAnchor editAs="oneCell">
    <xdr:from>
      <xdr:col>11</xdr:col>
      <xdr:colOff>381000</xdr:colOff>
      <xdr:row>44</xdr:row>
      <xdr:rowOff>50800</xdr:rowOff>
    </xdr:from>
    <xdr:to>
      <xdr:col>19</xdr:col>
      <xdr:colOff>418481</xdr:colOff>
      <xdr:row>98</xdr:row>
      <xdr:rowOff>31024</xdr:rowOff>
    </xdr:to>
    <xdr:pic>
      <xdr:nvPicPr>
        <xdr:cNvPr id="8" name="图片 7">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7"/>
        <a:stretch>
          <a:fillRect/>
        </a:stretch>
      </xdr:blipFill>
      <xdr:spPr>
        <a:xfrm>
          <a:off x="7086600" y="8883650"/>
          <a:ext cx="4952381"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6</xdr:row>
      <xdr:rowOff>139089</xdr:rowOff>
    </xdr:from>
    <xdr:to>
      <xdr:col>4</xdr:col>
      <xdr:colOff>259560</xdr:colOff>
      <xdr:row>21</xdr:row>
      <xdr:rowOff>31717</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22860" y="1236369"/>
          <a:ext cx="5624040" cy="2635828"/>
        </a:xfrm>
        <a:prstGeom prst="rect">
          <a:avLst/>
        </a:prstGeom>
      </xdr:spPr>
    </xdr:pic>
    <xdr:clientData/>
  </xdr:twoCellAnchor>
  <xdr:twoCellAnchor editAs="oneCell">
    <xdr:from>
      <xdr:col>8</xdr:col>
      <xdr:colOff>0</xdr:colOff>
      <xdr:row>8</xdr:row>
      <xdr:rowOff>0</xdr:rowOff>
    </xdr:from>
    <xdr:to>
      <xdr:col>19</xdr:col>
      <xdr:colOff>303924</xdr:colOff>
      <xdr:row>28</xdr:row>
      <xdr:rowOff>56686</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6347460" y="2560320"/>
          <a:ext cx="7009524" cy="3714286"/>
        </a:xfrm>
        <a:prstGeom prst="rect">
          <a:avLst/>
        </a:prstGeom>
      </xdr:spPr>
    </xdr:pic>
    <xdr:clientData/>
  </xdr:twoCellAnchor>
  <xdr:twoCellAnchor editAs="oneCell">
    <xdr:from>
      <xdr:col>11</xdr:col>
      <xdr:colOff>30480</xdr:colOff>
      <xdr:row>4</xdr:row>
      <xdr:rowOff>38100</xdr:rowOff>
    </xdr:from>
    <xdr:to>
      <xdr:col>23</xdr:col>
      <xdr:colOff>372423</xdr:colOff>
      <xdr:row>28</xdr:row>
      <xdr:rowOff>96599</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9875520" y="769620"/>
          <a:ext cx="7657143" cy="4447619"/>
        </a:xfrm>
        <a:prstGeom prst="rect">
          <a:avLst/>
        </a:prstGeom>
      </xdr:spPr>
    </xdr:pic>
    <xdr:clientData/>
  </xdr:twoCellAnchor>
  <xdr:twoCellAnchor editAs="oneCell">
    <xdr:from>
      <xdr:col>5</xdr:col>
      <xdr:colOff>198120</xdr:colOff>
      <xdr:row>6</xdr:row>
      <xdr:rowOff>152400</xdr:rowOff>
    </xdr:from>
    <xdr:to>
      <xdr:col>16</xdr:col>
      <xdr:colOff>406782</xdr:colOff>
      <xdr:row>42</xdr:row>
      <xdr:rowOff>149672</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6195060" y="1249680"/>
          <a:ext cx="7104762" cy="6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xmlns="" id="{00000000-0008-0000-21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132724</xdr:colOff>
      <xdr:row>23</xdr:row>
      <xdr:rowOff>98522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09524" cy="4304762"/>
        </a:xfrm>
        <a:prstGeom prst="rect">
          <a:avLst/>
        </a:prstGeom>
      </xdr:spPr>
    </xdr:pic>
    <xdr:clientData/>
  </xdr:twoCellAnchor>
  <xdr:twoCellAnchor editAs="oneCell">
    <xdr:from>
      <xdr:col>0</xdr:col>
      <xdr:colOff>0</xdr:colOff>
      <xdr:row>19</xdr:row>
      <xdr:rowOff>53340</xdr:rowOff>
    </xdr:from>
    <xdr:to>
      <xdr:col>25</xdr:col>
      <xdr:colOff>283809</xdr:colOff>
      <xdr:row>46</xdr:row>
      <xdr:rowOff>39389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28060"/>
          <a:ext cx="15523809" cy="4923809"/>
        </a:xfrm>
        <a:prstGeom prst="rect">
          <a:avLst/>
        </a:prstGeom>
      </xdr:spPr>
    </xdr:pic>
    <xdr:clientData/>
  </xdr:twoCellAnchor>
  <xdr:twoCellAnchor editAs="oneCell">
    <xdr:from>
      <xdr:col>1</xdr:col>
      <xdr:colOff>0</xdr:colOff>
      <xdr:row>48</xdr:row>
      <xdr:rowOff>0</xdr:rowOff>
    </xdr:from>
    <xdr:to>
      <xdr:col>12</xdr:col>
      <xdr:colOff>218209</xdr:colOff>
      <xdr:row>78</xdr:row>
      <xdr:rowOff>180267</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8778240"/>
          <a:ext cx="6923809" cy="56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167640</xdr:colOff>
      <xdr:row>11</xdr:row>
      <xdr:rowOff>101698</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5654040" cy="2113378"/>
        </a:xfrm>
        <a:prstGeom prst="rect">
          <a:avLst/>
        </a:prstGeom>
      </xdr:spPr>
    </xdr:pic>
    <xdr:clientData/>
  </xdr:twoCellAnchor>
  <xdr:twoCellAnchor editAs="oneCell">
    <xdr:from>
      <xdr:col>0</xdr:col>
      <xdr:colOff>0</xdr:colOff>
      <xdr:row>1</xdr:row>
      <xdr:rowOff>38100</xdr:rowOff>
    </xdr:from>
    <xdr:to>
      <xdr:col>9</xdr:col>
      <xdr:colOff>231657</xdr:colOff>
      <xdr:row>26</xdr:row>
      <xdr:rowOff>45720</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0" y="220980"/>
          <a:ext cx="5718057" cy="4579620"/>
        </a:xfrm>
        <a:prstGeom prst="rect">
          <a:avLst/>
        </a:prstGeom>
      </xdr:spPr>
    </xdr:pic>
    <xdr:clientData/>
  </xdr:twoCellAnchor>
  <xdr:twoCellAnchor editAs="oneCell">
    <xdr:from>
      <xdr:col>0</xdr:col>
      <xdr:colOff>0</xdr:colOff>
      <xdr:row>5</xdr:row>
      <xdr:rowOff>50325</xdr:rowOff>
    </xdr:from>
    <xdr:to>
      <xdr:col>9</xdr:col>
      <xdr:colOff>182880</xdr:colOff>
      <xdr:row>28</xdr:row>
      <xdr:rowOff>134218</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0" y="964725"/>
          <a:ext cx="5669280" cy="4290133"/>
        </a:xfrm>
        <a:prstGeom prst="rect">
          <a:avLst/>
        </a:prstGeom>
      </xdr:spPr>
    </xdr:pic>
    <xdr:clientData/>
  </xdr:twoCellAnchor>
  <xdr:twoCellAnchor editAs="oneCell">
    <xdr:from>
      <xdr:col>0</xdr:col>
      <xdr:colOff>0</xdr:colOff>
      <xdr:row>18</xdr:row>
      <xdr:rowOff>56485</xdr:rowOff>
    </xdr:from>
    <xdr:to>
      <xdr:col>9</xdr:col>
      <xdr:colOff>373380</xdr:colOff>
      <xdr:row>37</xdr:row>
      <xdr:rowOff>10632</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0" y="3348325"/>
          <a:ext cx="5859780" cy="3428867"/>
        </a:xfrm>
        <a:prstGeom prst="rect">
          <a:avLst/>
        </a:prstGeom>
      </xdr:spPr>
    </xdr:pic>
    <xdr:clientData/>
  </xdr:twoCellAnchor>
  <xdr:twoCellAnchor editAs="oneCell">
    <xdr:from>
      <xdr:col>14</xdr:col>
      <xdr:colOff>243840</xdr:colOff>
      <xdr:row>0</xdr:row>
      <xdr:rowOff>0</xdr:rowOff>
    </xdr:from>
    <xdr:to>
      <xdr:col>31</xdr:col>
      <xdr:colOff>307269</xdr:colOff>
      <xdr:row>9</xdr:row>
      <xdr:rowOff>77890</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8884920" y="0"/>
          <a:ext cx="10723809" cy="1723810"/>
        </a:xfrm>
        <a:prstGeom prst="rect">
          <a:avLst/>
        </a:prstGeom>
      </xdr:spPr>
    </xdr:pic>
    <xdr:clientData/>
  </xdr:twoCellAnchor>
  <xdr:twoCellAnchor editAs="oneCell">
    <xdr:from>
      <xdr:col>14</xdr:col>
      <xdr:colOff>30480</xdr:colOff>
      <xdr:row>32</xdr:row>
      <xdr:rowOff>15240</xdr:rowOff>
    </xdr:from>
    <xdr:to>
      <xdr:col>31</xdr:col>
      <xdr:colOff>93909</xdr:colOff>
      <xdr:row>41</xdr:row>
      <xdr:rowOff>131225</xdr:rowOff>
    </xdr:to>
    <xdr:pic>
      <xdr:nvPicPr>
        <xdr:cNvPr id="7" name="图片 6">
          <a:extLst>
            <a:ext uri="{FF2B5EF4-FFF2-40B4-BE49-F238E27FC236}">
              <a16:creationId xmlns:a16="http://schemas.microsoft.com/office/drawing/2014/main" xmlns="" id="{00000000-0008-0000-2300-000007000000}"/>
            </a:ext>
          </a:extLst>
        </xdr:cNvPr>
        <xdr:cNvPicPr>
          <a:picLocks noChangeAspect="1"/>
        </xdr:cNvPicPr>
      </xdr:nvPicPr>
      <xdr:blipFill>
        <a:blip xmlns:r="http://schemas.openxmlformats.org/officeDocument/2006/relationships" r:embed="rId6"/>
        <a:stretch>
          <a:fillRect/>
        </a:stretch>
      </xdr:blipFill>
      <xdr:spPr>
        <a:xfrm>
          <a:off x="8671560" y="5867400"/>
          <a:ext cx="10723809" cy="1761905"/>
        </a:xfrm>
        <a:prstGeom prst="rect">
          <a:avLst/>
        </a:prstGeom>
      </xdr:spPr>
    </xdr:pic>
    <xdr:clientData/>
  </xdr:twoCellAnchor>
  <xdr:twoCellAnchor editAs="oneCell">
    <xdr:from>
      <xdr:col>14</xdr:col>
      <xdr:colOff>60960</xdr:colOff>
      <xdr:row>21</xdr:row>
      <xdr:rowOff>68580</xdr:rowOff>
    </xdr:from>
    <xdr:to>
      <xdr:col>31</xdr:col>
      <xdr:colOff>219628</xdr:colOff>
      <xdr:row>31</xdr:row>
      <xdr:rowOff>182637</xdr:rowOff>
    </xdr:to>
    <xdr:pic>
      <xdr:nvPicPr>
        <xdr:cNvPr id="8" name="图片 7">
          <a:extLst>
            <a:ext uri="{FF2B5EF4-FFF2-40B4-BE49-F238E27FC236}">
              <a16:creationId xmlns:a16="http://schemas.microsoft.com/office/drawing/2014/main" xmlns="" id="{00000000-0008-0000-2300-000008000000}"/>
            </a:ext>
          </a:extLst>
        </xdr:cNvPr>
        <xdr:cNvPicPr>
          <a:picLocks noChangeAspect="1"/>
        </xdr:cNvPicPr>
      </xdr:nvPicPr>
      <xdr:blipFill>
        <a:blip xmlns:r="http://schemas.openxmlformats.org/officeDocument/2006/relationships" r:embed="rId7"/>
        <a:stretch>
          <a:fillRect/>
        </a:stretch>
      </xdr:blipFill>
      <xdr:spPr>
        <a:xfrm>
          <a:off x="8702040" y="3909060"/>
          <a:ext cx="10819048" cy="1942857"/>
        </a:xfrm>
        <a:prstGeom prst="rect">
          <a:avLst/>
        </a:prstGeom>
      </xdr:spPr>
    </xdr:pic>
    <xdr:clientData/>
  </xdr:twoCellAnchor>
  <xdr:twoCellAnchor editAs="oneCell">
    <xdr:from>
      <xdr:col>14</xdr:col>
      <xdr:colOff>190500</xdr:colOff>
      <xdr:row>10</xdr:row>
      <xdr:rowOff>30480</xdr:rowOff>
    </xdr:from>
    <xdr:to>
      <xdr:col>30</xdr:col>
      <xdr:colOff>511148</xdr:colOff>
      <xdr:row>20</xdr:row>
      <xdr:rowOff>144537</xdr:rowOff>
    </xdr:to>
    <xdr:pic>
      <xdr:nvPicPr>
        <xdr:cNvPr id="9" name="图片 8">
          <a:extLst>
            <a:ext uri="{FF2B5EF4-FFF2-40B4-BE49-F238E27FC236}">
              <a16:creationId xmlns:a16="http://schemas.microsoft.com/office/drawing/2014/main" xmlns="" id="{00000000-0008-0000-2300-000009000000}"/>
            </a:ext>
          </a:extLst>
        </xdr:cNvPr>
        <xdr:cNvPicPr>
          <a:picLocks noChangeAspect="1"/>
        </xdr:cNvPicPr>
      </xdr:nvPicPr>
      <xdr:blipFill>
        <a:blip xmlns:r="http://schemas.openxmlformats.org/officeDocument/2006/relationships" r:embed="rId8"/>
        <a:stretch>
          <a:fillRect/>
        </a:stretch>
      </xdr:blipFill>
      <xdr:spPr>
        <a:xfrm>
          <a:off x="8831580" y="1859280"/>
          <a:ext cx="10371428" cy="1942857"/>
        </a:xfrm>
        <a:prstGeom prst="rect">
          <a:avLst/>
        </a:prstGeom>
      </xdr:spPr>
    </xdr:pic>
    <xdr:clientData/>
  </xdr:twoCellAnchor>
  <xdr:twoCellAnchor editAs="oneCell">
    <xdr:from>
      <xdr:col>0</xdr:col>
      <xdr:colOff>525780</xdr:colOff>
      <xdr:row>8</xdr:row>
      <xdr:rowOff>137160</xdr:rowOff>
    </xdr:from>
    <xdr:to>
      <xdr:col>8</xdr:col>
      <xdr:colOff>210885</xdr:colOff>
      <xdr:row>40</xdr:row>
      <xdr:rowOff>85000</xdr:rowOff>
    </xdr:to>
    <xdr:pic>
      <xdr:nvPicPr>
        <xdr:cNvPr id="10" name="图片 9">
          <a:extLst>
            <a:ext uri="{FF2B5EF4-FFF2-40B4-BE49-F238E27FC236}">
              <a16:creationId xmlns:a16="http://schemas.microsoft.com/office/drawing/2014/main" xmlns="" id="{00000000-0008-0000-2300-00000A000000}"/>
            </a:ext>
          </a:extLst>
        </xdr:cNvPr>
        <xdr:cNvPicPr>
          <a:picLocks noChangeAspect="1"/>
        </xdr:cNvPicPr>
      </xdr:nvPicPr>
      <xdr:blipFill>
        <a:blip xmlns:r="http://schemas.openxmlformats.org/officeDocument/2006/relationships" r:embed="rId9"/>
        <a:stretch>
          <a:fillRect/>
        </a:stretch>
      </xdr:blipFill>
      <xdr:spPr>
        <a:xfrm>
          <a:off x="525780" y="1600200"/>
          <a:ext cx="4561905"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677699788979.htm?spm=a213w.7398504.paiList.1.4dab6f51PHANE9&amp;track_id=87259466-e904-48cf-82bc-047bc530e3ac"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估价对象为北京市房地产，为所有。根据《国有土地使用证》[]，估价对象（分摊）出让国有建设用地使用权面积为0平方米，建筑面积为293.87平方米。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估价对象为北京市房地产,属开发建设的，该项目尚在开发建设中。根据《国有土地使用证》[]，估价对象（分摊）出让国有建设用地使用权面积为0平方米，规划建筑面积为293.87平方米。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293.87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4" t="s">
        <v>4276</v>
      </c>
      <c r="C8" s="1442" t="s">
        <v>319</v>
      </c>
      <c r="F8" s="1443" t="s">
        <v>1027</v>
      </c>
      <c r="H8" s="1443" t="s">
        <v>2579</v>
      </c>
      <c r="I8" s="1443" t="s">
        <v>3344</v>
      </c>
    </row>
    <row r="9" spans="1:23">
      <c r="A9" s="1441" t="s">
        <v>1028</v>
      </c>
      <c r="B9" s="1441" t="s">
        <v>1029</v>
      </c>
      <c r="C9" s="1442" t="s">
        <v>320</v>
      </c>
      <c r="F9" s="1443" t="s">
        <v>1030</v>
      </c>
      <c r="H9" s="1443"/>
      <c r="I9" s="1445" t="s">
        <v>3345</v>
      </c>
    </row>
    <row r="10" spans="1:23">
      <c r="A10" s="1441" t="s">
        <v>1031</v>
      </c>
      <c r="B10" s="1441" t="s">
        <v>1032</v>
      </c>
      <c r="C10" s="1442" t="s">
        <v>321</v>
      </c>
      <c r="F10" s="1443" t="s">
        <v>2580</v>
      </c>
      <c r="I10" s="1445" t="s">
        <v>3346</v>
      </c>
    </row>
    <row r="11" spans="1:23">
      <c r="A11" s="1441" t="s">
        <v>1033</v>
      </c>
      <c r="B11" s="1441" t="s">
        <v>1034</v>
      </c>
      <c r="C11" s="1442" t="s">
        <v>322</v>
      </c>
      <c r="F11" s="1443" t="s">
        <v>13</v>
      </c>
      <c r="I11" s="1445" t="s">
        <v>3347</v>
      </c>
    </row>
    <row r="12" spans="1:23">
      <c r="A12" s="1441" t="s">
        <v>1035</v>
      </c>
      <c r="B12" s="1441" t="s">
        <v>1036</v>
      </c>
      <c r="C12" s="1442" t="s">
        <v>323</v>
      </c>
      <c r="I12" s="1445" t="s">
        <v>3348</v>
      </c>
    </row>
    <row r="13" spans="1:23">
      <c r="A13" s="1441" t="s">
        <v>1037</v>
      </c>
      <c r="B13" s="1441" t="s">
        <v>1038</v>
      </c>
      <c r="C13" s="1442" t="s">
        <v>324</v>
      </c>
      <c r="I13" s="1445" t="s">
        <v>3349</v>
      </c>
    </row>
    <row r="14" spans="1:23">
      <c r="A14" s="1441" t="s">
        <v>1039</v>
      </c>
      <c r="B14" s="1441" t="s">
        <v>1040</v>
      </c>
      <c r="C14" s="1443" t="s">
        <v>13</v>
      </c>
      <c r="I14" s="1445" t="s">
        <v>3350</v>
      </c>
    </row>
    <row r="15" spans="1:23">
      <c r="A15" s="1441" t="s">
        <v>1041</v>
      </c>
      <c r="B15" s="1441" t="s">
        <v>1042</v>
      </c>
      <c r="C15" s="1442"/>
      <c r="I15" s="1445" t="s">
        <v>3351</v>
      </c>
    </row>
    <row r="16" spans="1:23">
      <c r="A16" s="1441" t="s">
        <v>1043</v>
      </c>
      <c r="B16" s="1441" t="s">
        <v>312</v>
      </c>
      <c r="C16" s="1442"/>
    </row>
    <row r="17" spans="1:3">
      <c r="A17" s="1441" t="s">
        <v>1044</v>
      </c>
      <c r="B17" s="1441" t="s">
        <v>2292</v>
      </c>
      <c r="C17" s="1442"/>
    </row>
    <row r="18" spans="1:3">
      <c r="A18" s="1441" t="s">
        <v>1045</v>
      </c>
      <c r="B18" s="1441" t="s">
        <v>2435</v>
      </c>
      <c r="C18" s="1442"/>
    </row>
    <row r="19" spans="1:3">
      <c r="A19" s="1441" t="s">
        <v>1046</v>
      </c>
      <c r="B19" s="1441" t="s">
        <v>313</v>
      </c>
      <c r="C19" s="1442"/>
    </row>
    <row r="20" spans="1:3">
      <c r="A20" s="1441" t="s">
        <v>1047</v>
      </c>
      <c r="B20" s="1441" t="s">
        <v>4278</v>
      </c>
      <c r="C20" s="1442"/>
    </row>
    <row r="21" spans="1:3">
      <c r="A21" s="1441" t="s">
        <v>1048</v>
      </c>
      <c r="B21" s="1441" t="s">
        <v>4368</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4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5"/>
      <c r="B54" s="1447" t="s">
        <v>385</v>
      </c>
      <c r="C54" s="1445" t="s">
        <v>583</v>
      </c>
    </row>
    <row r="55" spans="1:4">
      <c r="A55" s="3345"/>
      <c r="B55" s="1447" t="s">
        <v>386</v>
      </c>
      <c r="C55" s="1445" t="s">
        <v>584</v>
      </c>
    </row>
    <row r="56" spans="1:4">
      <c r="A56" s="3345"/>
      <c r="B56" s="1447" t="s">
        <v>387</v>
      </c>
      <c r="C56" s="1445" t="s">
        <v>588</v>
      </c>
    </row>
    <row r="57" spans="1:4">
      <c r="A57" s="334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346" t="s">
        <v>2582</v>
      </c>
      <c r="J2" s="3346"/>
      <c r="K2" s="3346"/>
      <c r="L2" s="3346"/>
      <c r="M2" s="3346"/>
      <c r="N2" s="3346"/>
      <c r="O2" s="3346"/>
      <c r="P2" s="3346"/>
      <c r="Q2" s="3346"/>
      <c r="R2" s="3346"/>
    </row>
    <row r="3" spans="1:18">
      <c r="A3" s="2762" t="s">
        <v>2503</v>
      </c>
      <c r="B3" s="2763">
        <v>42825</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68392</v>
      </c>
      <c r="C5" s="2765">
        <f>ROUNDDOWN(MIN((B5-B3)/365,A5),2)</f>
        <v>40</v>
      </c>
      <c r="D5" s="2767">
        <f>IF(ISERROR(ROUND(POWER(1+E5,A5-C5)*(POWER(1+E5,C5)-1)/(POWER(1+E5,A5)-1),3)),0,ROUND(POWER(1+E5,A5-C5)*(POWER(1+E5,C5)-1)/(POWER(1+E5,A5)-1),4))</f>
        <v>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f>B5</f>
        <v>68392</v>
      </c>
      <c r="C6" s="2765">
        <f>ROUNDDOWN(MIN((B6-B3)/365,A6),2)</f>
        <v>50</v>
      </c>
      <c r="D6" s="2767">
        <f>IF(ISERROR(ROUND(POWER(1+E6,A6-C6)*(POWER(1+E6,C6)-1)/(POWER(1+E6,A6)-1),3)),0,ROUND(POWER(1+E6,A6-C6)*(POWER(1+E6,C6)-1)/(POWER(1+E6,A6)-1),4))</f>
        <v>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f>B5</f>
        <v>68392</v>
      </c>
      <c r="C7" s="2765">
        <f>ROUNDDOWN(MIN((B7-B3)/365,A7),2)</f>
        <v>70</v>
      </c>
      <c r="D7" s="2767">
        <f>IF(ISERROR(ROUND(POWER(1+E7,A7-C7)*(POWER(1+E7,C7)-1)/(POWER(1+E7,A7)-1),3)),0,ROUND(POWER(1+E7,A7-C7)*(POWER(1+E7,C7)-1)/(POWER(1+E7,A7)-1),4))</f>
        <v>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34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2168</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4">
        <v>45593</v>
      </c>
      <c r="C3" s="2185" t="s">
        <v>2170</v>
      </c>
      <c r="D3" s="2184">
        <f>B3</f>
        <v>45593</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t="s">
        <v>3381</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陈颖（注册号：0)、（注册号：0)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3377</v>
      </c>
      <c r="C8" s="2200"/>
      <c r="D8" s="3350" t="s">
        <v>2176</v>
      </c>
      <c r="E8" s="2201"/>
      <c r="F8" s="2202"/>
      <c r="G8" s="2441"/>
      <c r="H8" s="2441"/>
      <c r="I8" s="2441"/>
      <c r="J8" s="2244"/>
      <c r="K8" s="2399"/>
      <c r="L8" s="2398"/>
      <c r="M8" s="2398"/>
      <c r="N8" s="2244"/>
      <c r="O8" s="1670"/>
      <c r="P8" s="2244"/>
      <c r="Q8" s="2244"/>
      <c r="R8" s="2244"/>
    </row>
    <row r="9" spans="1:30" ht="13.8" thickBot="1">
      <c r="A9" s="2203" t="s">
        <v>2177</v>
      </c>
      <c r="B9" s="2204" t="s">
        <v>3382</v>
      </c>
      <c r="C9" s="2205"/>
      <c r="D9" s="3351"/>
      <c r="E9" s="2204"/>
      <c r="F9" s="2206"/>
      <c r="G9" s="2442"/>
      <c r="H9" s="2442"/>
      <c r="I9" s="2442"/>
      <c r="J9" s="2244"/>
      <c r="K9" s="2401"/>
      <c r="L9" s="2398"/>
      <c r="M9" s="2398"/>
      <c r="N9" s="2244"/>
      <c r="O9" s="1670"/>
      <c r="P9" s="2244"/>
      <c r="Q9" s="2244"/>
      <c r="R9" s="2244"/>
    </row>
    <row r="10" spans="1:30" ht="13.8" thickTop="1">
      <c r="A10" s="2207" t="s">
        <v>2178</v>
      </c>
      <c r="B10" s="2208" t="s">
        <v>3383</v>
      </c>
      <c r="C10" s="2209"/>
      <c r="D10" s="2192"/>
      <c r="E10" s="2210" t="s">
        <v>2179</v>
      </c>
      <c r="F10" s="2443"/>
      <c r="G10" s="2444"/>
      <c r="H10" s="2445"/>
      <c r="I10" s="2446"/>
      <c r="J10" s="2244"/>
      <c r="K10" s="2401"/>
      <c r="L10" s="2398"/>
      <c r="M10" s="2398"/>
      <c r="N10" s="2244"/>
      <c r="O10" s="1670"/>
      <c r="P10" s="2244"/>
      <c r="Q10" s="2244"/>
      <c r="R10" s="2244"/>
    </row>
    <row r="11" spans="1:30">
      <c r="A11" s="2211" t="s">
        <v>2180</v>
      </c>
      <c r="B11" s="2212" t="s">
        <v>3384</v>
      </c>
      <c r="C11" s="2213"/>
      <c r="D11" s="2214"/>
      <c r="E11" s="2181"/>
      <c r="F11" s="2181"/>
      <c r="G11" s="2181"/>
      <c r="H11" s="2181"/>
      <c r="I11" s="2181"/>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4347</v>
      </c>
      <c r="B13" s="2217" t="s">
        <v>2189</v>
      </c>
      <c r="C13" s="803">
        <v>66113</v>
      </c>
      <c r="D13" s="803"/>
      <c r="E13" s="803"/>
      <c r="F13" s="803"/>
      <c r="G13" s="803"/>
      <c r="H13" s="803"/>
      <c r="I13" s="803"/>
      <c r="J13" s="2802"/>
      <c r="K13" s="2398"/>
      <c r="L13" s="2398"/>
      <c r="M13" s="2244"/>
      <c r="N13" s="1670"/>
      <c r="O13" s="2244"/>
      <c r="P13" s="2244"/>
      <c r="Q13" s="2244"/>
      <c r="AD13" s="1618"/>
    </row>
    <row r="14" spans="1:30">
      <c r="A14" s="1018"/>
      <c r="B14" s="2217" t="s">
        <v>2190</v>
      </c>
      <c r="C14" s="2218">
        <v>70</v>
      </c>
      <c r="D14" s="2218"/>
      <c r="E14" s="2218"/>
      <c r="F14" s="2218"/>
      <c r="G14" s="2218"/>
      <c r="H14" s="2218"/>
      <c r="I14" s="2218"/>
      <c r="J14" s="2803"/>
      <c r="K14" s="2398"/>
      <c r="L14" s="2398"/>
      <c r="M14" s="2244"/>
      <c r="N14" s="1670"/>
      <c r="O14" s="2244"/>
      <c r="P14" s="2244"/>
      <c r="Q14" s="2244"/>
      <c r="AD14" s="1618"/>
    </row>
    <row r="15" spans="1:30">
      <c r="A15" s="312"/>
      <c r="B15" s="2219" t="s">
        <v>2191</v>
      </c>
      <c r="C15" s="2220">
        <f>IF(A13="出让",IF(C13="","",ROUNDDOWN(MIN((C13-$D$3)/365,C14),2)),C14)</f>
        <v>56.21</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357"/>
      <c r="C16" s="3358"/>
      <c r="D16" s="3359"/>
      <c r="E16" s="2221" t="s">
        <v>2193</v>
      </c>
      <c r="F16" s="3360"/>
      <c r="G16" s="3361"/>
      <c r="H16" s="3361"/>
      <c r="I16" s="3362"/>
      <c r="J16" s="2244"/>
      <c r="K16" s="2402"/>
      <c r="L16" s="1670"/>
      <c r="M16" s="1670"/>
      <c r="N16" s="2244"/>
      <c r="O16" s="1670"/>
      <c r="P16" s="2244"/>
      <c r="Q16" s="2244"/>
      <c r="R16" s="2244"/>
    </row>
    <row r="17" spans="1:28">
      <c r="A17" s="305" t="s">
        <v>2194</v>
      </c>
      <c r="B17" s="294" t="s">
        <v>2195</v>
      </c>
      <c r="C17" s="8">
        <f>'数据-汇总表'!E3</f>
        <v>293.87</v>
      </c>
      <c r="D17" s="1256" t="s">
        <v>2196</v>
      </c>
      <c r="E17" s="3363" t="s">
        <v>2197</v>
      </c>
      <c r="F17" s="3364"/>
      <c r="G17" s="3364"/>
      <c r="H17" s="3364"/>
      <c r="I17" s="3365"/>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366" t="s">
        <v>2201</v>
      </c>
      <c r="F18" s="3367"/>
      <c r="G18" s="3367"/>
      <c r="H18" s="3367"/>
      <c r="I18" s="3368"/>
      <c r="J18" s="2244"/>
      <c r="K18" s="2403"/>
      <c r="L18" s="1670"/>
      <c r="M18" s="1670"/>
      <c r="N18" s="2244"/>
      <c r="O18" s="1670"/>
      <c r="P18" s="2244"/>
      <c r="Q18" s="2244"/>
      <c r="R18" s="2244"/>
      <c r="S18" s="2244"/>
      <c r="T18" s="2244"/>
      <c r="U18" s="2244"/>
      <c r="V18" s="2244"/>
    </row>
    <row r="19" spans="1:28" ht="37.200000000000003" thickTop="1" thickBot="1">
      <c r="A19" s="319" t="s">
        <v>1054</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353" t="s">
        <v>2205</v>
      </c>
      <c r="C20" s="3354"/>
      <c r="D20" s="3355" t="s">
        <v>2206</v>
      </c>
      <c r="E20" s="3356"/>
      <c r="F20" s="2429" t="s">
        <v>1055</v>
      </c>
      <c r="G20" s="2441"/>
      <c r="H20" s="2441"/>
      <c r="I20" s="2441"/>
      <c r="J20" s="2244"/>
      <c r="K20" s="335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2208</v>
      </c>
      <c r="C21" s="2295" t="s">
        <v>1056</v>
      </c>
      <c r="D21" s="1460" t="s">
        <v>2209</v>
      </c>
      <c r="E21" s="2418" t="s">
        <v>1056</v>
      </c>
      <c r="F21" s="2430"/>
      <c r="G21" s="2441"/>
      <c r="H21" s="2441"/>
      <c r="I21" s="2441"/>
      <c r="J21" s="2244"/>
      <c r="K21" s="33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2210</v>
      </c>
      <c r="C22" s="2295" t="s">
        <v>1057</v>
      </c>
      <c r="D22" s="2441"/>
      <c r="E22" s="2441"/>
      <c r="F22" s="2441"/>
      <c r="G22" s="2441"/>
      <c r="H22" s="2441"/>
      <c r="I22" s="2441"/>
      <c r="J22" s="2244"/>
      <c r="K22" s="33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370"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370"/>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370"/>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371"/>
      <c r="B30" s="294" t="s">
        <v>2217</v>
      </c>
      <c r="C30" s="3372"/>
      <c r="D30" s="3373"/>
      <c r="E30" s="2441"/>
      <c r="F30" s="2441"/>
      <c r="G30" s="2441"/>
      <c r="H30" s="2441"/>
      <c r="I30" s="2441"/>
      <c r="J30" s="2244"/>
      <c r="K30" s="2401"/>
      <c r="L30" s="2398"/>
      <c r="M30" s="2398"/>
      <c r="N30" s="2244"/>
      <c r="O30" s="1670"/>
      <c r="P30" s="2244"/>
      <c r="Q30" s="2244"/>
      <c r="R30" s="2244"/>
      <c r="S30" s="2244"/>
      <c r="T30" s="2244"/>
      <c r="U30" s="2244"/>
      <c r="V30" s="2244"/>
    </row>
    <row r="31" spans="1:28">
      <c r="A31" s="3374"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37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37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369" t="s">
        <v>2227</v>
      </c>
      <c r="T34" s="315" t="str">
        <f>NUMBERSTRING(7-K34,1)&amp;"通"</f>
        <v>七通</v>
      </c>
      <c r="U34" s="2244"/>
      <c r="V34" s="2244"/>
    </row>
    <row r="35" spans="1:30">
      <c r="A35" s="2235"/>
      <c r="B35" s="3369" t="s">
        <v>2228</v>
      </c>
      <c r="C35" s="3369"/>
      <c r="D35" s="3369"/>
      <c r="E35" s="336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69"/>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t="s">
        <v>305</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t="s">
        <v>4385</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293.87</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1070</v>
      </c>
      <c r="B5" s="1259"/>
      <c r="C5" s="1259"/>
      <c r="D5" s="1260"/>
      <c r="E5" s="13" t="s">
        <v>0</v>
      </c>
      <c r="F5" s="13">
        <f>SUM(F13:F587)</f>
        <v>0</v>
      </c>
      <c r="G5" s="13">
        <f>SUM(G13:G587)</f>
        <v>293.87</v>
      </c>
      <c r="H5" s="13">
        <f t="shared" ref="H5:AT5" si="0">SUM(H13:H656)</f>
        <v>293.87</v>
      </c>
      <c r="I5" s="13">
        <f t="shared" si="0"/>
        <v>293.87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293.87</v>
      </c>
      <c r="BA5" s="15">
        <f t="shared" si="1"/>
        <v>293.87</v>
      </c>
      <c r="BB5" s="15">
        <f t="shared" si="1"/>
        <v>293.87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1090</v>
      </c>
      <c r="I9" s="1491" t="s">
        <v>3385</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2">
      <c r="A10" s="1482"/>
      <c r="B10" s="1482"/>
      <c r="C10" s="1482"/>
      <c r="D10" s="1482"/>
      <c r="E10" s="1482"/>
      <c r="F10" s="1482"/>
      <c r="G10" s="1007"/>
      <c r="H10" s="25"/>
      <c r="I10" s="1491" t="s">
        <v>3386</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3387</v>
      </c>
      <c r="E13" s="13">
        <f>IF($C$3="是",ROUND($A$3*G13/$B$3,2),ROUND($A$3*(G13-AT13)/$B$3,2))</f>
        <v>0</v>
      </c>
      <c r="F13" s="29"/>
      <c r="G13" s="30">
        <f>H13+AC13+AT13</f>
        <v>293.87</v>
      </c>
      <c r="H13" s="17">
        <f>SUMIF(I$12:AB$12,"总值",I13:AB13)</f>
        <v>293.87</v>
      </c>
      <c r="I13" s="1514">
        <v>293.87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293.87</v>
      </c>
      <c r="BA13" s="13">
        <f>SUM(BB13:BK13)</f>
        <v>293.87</v>
      </c>
      <c r="BB13" s="13">
        <f>IF($D13="是",I13-J13,0)</f>
        <v>293.87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L11" sqref="L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1129</v>
      </c>
      <c r="B1" s="1071"/>
      <c r="C1" s="1071"/>
      <c r="D1" s="1071"/>
      <c r="E1" s="1071"/>
      <c r="F1" s="1071"/>
      <c r="G1" s="1071"/>
      <c r="H1" s="1071"/>
      <c r="I1" s="1071"/>
      <c r="J1" s="1071"/>
      <c r="K1" s="1071"/>
      <c r="L1" s="1071"/>
      <c r="M1" s="1071"/>
      <c r="N1" s="1071"/>
      <c r="O1" s="1071"/>
      <c r="P1" s="1071"/>
    </row>
    <row r="2" spans="1:16" ht="14.4">
      <c r="A2" s="3385" t="s">
        <v>1130</v>
      </c>
      <c r="B2" s="3385"/>
      <c r="C2" s="3385"/>
      <c r="D2" s="748" t="s">
        <v>1106</v>
      </c>
      <c r="E2" s="1523" t="s">
        <v>1107</v>
      </c>
      <c r="F2" s="2438"/>
      <c r="G2" s="2431"/>
      <c r="H2" s="2432"/>
      <c r="I2" s="2145" t="s">
        <v>1131</v>
      </c>
      <c r="J2" s="2438"/>
      <c r="K2" s="2438"/>
      <c r="L2" s="2438"/>
      <c r="M2" s="2438"/>
      <c r="N2" s="2439"/>
      <c r="O2" s="2438"/>
      <c r="P2" s="2438"/>
    </row>
    <row r="3" spans="1:16" ht="15" thickBot="1">
      <c r="A3" s="3386" t="s">
        <v>1104</v>
      </c>
      <c r="B3" s="3386"/>
      <c r="C3" s="3386"/>
      <c r="D3" s="41">
        <f>'数据-基础表'!AY6</f>
        <v>0</v>
      </c>
      <c r="E3" s="41">
        <f>'数据-基础表'!AZ5</f>
        <v>293.87</v>
      </c>
      <c r="F3" s="2438"/>
      <c r="G3" s="42"/>
      <c r="H3" s="43" t="s">
        <v>1105</v>
      </c>
      <c r="I3" s="802" t="e">
        <f>ROUND('数据-基础表'!B3/'数据-基础表'!A3,2)</f>
        <v>#DIV/0!</v>
      </c>
      <c r="J3" s="2438"/>
      <c r="K3" s="2438"/>
      <c r="L3" s="2438"/>
      <c r="M3" s="2438"/>
      <c r="N3" s="2439"/>
      <c r="O3" s="2438"/>
      <c r="P3" s="2438"/>
    </row>
    <row r="4" spans="1:16" ht="14.4">
      <c r="A4" s="3387"/>
      <c r="B4" s="3388"/>
      <c r="C4" s="3389"/>
      <c r="D4" s="1524" t="s">
        <v>1106</v>
      </c>
      <c r="E4" s="1525" t="s">
        <v>1107</v>
      </c>
      <c r="F4" s="2438"/>
      <c r="G4" s="2433" t="s">
        <v>1132</v>
      </c>
      <c r="H4" s="43" t="s">
        <v>1112</v>
      </c>
      <c r="I4" s="802" t="e">
        <f>ROUND(SUMIF('数据-基础表'!I9:AS9,"地上",'数据-基础表'!I5:AS5)/'数据-基础表'!A3,2)</f>
        <v>#DIV/0!</v>
      </c>
      <c r="J4" s="2438"/>
      <c r="K4" s="2438"/>
      <c r="L4" s="2438"/>
      <c r="M4" s="2438"/>
      <c r="N4" s="2439"/>
      <c r="O4" s="2438"/>
      <c r="P4" s="2438"/>
    </row>
    <row r="5" spans="1:16" ht="14.4">
      <c r="A5" s="42" t="s">
        <v>1108</v>
      </c>
      <c r="B5" s="3390" t="s">
        <v>1109</v>
      </c>
      <c r="C5" s="3390"/>
      <c r="D5" s="43">
        <f>ROUND($D$3*E5/$E$3,2)</f>
        <v>0</v>
      </c>
      <c r="E5" s="44">
        <f>SUMIF('数据-基础表'!$11:$11,"住宅",'数据-基础表'!$5:$5)</f>
        <v>293.87</v>
      </c>
      <c r="F5" s="2438"/>
      <c r="G5" s="42"/>
      <c r="H5" s="43" t="s">
        <v>1105</v>
      </c>
      <c r="I5" s="802" t="e">
        <f>ROUND(E31/D31,2)</f>
        <v>#DIV/0!</v>
      </c>
      <c r="J5" s="2438"/>
      <c r="K5" s="2438"/>
      <c r="L5" s="2438"/>
      <c r="M5" s="2438"/>
      <c r="N5" s="2438"/>
      <c r="O5" s="2438"/>
      <c r="P5" s="2438"/>
    </row>
    <row r="6" spans="1:16" ht="15" thickBot="1">
      <c r="A6" s="1527"/>
      <c r="B6" s="3390" t="s">
        <v>1110</v>
      </c>
      <c r="C6" s="3390"/>
      <c r="D6" s="43">
        <f>ROUND($D$3*E6/$E$3,2)</f>
        <v>0</v>
      </c>
      <c r="E6" s="44">
        <f>E3-E5</f>
        <v>0</v>
      </c>
      <c r="F6" s="2438"/>
      <c r="G6" s="1529" t="s">
        <v>1111</v>
      </c>
      <c r="H6" s="45" t="s">
        <v>1112</v>
      </c>
      <c r="I6" s="2434" t="e">
        <f>ROUND(F31/D31,2)</f>
        <v>#DIV/0!</v>
      </c>
      <c r="J6" s="2438"/>
      <c r="K6" s="2438"/>
      <c r="L6" s="2438"/>
      <c r="M6" s="2438"/>
      <c r="N6" s="2438"/>
      <c r="O6" s="2438"/>
      <c r="P6" s="2438"/>
    </row>
    <row r="7" spans="1:16" ht="15" thickBot="1">
      <c r="A7" s="3382"/>
      <c r="B7" s="3383"/>
      <c r="C7" s="3384"/>
      <c r="D7" s="1524" t="s">
        <v>1106</v>
      </c>
      <c r="E7" s="1528" t="s">
        <v>1113</v>
      </c>
      <c r="F7" s="2438"/>
      <c r="G7" s="2435" t="s">
        <v>1114</v>
      </c>
      <c r="H7" s="95"/>
      <c r="I7" s="2436">
        <v>1.5</v>
      </c>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293.87</v>
      </c>
      <c r="F8" s="2438"/>
      <c r="G8" s="2438"/>
      <c r="H8" s="2438"/>
      <c r="I8" s="2438"/>
      <c r="J8" s="2438"/>
      <c r="K8" s="2438"/>
      <c r="L8" s="2438"/>
      <c r="M8" s="2438"/>
      <c r="N8" s="2438"/>
      <c r="O8" s="2438"/>
      <c r="P8" s="2438"/>
    </row>
    <row r="9" spans="1:16" ht="14.4">
      <c r="A9" s="1529"/>
      <c r="B9" s="1530"/>
      <c r="C9" s="43" t="s">
        <v>1118</v>
      </c>
      <c r="D9" s="43">
        <f t="shared" si="0"/>
        <v>0</v>
      </c>
      <c r="E9" s="47">
        <v>0</v>
      </c>
      <c r="F9" s="2438"/>
      <c r="G9" s="2438"/>
      <c r="H9" s="2438"/>
      <c r="I9" s="2438"/>
      <c r="J9" s="2438"/>
      <c r="K9" s="2438"/>
      <c r="L9" s="2438"/>
      <c r="M9" s="2438"/>
      <c r="N9" s="2438"/>
      <c r="O9" s="2438"/>
      <c r="P9" s="2438"/>
    </row>
    <row r="10" spans="1:16" ht="14.4">
      <c r="A10" s="1529"/>
      <c r="B10" s="1530"/>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1122</v>
      </c>
      <c r="D16" s="45">
        <f>SUM(D8:D15)</f>
        <v>0</v>
      </c>
      <c r="E16" s="48">
        <f>SUM(E8:E15)</f>
        <v>293.87</v>
      </c>
      <c r="F16" s="2438"/>
      <c r="G16" s="2438"/>
      <c r="H16" s="1531" t="s">
        <v>1134</v>
      </c>
      <c r="I16" s="1532"/>
      <c r="J16" s="1071"/>
      <c r="K16" s="3379" t="s">
        <v>1134</v>
      </c>
      <c r="L16" s="3380"/>
      <c r="M16" s="3380"/>
      <c r="N16" s="3380"/>
      <c r="O16" s="3380"/>
      <c r="P16" s="3381"/>
    </row>
    <row r="17" spans="1:19" ht="14.4">
      <c r="A17" s="1533" t="s">
        <v>1135</v>
      </c>
      <c r="B17" s="1534" t="s">
        <v>1136</v>
      </c>
      <c r="C17" s="1535" t="s">
        <v>1137</v>
      </c>
      <c r="D17" s="1536" t="s">
        <v>1125</v>
      </c>
      <c r="E17" s="1537" t="s">
        <v>1126</v>
      </c>
      <c r="F17" s="1538"/>
      <c r="G17" s="1539"/>
      <c r="H17" s="1540" t="s">
        <v>1138</v>
      </c>
      <c r="I17" s="1541" t="s">
        <v>1123</v>
      </c>
      <c r="J17" s="1071"/>
      <c r="K17" s="3376" t="s">
        <v>1139</v>
      </c>
      <c r="L17" s="3377"/>
      <c r="M17" s="3378"/>
      <c r="N17" s="3376" t="s">
        <v>1140</v>
      </c>
      <c r="O17" s="3377"/>
      <c r="P17" s="3378"/>
      <c r="R17" s="769" t="s">
        <v>1141</v>
      </c>
      <c r="S17" s="54"/>
    </row>
    <row r="18" spans="1:19" ht="14.4">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ht="14.4">
      <c r="A19" s="1549"/>
      <c r="B19" s="45" t="s">
        <v>1124</v>
      </c>
      <c r="C19" s="3115" t="s">
        <v>3388</v>
      </c>
      <c r="D19" s="43">
        <f>ROUND($D$3*E19/$E$3,2)</f>
        <v>0</v>
      </c>
      <c r="E19" s="51">
        <f t="shared" ref="E19:E26" si="1">SUM(F19:G19)</f>
        <v>293.87</v>
      </c>
      <c r="F19" s="2557">
        <f>'数据-基础表'!I13</f>
        <v>293.87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293.87</v>
      </c>
    </row>
    <row r="20" spans="1:19" ht="14.4">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1153</v>
      </c>
      <c r="D27" s="1072">
        <f>SUM(D19:D26)</f>
        <v>0</v>
      </c>
      <c r="E27" s="1073">
        <f>IF(SUM(E19:E26)='数据-基础表'!BA5,SUM(E19:E26),IF(F27="地上面积有误","面积有误","地下面积有误"))</f>
        <v>293.87</v>
      </c>
      <c r="F27" s="1072">
        <f>IF(SUM(F19:F26)=E8,SUM(F19:F26),"地上面积有误")</f>
        <v>293.87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293.87</v>
      </c>
    </row>
    <row r="28" spans="1:19" ht="14.4">
      <c r="A28" s="1549"/>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1154</v>
      </c>
      <c r="C29" s="1555"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1153</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1157</v>
      </c>
      <c r="D31" s="643">
        <f>D27+D30</f>
        <v>0</v>
      </c>
      <c r="E31" s="643">
        <f>E27+E30</f>
        <v>293.87</v>
      </c>
      <c r="F31" s="644">
        <f>F27+F30</f>
        <v>293.87</v>
      </c>
      <c r="G31" s="645">
        <f>G27+G30</f>
        <v>0</v>
      </c>
      <c r="H31" s="2438"/>
      <c r="I31" s="2438"/>
      <c r="J31" s="2438"/>
      <c r="K31" s="2438"/>
      <c r="L31" s="2438"/>
      <c r="M31" s="2438"/>
      <c r="N31" s="2438"/>
      <c r="O31" s="2438"/>
      <c r="P31" s="2438"/>
    </row>
    <row r="32" spans="1:19" ht="14.4">
      <c r="A32" s="1526"/>
      <c r="B32" s="1526" t="s">
        <v>1158</v>
      </c>
      <c r="C32" s="1526"/>
      <c r="D32" s="1526"/>
      <c r="E32" s="990">
        <f>SUMIF(C19:C26,"*住宅*",E19:E26)</f>
        <v>293.87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O23" sqref="O2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7"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3389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3386</v>
      </c>
      <c r="D6" s="805">
        <f>SUMIF(项目基本情况!C$12:I$12,C6,项目基本情况!C$14:I$14)</f>
        <v>70</v>
      </c>
      <c r="E6" s="804">
        <f>IF(B6="","",SUMIF(项目基本情况!C$12:I$12,C6,项目基本情况!C$13:I$13))</f>
        <v>66113</v>
      </c>
      <c r="F6" s="61">
        <f>SUMIF(项目基本情况!C$12:I$12,C6,项目基本情况!C$15:I$15)</f>
        <v>56.21</v>
      </c>
      <c r="G6" s="62">
        <f>IF(ISERROR(ROUND(POWER(1+H6,D6-F6)*(POWER(1+H6,F6)-1)/(POWER(1+H6,D6)-1),3)),0,ROUND(POWER(1+H6,D6-F6)*(POWER(1+H6,F6)-1)/(POWER(1+H6,D6)-1),3))</f>
        <v>0.95099999999999996</v>
      </c>
      <c r="H6" s="691">
        <v>0.04</v>
      </c>
      <c r="I6" s="691">
        <v>0.04</v>
      </c>
      <c r="J6" s="63">
        <v>6.5000000000000002E-2</v>
      </c>
      <c r="K6" s="970">
        <f>SUMIF('数据-汇总表'!C$19:C$33,A6,'数据-汇总表'!E$19:E$33)</f>
        <v>293.87</v>
      </c>
      <c r="L6" s="692">
        <v>3000</v>
      </c>
      <c r="M6" s="64">
        <f t="shared" ref="M6:M14" si="0">ROUND(K6*L6/10000,0)</f>
        <v>88</v>
      </c>
      <c r="N6" s="690">
        <f>N21</f>
        <v>0.84000000000000008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15000</v>
      </c>
      <c r="V6" s="67">
        <v>0.02</v>
      </c>
      <c r="W6" s="67">
        <v>0.1</v>
      </c>
      <c r="X6" s="979"/>
      <c r="Y6" s="68">
        <f>N6</f>
        <v>0.84000000000000008</v>
      </c>
      <c r="Z6" s="69"/>
      <c r="AA6" s="63"/>
      <c r="AB6" s="63"/>
      <c r="AC6" s="979"/>
      <c r="AD6" s="70"/>
      <c r="AE6" s="980">
        <f ca="1">IF(AN6="",0,SUMIF(INDIRECT("'"&amp;AN6&amp;"'"&amp;"!E:E"),$AE$5,INDIRECT("'"&amp;AN6&amp;"'"&amp;"!F:F")))</f>
        <v>56.21</v>
      </c>
      <c r="AF6" s="74"/>
      <c r="AG6" s="130">
        <f>IF(AF6="",0,AE6-AF6)</f>
        <v>0</v>
      </c>
      <c r="AH6" s="71">
        <v>1</v>
      </c>
      <c r="AI6" s="73">
        <v>12</v>
      </c>
      <c r="AJ6" s="74"/>
      <c r="AK6" s="75">
        <v>5.0000000000000001E-3</v>
      </c>
      <c r="AL6" s="76">
        <v>1E-3</v>
      </c>
      <c r="AM6" s="77">
        <v>5.0000000000000001E-3</v>
      </c>
      <c r="AN6" s="1589" t="s">
        <v>4367</v>
      </c>
      <c r="AO6" s="50">
        <f ca="1">SUMIF(INDIRECT("'"&amp;AN6&amp;"'"&amp;"!A:A"),"总价",INDIRECT("'"&amp;AN6&amp;"'"&amp;"!B:B"))</f>
        <v>494.22089999999997</v>
      </c>
      <c r="AP6" s="1590">
        <f>IF(C6="住宅",K6*L6,0)</f>
        <v>881610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1208</v>
      </c>
      <c r="B16" s="82"/>
      <c r="C16" s="783"/>
      <c r="D16" s="1594"/>
      <c r="E16" s="82"/>
      <c r="F16" s="82"/>
      <c r="G16" s="83">
        <f>ROUND(SUMPRODUCT(G6:G13,K6:K13)/SUMPRODUCT((G6:G13&gt;0)*(K6:K13)),3)</f>
        <v>0.95099999999999996</v>
      </c>
      <c r="H16" s="84">
        <f>ROUND(SUMPRODUCT(H6:H13,K6:K13)/SUMPRODUCT((H6:H13&gt;0)*(K6:K13)),3)</f>
        <v>0.04</v>
      </c>
      <c r="I16" s="85"/>
      <c r="J16" s="85"/>
      <c r="K16" s="86">
        <f>SUM(K6:K15)</f>
        <v>293.87</v>
      </c>
      <c r="L16" s="87">
        <f>ROUND(M16*10000/SUM(K6:K14),0)</f>
        <v>2995</v>
      </c>
      <c r="M16" s="87">
        <f>SUM(M6:M14)</f>
        <v>88</v>
      </c>
      <c r="N16" s="88">
        <f>ROUND(SUMPRODUCT(M6:M14,N6:N14)/M16,3)</f>
        <v>0.84</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1210</v>
      </c>
      <c r="B19" s="97">
        <v>0</v>
      </c>
      <c r="C19" s="2560" t="s">
        <v>2304</v>
      </c>
      <c r="D19" s="2451"/>
      <c r="E19" s="2438"/>
      <c r="F19" s="2438"/>
      <c r="G19" s="2438"/>
      <c r="H19" s="2438"/>
      <c r="I19" s="2438"/>
      <c r="J19" s="2438"/>
      <c r="K19" s="2449"/>
      <c r="L19" s="2449"/>
      <c r="M19" s="2448"/>
      <c r="N19" s="3144">
        <f>1-(2024-2013)/50</f>
        <v>0.78</v>
      </c>
      <c r="O19" s="2448">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1211</v>
      </c>
      <c r="B20" s="98">
        <v>2</v>
      </c>
      <c r="C20" s="2561" t="s">
        <v>2302</v>
      </c>
      <c r="D20" s="2451"/>
      <c r="E20" s="2438"/>
      <c r="F20" s="2438"/>
      <c r="G20" s="2438"/>
      <c r="H20" s="2438"/>
      <c r="I20" s="2438"/>
      <c r="J20" s="2438"/>
      <c r="K20" s="2449"/>
      <c r="L20" s="2449"/>
      <c r="M20" s="2448"/>
      <c r="N20" s="2448">
        <v>0.9</v>
      </c>
      <c r="O20" s="2448">
        <f>1-O19</f>
        <v>0.5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1212</v>
      </c>
      <c r="B21" s="98">
        <v>2</v>
      </c>
      <c r="C21" s="2438"/>
      <c r="D21" s="2451"/>
      <c r="E21" s="2438"/>
      <c r="F21" s="2438"/>
      <c r="G21" s="2438"/>
      <c r="H21" s="2438"/>
      <c r="I21" s="2438"/>
      <c r="J21" s="2438"/>
      <c r="K21" s="2449"/>
      <c r="L21" s="2449"/>
      <c r="M21" s="2448"/>
      <c r="N21" s="3144">
        <f>N19*O19+N20*O20</f>
        <v>0.84000000000000008</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1216</v>
      </c>
      <c r="B26" s="1600"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1219</v>
      </c>
      <c r="B27" s="101">
        <v>160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1221</v>
      </c>
      <c r="B29" s="105">
        <v>200</v>
      </c>
      <c r="C29" s="2563" t="s">
        <v>2293</v>
      </c>
      <c r="D29" s="2454"/>
      <c r="E29" s="2439"/>
      <c r="F29" s="2439"/>
      <c r="G29" s="3274" t="s">
        <v>4344</v>
      </c>
      <c r="H29" s="2438"/>
      <c r="I29" s="2438"/>
      <c r="J29" s="2438"/>
      <c r="K29" s="2449"/>
      <c r="L29" s="2449"/>
      <c r="M29" s="2448"/>
      <c r="N29" s="2448"/>
      <c r="O29" s="3275" t="s">
        <v>4345</v>
      </c>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1222</v>
      </c>
      <c r="B30" s="638">
        <v>200</v>
      </c>
      <c r="C30" s="2455"/>
      <c r="D30" s="2454"/>
      <c r="E30" s="2439"/>
      <c r="F30" s="2439"/>
      <c r="G30" s="3276" t="s">
        <v>4346</v>
      </c>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1224</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1225</v>
      </c>
      <c r="B33" s="640">
        <v>0.05</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1226</v>
      </c>
      <c r="B34" s="106">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1227</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1228</v>
      </c>
      <c r="B36" s="107">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1229</v>
      </c>
      <c r="B37" s="108">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1230</v>
      </c>
      <c r="B38" s="106">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4311</v>
      </c>
      <c r="B40" s="1015">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1235</v>
      </c>
      <c r="B44" s="112">
        <v>0.05</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1236</v>
      </c>
      <c r="B45" s="110">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1237</v>
      </c>
      <c r="B46" s="110">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1238</v>
      </c>
      <c r="B47" s="113">
        <v>0</v>
      </c>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1239</v>
      </c>
      <c r="B48" s="114">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1240</v>
      </c>
      <c r="B49" s="110">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1243</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1244</v>
      </c>
      <c r="B53" s="1611" t="s">
        <v>29</v>
      </c>
      <c r="C53" s="2439" t="s">
        <v>1245</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1246</v>
      </c>
      <c r="B54" s="72">
        <f>C54</f>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1247</v>
      </c>
      <c r="B55" s="72">
        <f t="shared" ref="B55:B59" si="12">C55</f>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1248</v>
      </c>
      <c r="B56" s="72">
        <f t="shared" si="1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1249</v>
      </c>
      <c r="B57" s="72">
        <f t="shared" si="1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1250</v>
      </c>
      <c r="B58" s="72">
        <f t="shared" si="1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1251</v>
      </c>
      <c r="B59" s="72">
        <f t="shared" si="1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391" t="s">
        <v>2285</v>
      </c>
      <c r="B1" s="3392"/>
      <c r="C1" s="3392"/>
      <c r="D1" s="3392"/>
      <c r="E1" s="3392"/>
      <c r="F1" s="3392"/>
      <c r="G1" s="339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5" t="s">
        <v>4300</v>
      </c>
      <c r="B1">
        <f>'数据-汇总表'!E3</f>
        <v>293.87</v>
      </c>
    </row>
    <row r="2" spans="1:7">
      <c r="A2" s="1405" t="s">
        <v>4294</v>
      </c>
      <c r="B2" s="1405" t="s">
        <v>4295</v>
      </c>
      <c r="C2" s="1405" t="s">
        <v>4297</v>
      </c>
      <c r="D2" s="1405" t="s">
        <v>4296</v>
      </c>
      <c r="E2" s="1405" t="s">
        <v>4298</v>
      </c>
      <c r="F2" s="1405" t="s">
        <v>4299</v>
      </c>
      <c r="G2" s="1405" t="s">
        <v>4301</v>
      </c>
    </row>
    <row r="3" spans="1:7">
      <c r="A3" s="3227">
        <v>42825</v>
      </c>
      <c r="B3">
        <f>'比较法-住宅'!C49</f>
        <v>42156</v>
      </c>
      <c r="C3">
        <v>0.8</v>
      </c>
      <c r="D3">
        <f ca="1">收益法1!C43</f>
        <v>16818</v>
      </c>
      <c r="E3">
        <f>1-C3</f>
        <v>0.19999999999999996</v>
      </c>
      <c r="F3">
        <f ca="1">ROUND((B3*C3+D3*E3),0)</f>
        <v>37088</v>
      </c>
      <c r="G3">
        <f ca="1">B1*F3/10000</f>
        <v>1089.9050560000001</v>
      </c>
    </row>
    <row r="4" spans="1:7">
      <c r="A4" s="3227">
        <v>43100</v>
      </c>
      <c r="B4">
        <f>'比较法-住宅12.31'!C49</f>
        <v>68706</v>
      </c>
      <c r="C4">
        <f>C3</f>
        <v>0.8</v>
      </c>
      <c r="D4">
        <f ca="1">收益法12.31!B3</f>
        <v>17219</v>
      </c>
      <c r="E4">
        <f>E3</f>
        <v>0.19999999999999996</v>
      </c>
      <c r="F4">
        <f ca="1">ROUND((B4*C4+D4*E4),0)</f>
        <v>58409</v>
      </c>
      <c r="G4">
        <f ca="1">B1*F4/10000</f>
        <v>1716.4652830000002</v>
      </c>
    </row>
  </sheetData>
  <phoneticPr fontId="13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67" sqref="F6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4" t="s">
        <v>3386</v>
      </c>
      <c r="C1" s="190"/>
      <c r="D1" s="190"/>
      <c r="E1" s="190"/>
      <c r="F1" s="190"/>
      <c r="G1" s="1062">
        <f>MATCH(B1,'数据-取费表'!A6:A16,0)+5</f>
        <v>6</v>
      </c>
    </row>
    <row r="2" spans="1:9" s="192" customFormat="1" ht="18" customHeight="1">
      <c r="A2" s="193" t="s">
        <v>1461</v>
      </c>
      <c r="B2" s="194">
        <f ca="1">IF(D2="——",C52,C52-E2)</f>
        <v>678</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23071</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373</v>
      </c>
      <c r="D5" s="203" t="s">
        <v>1468</v>
      </c>
      <c r="E5" s="204" t="s">
        <v>1469</v>
      </c>
      <c r="F5" s="204" t="s">
        <v>1470</v>
      </c>
      <c r="G5" s="205"/>
    </row>
    <row r="6" spans="1:9" s="206" customFormat="1" ht="13.5" customHeight="1">
      <c r="A6" s="732" t="s">
        <v>1471</v>
      </c>
      <c r="B6" s="207" t="s">
        <v>1472</v>
      </c>
      <c r="C6" s="208">
        <f>基准地价修正!E33</f>
        <v>357</v>
      </c>
      <c r="D6" s="209"/>
      <c r="E6" s="210"/>
      <c r="F6" s="210"/>
      <c r="G6" s="211"/>
    </row>
    <row r="7" spans="1:9" s="206" customFormat="1" ht="13.5" customHeight="1">
      <c r="A7" s="732" t="s">
        <v>1473</v>
      </c>
      <c r="B7" s="207" t="s">
        <v>1474</v>
      </c>
      <c r="C7" s="212">
        <f>ROUND(C6*F7,0)</f>
        <v>11</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5</v>
      </c>
      <c r="D8" s="214"/>
      <c r="E8" s="212"/>
      <c r="F8" s="213"/>
      <c r="G8" s="1714" t="s">
        <v>4399</v>
      </c>
    </row>
    <row r="9" spans="1:9" s="206" customFormat="1" ht="13.5" customHeight="1">
      <c r="A9" s="733" t="s">
        <v>355</v>
      </c>
      <c r="B9" s="216" t="s">
        <v>1477</v>
      </c>
      <c r="C9" s="217">
        <f ca="1">ROUND(D9*E9/10000,0)</f>
        <v>5</v>
      </c>
      <c r="D9" s="795">
        <f ca="1">IF(B1="",'数据-汇总表'!E5,IF(INDIRECT("'数据-取费表'!c"&amp;$G$1)="住宅",INDIRECT("'数据-取费表'!k"&amp;$G$1),0))</f>
        <v>293.87</v>
      </c>
      <c r="E9" s="217">
        <f>'数据-取费表'!B27</f>
        <v>160</v>
      </c>
      <c r="F9" s="213"/>
      <c r="G9" s="1715" t="s">
        <v>4401</v>
      </c>
      <c r="H9" s="1070"/>
      <c r="I9" s="1716" t="s">
        <v>1478</v>
      </c>
    </row>
    <row r="10" spans="1:9" s="206" customFormat="1" ht="13.5" customHeight="1">
      <c r="A10" s="733" t="s">
        <v>356</v>
      </c>
      <c r="B10" s="216" t="s">
        <v>1479</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293.87</v>
      </c>
      <c r="E19" s="203">
        <f>'数据-取费表'!B31</f>
        <v>200</v>
      </c>
      <c r="F19" s="223"/>
      <c r="G19" s="1714" t="s">
        <v>4400</v>
      </c>
    </row>
    <row r="20" spans="1:7" s="206" customFormat="1" ht="13.5" customHeight="1">
      <c r="A20" s="247" t="s">
        <v>1492</v>
      </c>
      <c r="B20" s="202" t="s">
        <v>1493</v>
      </c>
      <c r="C20" s="224">
        <f ca="1">ROUND((C5+C19)*F20,0)</f>
        <v>7</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36</v>
      </c>
      <c r="D22" s="227">
        <f ca="1">C26</f>
        <v>1E-3</v>
      </c>
      <c r="E22" s="228" t="s">
        <v>1497</v>
      </c>
      <c r="F22" s="229">
        <f ca="1">'数据-取费表'!B40</f>
        <v>4.7500000000000001E-2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36</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0</v>
      </c>
      <c r="D25" s="230"/>
      <c r="E25" s="233"/>
      <c r="F25" s="231"/>
      <c r="G25" s="234" t="s">
        <v>1509</v>
      </c>
    </row>
    <row r="26" spans="1:7" s="206" customFormat="1">
      <c r="A26" s="734" t="s">
        <v>350</v>
      </c>
      <c r="B26" s="207" t="s">
        <v>1510</v>
      </c>
      <c r="C26" s="230">
        <f ca="1">ROUND(IF('数据-取费表'!B22&lt;=1,F21*F22*'数据-取费表'!B23/2,F21*(POWER((1+F22),'数据-取费表'!B23/2)-1)),4)</f>
        <v>1E-3</v>
      </c>
      <c r="D26" s="230"/>
      <c r="E26" s="233"/>
      <c r="F26" s="231"/>
      <c r="G26" s="235"/>
    </row>
    <row r="27" spans="1:7" s="206" customFormat="1" ht="26.4">
      <c r="A27" s="247" t="s">
        <v>1511</v>
      </c>
      <c r="B27" s="236" t="s">
        <v>1512</v>
      </c>
      <c r="C27" s="237">
        <f ca="1">C28</f>
        <v>95</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ROUND((C5+C19+C20)*F27*'数据-取费表'!B21/'数据-取费表'!B20,0)</f>
        <v>95</v>
      </c>
      <c r="D28" s="227"/>
      <c r="E28" s="228"/>
      <c r="F28" s="238"/>
      <c r="G28" s="239"/>
    </row>
    <row r="29" spans="1:7" s="206" customFormat="1" ht="13.5" customHeight="1">
      <c r="A29" s="734" t="s">
        <v>347</v>
      </c>
      <c r="B29" s="240" t="s">
        <v>1516</v>
      </c>
      <c r="C29" s="230">
        <f ca="1">ROUND(C21*F27*'数据-取费表'!B21/'数据-取费表'!B20,4)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554</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103</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88</v>
      </c>
      <c r="D34" s="209"/>
      <c r="E34" s="212"/>
      <c r="F34" s="249">
        <f ca="1">IF('数据-取费表'!B24=0,1,IF(B1="",'数据-取费表'!N16,INDIRECT("'数据-取费表'!n"&amp;$G$1)))</f>
        <v>1</v>
      </c>
      <c r="G34" s="211" t="s">
        <v>1525</v>
      </c>
    </row>
    <row r="35" spans="1:7" ht="13.5" customHeight="1">
      <c r="A35" s="734" t="s">
        <v>351</v>
      </c>
      <c r="B35" s="207" t="s">
        <v>1526</v>
      </c>
      <c r="C35" s="212">
        <f ca="1">ROUND(C34*F35,0)</f>
        <v>4</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1529</v>
      </c>
    </row>
    <row r="37" spans="1:7" s="250" customFormat="1" ht="13.5" customHeight="1">
      <c r="A37" s="734" t="s">
        <v>353</v>
      </c>
      <c r="B37" s="207" t="s">
        <v>1530</v>
      </c>
      <c r="C37" s="241">
        <f ca="1">ROUND(E37*D37*F34/10000,0)</f>
        <v>6</v>
      </c>
      <c r="D37" s="209">
        <f ca="1">D19</f>
        <v>293.87</v>
      </c>
      <c r="E37" s="241">
        <f>'数据-取费表'!B35</f>
        <v>200</v>
      </c>
      <c r="F37" s="251"/>
      <c r="G37" s="253" t="s">
        <v>1531</v>
      </c>
    </row>
    <row r="38" spans="1:7" ht="13.5" customHeight="1">
      <c r="A38" s="734" t="s">
        <v>354</v>
      </c>
      <c r="B38" s="207" t="s">
        <v>1532</v>
      </c>
      <c r="C38" s="212">
        <f ca="1">ROUND(C34*F38,0)</f>
        <v>1</v>
      </c>
      <c r="D38" s="212"/>
      <c r="E38" s="212"/>
      <c r="F38" s="251">
        <f>'数据-取费表'!B36</f>
        <v>1.4999999999999999E-2</v>
      </c>
      <c r="G38" s="211" t="s">
        <v>1527</v>
      </c>
    </row>
    <row r="39" spans="1:7" s="206" customFormat="1" ht="13.5" customHeight="1">
      <c r="A39" s="247" t="s">
        <v>1533</v>
      </c>
      <c r="B39" s="202" t="s">
        <v>1534</v>
      </c>
      <c r="C39" s="224">
        <f ca="1">ROUND(C33*F20,0)</f>
        <v>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5</v>
      </c>
      <c r="D42" s="230"/>
      <c r="E42" s="230"/>
      <c r="F42" s="231"/>
      <c r="G42" s="3393" t="s">
        <v>1543</v>
      </c>
    </row>
    <row r="43" spans="1:7" ht="13.5" customHeight="1">
      <c r="A43" s="734" t="s">
        <v>347</v>
      </c>
      <c r="B43" s="207" t="s">
        <v>1544</v>
      </c>
      <c r="C43" s="230">
        <f ca="1">ROUND(IF('数据-取费表'!B22&lt;=1,C39*F22*'数据-取费表'!B21/2,C39*(POWER((1+F22),'数据-取费表'!B21/2)-1)),0)</f>
        <v>0</v>
      </c>
      <c r="D43" s="230"/>
      <c r="E43" s="230"/>
      <c r="F43" s="231"/>
      <c r="G43" s="3394"/>
    </row>
    <row r="44" spans="1:7" ht="13.5" customHeight="1">
      <c r="A44" s="734" t="s">
        <v>348</v>
      </c>
      <c r="B44" s="207" t="s">
        <v>1545</v>
      </c>
      <c r="C44" s="230">
        <f ca="1">ROUND(IF('数据-取费表'!B22&lt;=1,C40*F22*'数据-取费表'!B21/2,C40*(POWER((1+F22),'数据-取费表'!B21/2)-1)),4)</f>
        <v>1E-3</v>
      </c>
      <c r="D44" s="230"/>
      <c r="E44" s="230"/>
      <c r="F44" s="231"/>
      <c r="G44" s="3395"/>
    </row>
    <row r="45" spans="1:7" s="206" customFormat="1" ht="13.5" customHeight="1">
      <c r="A45" s="247" t="s">
        <v>1546</v>
      </c>
      <c r="B45" s="236" t="s">
        <v>1512</v>
      </c>
      <c r="C45" s="237">
        <f ca="1">C46</f>
        <v>26</v>
      </c>
      <c r="D45" s="227">
        <f ca="1">C47</f>
        <v>5.0000000000000001E-3</v>
      </c>
      <c r="E45" s="228" t="s">
        <v>1538</v>
      </c>
      <c r="F45" s="238">
        <f ca="1">F27</f>
        <v>0.25</v>
      </c>
      <c r="G45" s="239" t="s">
        <v>1547</v>
      </c>
    </row>
    <row r="46" spans="1:7" s="206" customFormat="1" ht="13.5" customHeight="1">
      <c r="A46" s="734" t="s">
        <v>346</v>
      </c>
      <c r="B46" s="240" t="s">
        <v>1548</v>
      </c>
      <c r="C46" s="241">
        <f ca="1">ROUND((C33+C39)*F27,0)</f>
        <v>26</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148</v>
      </c>
      <c r="D49" s="224"/>
      <c r="E49" s="224"/>
      <c r="F49" s="256"/>
      <c r="G49" s="226" t="s">
        <v>1553</v>
      </c>
    </row>
    <row r="50" spans="1:7" s="250" customFormat="1" ht="24">
      <c r="A50" s="247" t="s">
        <v>1554</v>
      </c>
      <c r="B50" s="202" t="s">
        <v>1555</v>
      </c>
      <c r="C50" s="224"/>
      <c r="D50" s="224"/>
      <c r="E50" s="224"/>
      <c r="F50" s="256">
        <f>IF('数据-取费表'!B24=0,'数据-取费表'!N16,1)</f>
        <v>0.84</v>
      </c>
      <c r="G50" s="239" t="s">
        <v>1556</v>
      </c>
    </row>
    <row r="51" spans="1:7" ht="16.5" customHeight="1">
      <c r="A51" s="247" t="s">
        <v>1557</v>
      </c>
      <c r="B51" s="202" t="s">
        <v>1558</v>
      </c>
      <c r="C51" s="224">
        <f ca="1">ROUND(C49*F50,0)</f>
        <v>124</v>
      </c>
      <c r="D51" s="224"/>
      <c r="E51" s="224"/>
      <c r="F51" s="256"/>
      <c r="G51" s="226" t="s">
        <v>1559</v>
      </c>
    </row>
    <row r="52" spans="1:7" s="200" customFormat="1" ht="16.8" thickBot="1">
      <c r="A52" s="257" t="s">
        <v>1560</v>
      </c>
      <c r="B52" s="258"/>
      <c r="C52" s="259">
        <f ca="1">C31+C51</f>
        <v>678</v>
      </c>
      <c r="D52" s="258"/>
      <c r="E52" s="258"/>
      <c r="F52" s="258"/>
      <c r="G52" s="260"/>
    </row>
    <row r="55" spans="1:7" ht="15">
      <c r="B55" s="262" t="s">
        <v>1561</v>
      </c>
      <c r="C55" s="263"/>
    </row>
    <row r="56" spans="1:7">
      <c r="B56" s="265" t="s">
        <v>802</v>
      </c>
      <c r="C56" s="267">
        <f ca="1">1-C57</f>
        <v>0.81699999999999995</v>
      </c>
    </row>
    <row r="57" spans="1:7">
      <c r="B57" s="265" t="s">
        <v>803</v>
      </c>
      <c r="C57" s="266">
        <f ca="1">ROUND(C51/C52,3)</f>
        <v>0.183</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242</v>
      </c>
      <c r="C2" s="268" t="s">
        <v>1594</v>
      </c>
      <c r="D2" s="268"/>
      <c r="E2" s="2567"/>
      <c r="F2" s="2567"/>
      <c r="G2" s="2567"/>
      <c r="H2" s="2567"/>
      <c r="I2" s="2567"/>
      <c r="J2" s="2567"/>
      <c r="K2" s="2567"/>
    </row>
    <row r="3" spans="1:33" ht="18" customHeight="1" thickBot="1">
      <c r="A3" s="195" t="s">
        <v>1463</v>
      </c>
      <c r="B3" s="196">
        <f ca="1">ROUND(B2*10000/IF(C1="",'数据-汇总表'!E3,INDIRECT("'数据-取费表'!K"&amp;$K$1)),0)</f>
        <v>8235</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0.05</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293.87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293.87</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-195</v>
      </c>
      <c r="D18" s="796"/>
      <c r="E18" s="21"/>
      <c r="F18" s="756"/>
      <c r="G18" s="1720"/>
      <c r="H18" s="1106"/>
      <c r="I18" s="1721" t="s">
        <v>1624</v>
      </c>
      <c r="J18" s="759"/>
      <c r="K18" s="760"/>
    </row>
    <row r="19" spans="1:33" s="755" customFormat="1" ht="13.5" customHeight="1">
      <c r="A19" s="752" t="s">
        <v>360</v>
      </c>
      <c r="B19" s="753" t="s">
        <v>1625</v>
      </c>
      <c r="C19" s="21">
        <f ca="1">ROUND(D19*E19/10000,0)</f>
        <v>5</v>
      </c>
      <c r="D19" s="796">
        <f ca="1">IF(C1="",'数据-汇总表'!E5,IF(INDIRECT("'数据-取费表'!c"&amp;$K$1)="住宅",INDIRECT("'数据-取费表'!k"&amp;$K$1),0))</f>
        <v>293.87</v>
      </c>
      <c r="E19" s="21">
        <f>'数据-取费表'!B27</f>
        <v>160</v>
      </c>
      <c r="F19" s="756"/>
      <c r="G19" s="12"/>
      <c r="H19" s="1108"/>
      <c r="I19" s="761"/>
      <c r="J19" s="761"/>
      <c r="K19" s="762"/>
    </row>
    <row r="20" spans="1:33" s="755" customFormat="1" ht="13.5" customHeight="1">
      <c r="A20" s="752" t="s">
        <v>361</v>
      </c>
      <c r="B20" s="753" t="s">
        <v>1626</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1627</v>
      </c>
      <c r="C21" s="766">
        <f ca="1">C16+C17+C18</f>
        <v>-195</v>
      </c>
      <c r="D21" s="767"/>
      <c r="E21" s="273"/>
      <c r="F21" s="273"/>
      <c r="G21" s="123" t="s">
        <v>1628</v>
      </c>
      <c r="H21" s="759"/>
      <c r="I21" s="759"/>
      <c r="J21" s="759"/>
      <c r="K21" s="760"/>
    </row>
    <row r="22" spans="1:33" s="755" customFormat="1" ht="13.5" customHeight="1">
      <c r="A22" s="744" t="s">
        <v>1600</v>
      </c>
      <c r="B22" s="765" t="s">
        <v>1629</v>
      </c>
      <c r="C22" s="766">
        <f ca="1">ROUND(C21*F22,0)</f>
        <v>-4</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-50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-50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242</v>
      </c>
      <c r="D32" s="779"/>
      <c r="E32" s="779"/>
      <c r="F32" s="779"/>
      <c r="G32" s="781" t="s">
        <v>1649</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305" t="str">
        <f>项目基本情况!B1</f>
        <v>北京市房地产市场价值预评估</v>
      </c>
      <c r="C37" s="3305"/>
      <c r="D37" s="3305"/>
      <c r="E37" s="3305"/>
      <c r="F37" s="3305"/>
      <c r="G37" s="3305"/>
      <c r="H37" s="3305"/>
      <c r="I37" s="330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8" t="s">
        <v>694</v>
      </c>
      <c r="C6" s="1011">
        <f ca="1">ROUND(F6*F8*F7*(1-F9)/10000,0)</f>
        <v>0</v>
      </c>
      <c r="D6" s="147" t="s">
        <v>2108</v>
      </c>
      <c r="E6" s="294" t="s">
        <v>696</v>
      </c>
      <c r="F6" s="295">
        <f ca="1">INDIRECT("'数据-取费表'!u"&amp;$G$1)</f>
        <v>0</v>
      </c>
      <c r="G6" s="1292"/>
      <c r="H6" s="1006" t="s">
        <v>398</v>
      </c>
      <c r="I6" s="3398" t="s">
        <v>694</v>
      </c>
      <c r="J6" s="293">
        <f ca="1">ROUND(M6*M8*M7*(1-M9)/10000,0)</f>
        <v>0</v>
      </c>
      <c r="K6" s="147" t="s">
        <v>2107</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0</v>
      </c>
      <c r="G7" s="1292"/>
      <c r="H7" s="296"/>
      <c r="I7" s="3399"/>
      <c r="J7" s="298"/>
      <c r="K7" s="299"/>
      <c r="L7" s="294" t="s">
        <v>697</v>
      </c>
      <c r="M7" s="295">
        <f ca="1">F7</f>
        <v>0</v>
      </c>
    </row>
    <row r="8" spans="1:37" ht="18" customHeight="1">
      <c r="A8" s="296"/>
      <c r="B8" s="3399"/>
      <c r="C8" s="298"/>
      <c r="D8" s="299"/>
      <c r="E8" s="294" t="s">
        <v>698</v>
      </c>
      <c r="F8" s="295">
        <f ca="1">INDIRECT("'数据-取费表'!ai"&amp;$G$1)</f>
        <v>0</v>
      </c>
      <c r="G8" s="1292"/>
      <c r="H8" s="296"/>
      <c r="I8" s="3399"/>
      <c r="J8" s="298"/>
      <c r="K8" s="299"/>
      <c r="L8" s="294" t="s">
        <v>698</v>
      </c>
      <c r="M8" s="295">
        <f ca="1">INDIRECT("'数据-取费表'!ai"&amp;$G$1)</f>
        <v>0</v>
      </c>
    </row>
    <row r="9" spans="1:37" ht="18" customHeight="1">
      <c r="A9" s="296"/>
      <c r="B9" s="3400"/>
      <c r="C9" s="298"/>
      <c r="D9" s="299"/>
      <c r="E9" s="294" t="s">
        <v>699</v>
      </c>
      <c r="F9" s="304">
        <f ca="1">INDIRECT("'数据-取费表'!w"&amp;$G$1)</f>
        <v>0</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0</v>
      </c>
      <c r="K53" s="3396" t="s">
        <v>837</v>
      </c>
      <c r="L53" s="339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7">
      <formula>$J$51&gt;$L$48</formula>
    </cfRule>
  </conditionalFormatting>
  <conditionalFormatting sqref="J11">
    <cfRule type="expression" dxfId="153" priority="2">
      <formula>$M$10="自定义"</formula>
    </cfRule>
  </conditionalFormatting>
  <conditionalFormatting sqref="K55 K60">
    <cfRule type="expression" dxfId="15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70" zoomScaleNormal="80" zoomScaleSheetLayoutView="70" workbookViewId="0">
      <selection activeCell="I37" sqref="I3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293.87</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f>C30</f>
        <v>357</v>
      </c>
      <c r="C2" s="1845" t="s">
        <v>1934</v>
      </c>
      <c r="D2" s="162" t="s">
        <v>1935</v>
      </c>
      <c r="E2" s="3120" t="s">
        <v>3386</v>
      </c>
      <c r="F2" s="162" t="s">
        <v>1936</v>
      </c>
      <c r="G2" s="163" t="str">
        <f>IF(E2="商业",项目基本情况!B37,IF(E2="办公",项目基本情况!C37,IF(E2="住宅",项目基本情况!D37,IF(E2="工业",项目基本情况!E37,项目基本情况!F37))))</f>
        <v>八级</v>
      </c>
      <c r="H2" s="162" t="s">
        <v>1937</v>
      </c>
      <c r="I2" s="163" t="str">
        <f>IF(E2="商业",项目基本情况!B38,IF(E2="办公",项目基本情况!C38,IF(E2="住宅",项目基本情况!D38,IF(E2="工业",项目基本情况!E38,项目基本情况!F38))))</f>
        <v>Ⅷ-昌1</v>
      </c>
      <c r="J2" s="1841"/>
      <c r="K2" s="1056"/>
      <c r="L2" s="1846"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18741</v>
      </c>
      <c r="U2" s="1130"/>
      <c r="V2" s="3063">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12148</v>
      </c>
      <c r="C3" s="1845" t="s">
        <v>1940</v>
      </c>
      <c r="D3" s="162" t="s">
        <v>1941</v>
      </c>
      <c r="E3" s="3118" t="s">
        <v>4386</v>
      </c>
      <c r="F3" s="1847" t="s">
        <v>4387</v>
      </c>
      <c r="G3" s="708">
        <f>IF(F3="宗地容积率",'数据-汇总表'!I4,IF(F3="估价对象容积率",'数据-汇总表'!I6,'数据-汇总表'!I7))</f>
        <v>1.5</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14445</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08"/>
      <c r="B4" s="3409"/>
      <c r="C4" s="3409"/>
      <c r="D4" s="3410"/>
      <c r="E4" s="3410"/>
      <c r="F4" s="3410"/>
      <c r="G4" s="3410"/>
      <c r="H4" s="3410"/>
      <c r="I4" s="3410"/>
      <c r="J4" s="3411"/>
      <c r="K4" s="1056"/>
      <c r="L4" s="1846"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11783</v>
      </c>
      <c r="U4" s="1130"/>
      <c r="V4" s="3063">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1946</v>
      </c>
      <c r="C5" s="709">
        <f>ROUND(IF(E2="商业",C6*C7*C17+C20,(IF(E2="住宅",C6*C13*C17+C20,IF(E2="办公",C6*C12*C17+C20,C6+C20)))),0)</f>
        <v>10984</v>
      </c>
      <c r="D5" s="1252">
        <f>ROUND(C6*C17+C20,0)</f>
        <v>9060</v>
      </c>
      <c r="E5" s="1252"/>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10004</v>
      </c>
      <c r="U5" s="1130"/>
      <c r="V5" s="3063">
        <f t="shared" si="1"/>
        <v>0</v>
      </c>
      <c r="W5" s="1133"/>
      <c r="X5" s="1133"/>
      <c r="Y5" s="1133"/>
      <c r="Z5" s="1133"/>
      <c r="AA5" s="1133"/>
      <c r="AB5" s="1133"/>
      <c r="AC5" s="1854"/>
      <c r="AD5" s="1855"/>
      <c r="AE5" s="1855"/>
      <c r="AF5" s="1855"/>
      <c r="AG5" s="1855"/>
      <c r="AH5" s="1855"/>
      <c r="AI5" s="1855"/>
      <c r="AJ5" s="1856"/>
    </row>
    <row r="6" spans="1:36" ht="15.6" thickBot="1">
      <c r="A6" s="1858" t="s">
        <v>1948</v>
      </c>
      <c r="B6" s="1859" t="s">
        <v>1949</v>
      </c>
      <c r="C6" s="710">
        <f>SUMIF(L1:L12,G2,M1:M12)</f>
        <v>9040</v>
      </c>
      <c r="D6" s="1860"/>
      <c r="E6" s="1861"/>
      <c r="F6" s="1861"/>
      <c r="G6" s="1862"/>
      <c r="H6" s="1862"/>
      <c r="I6" s="1862"/>
      <c r="J6" s="1863"/>
      <c r="K6" s="1292"/>
      <c r="L6" s="1846"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9114</v>
      </c>
      <c r="U6" s="1130"/>
      <c r="V6" s="3063">
        <f t="shared" si="1"/>
        <v>0</v>
      </c>
      <c r="W6" s="1133"/>
      <c r="X6" s="1133"/>
      <c r="Y6" s="1133"/>
      <c r="Z6" s="1133"/>
      <c r="AA6" s="1133"/>
      <c r="AB6" s="1133"/>
      <c r="AC6" s="1854"/>
      <c r="AD6" s="1855"/>
      <c r="AE6" s="1855"/>
      <c r="AF6" s="1855"/>
      <c r="AG6" s="1855"/>
      <c r="AH6" s="1855"/>
      <c r="AI6" s="1855"/>
      <c r="AJ6" s="1856"/>
    </row>
    <row r="7" spans="1:36" ht="24.6" thickBot="1">
      <c r="A7" s="3012" t="s">
        <v>3239</v>
      </c>
      <c r="B7" s="1864" t="s">
        <v>1951</v>
      </c>
      <c r="C7" s="711">
        <f>IF(C8="不临65条商业街",1,ROUND(1+(1.6*E8+1.2*E9+0.8*E10+0.4*E11)*C9,4))</f>
        <v>1</v>
      </c>
      <c r="D7" s="1865" t="s">
        <v>1952</v>
      </c>
      <c r="E7" s="730">
        <v>6</v>
      </c>
      <c r="F7" s="1866"/>
      <c r="G7" s="1867"/>
      <c r="H7" s="1867"/>
      <c r="I7" s="1867"/>
      <c r="J7" s="1868"/>
      <c r="K7" s="1292"/>
      <c r="L7" s="1846"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1954</v>
      </c>
      <c r="X7" s="1131" t="str">
        <f>G2</f>
        <v>八级</v>
      </c>
      <c r="Y7" s="1131" t="s">
        <v>1955</v>
      </c>
      <c r="Z7" s="1132">
        <f>G3</f>
        <v>1.5</v>
      </c>
      <c r="AA7" s="1133"/>
      <c r="AB7" s="1133"/>
      <c r="AC7" s="1134"/>
      <c r="AD7" s="1135"/>
      <c r="AE7" s="1135"/>
      <c r="AF7" s="1135"/>
      <c r="AG7" s="1135"/>
      <c r="AH7" s="1135"/>
      <c r="AI7" s="1135"/>
      <c r="AJ7" s="1136"/>
    </row>
    <row r="8" spans="1:36" ht="15">
      <c r="A8" s="3009"/>
      <c r="B8" s="162" t="s">
        <v>1956</v>
      </c>
      <c r="C8" s="1869"/>
      <c r="D8" s="712" t="s">
        <v>112</v>
      </c>
      <c r="E8" s="713">
        <f>ROUND(C11/E7,4)</f>
        <v>0</v>
      </c>
      <c r="F8" s="1870" t="s">
        <v>1957</v>
      </c>
      <c r="G8" s="1871"/>
      <c r="H8" s="1871"/>
      <c r="I8" s="1871"/>
      <c r="J8" s="1872"/>
      <c r="K8" s="1056"/>
      <c r="L8" s="1846" t="s">
        <v>1958</v>
      </c>
      <c r="M8" s="811">
        <f>SUMPRODUCT((区片价!B234:B276=I2)*(区片价!C3:G3=E2)*(区片价!C234:G276))</f>
        <v>9040</v>
      </c>
      <c r="N8" s="813">
        <f>SUMPRODUCT((因素修正幅度!B234:B276=I2)*(因素修正幅度!C3:G3=E2)*(因素修正幅度!C234:G276))</f>
        <v>0.15</v>
      </c>
      <c r="O8" s="1056"/>
      <c r="P8" s="1056"/>
      <c r="Q8" s="1056"/>
      <c r="R8" s="1129">
        <v>7</v>
      </c>
      <c r="S8" s="1130"/>
      <c r="T8" s="3063">
        <f t="shared" si="0"/>
        <v>0</v>
      </c>
      <c r="U8" s="1130"/>
      <c r="V8" s="3063">
        <f t="shared" si="1"/>
        <v>0</v>
      </c>
      <c r="W8" s="3405" t="s">
        <v>1959</v>
      </c>
      <c r="X8" s="3406"/>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9"/>
      <c r="B9" s="162" t="s">
        <v>1972</v>
      </c>
      <c r="C9" s="714">
        <f>SUMIF(修正!C71:C138,C8,修正!E71:E138)</f>
        <v>0</v>
      </c>
      <c r="D9" s="163" t="s">
        <v>113</v>
      </c>
      <c r="E9" s="163">
        <f>ROUND(C11/E7,4)</f>
        <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07"/>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f>ROUND(C11/E7,4)</f>
        <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5">
        <f>C10/4</f>
        <v>0</v>
      </c>
      <c r="D11" s="715" t="s">
        <v>115</v>
      </c>
      <c r="E11" s="715">
        <f>ROUND(C11/E7,4)</f>
        <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3244</v>
      </c>
      <c r="B13" s="1877" t="s">
        <v>1981</v>
      </c>
      <c r="C13" s="711">
        <f>ROUND(C16*D16*E16*F16*G16*H16*I16*J16,4)</f>
        <v>1.2128000000000001</v>
      </c>
      <c r="D13" s="1878" t="s">
        <v>1982</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2" t="s">
        <v>1984</v>
      </c>
      <c r="C14" s="1883" t="s">
        <v>1985</v>
      </c>
      <c r="D14" s="1261" t="s">
        <v>1986</v>
      </c>
      <c r="E14" s="27" t="s">
        <v>1987</v>
      </c>
      <c r="F14" s="3020" t="s">
        <v>3245</v>
      </c>
      <c r="G14" s="3020" t="s">
        <v>3245</v>
      </c>
      <c r="H14" s="3020" t="s">
        <v>3245</v>
      </c>
      <c r="I14" s="3020" t="s">
        <v>3245</v>
      </c>
      <c r="J14" s="3020" t="s">
        <v>3245</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4389</v>
      </c>
      <c r="D15" s="1886" t="s">
        <v>4389</v>
      </c>
      <c r="E15" s="1887" t="s">
        <v>4390</v>
      </c>
      <c r="F15" s="1470" t="s">
        <v>3246</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1988</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f>ROUND(G18/I18,2)</f>
        <v>0</v>
      </c>
      <c r="F17" s="3028" t="s">
        <v>3252</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3250</v>
      </c>
      <c r="E18" s="2356"/>
      <c r="F18" s="3030" t="s">
        <v>3253</v>
      </c>
      <c r="G18" s="3034">
        <f>ROUND(1-(1/(POWER(1+G24,E18))),4)</f>
        <v>0</v>
      </c>
      <c r="H18" s="3030" t="s">
        <v>3255</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3251</v>
      </c>
      <c r="E19" s="3043"/>
      <c r="F19" s="3044" t="s">
        <v>3254</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12" t="s">
        <v>3256</v>
      </c>
      <c r="B20" s="159" t="s">
        <v>1993</v>
      </c>
      <c r="C20" s="3031">
        <f>ROUND(IF(F21="与级别开发程度一致",0,(G21-E21)/C21),0)</f>
        <v>20</v>
      </c>
      <c r="D20" s="3046" t="s">
        <v>1997</v>
      </c>
      <c r="E20" s="3047"/>
      <c r="F20" s="3418" t="s">
        <v>1994</v>
      </c>
      <c r="G20" s="3419"/>
      <c r="H20" s="3032" t="s">
        <v>4391</v>
      </c>
      <c r="I20" s="3032" t="s">
        <v>4392</v>
      </c>
      <c r="J20" s="3033" t="s">
        <v>4393</v>
      </c>
      <c r="K20" s="1888" t="s">
        <v>4394</v>
      </c>
      <c r="L20" s="1888" t="s">
        <v>4395</v>
      </c>
      <c r="M20" s="1888" t="s">
        <v>43</v>
      </c>
      <c r="N20" s="1888" t="s">
        <v>4396</v>
      </c>
      <c r="O20" s="1889" t="s">
        <v>4397</v>
      </c>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7" thickBot="1">
      <c r="A21" s="3413"/>
      <c r="B21" s="2001" t="s">
        <v>1996</v>
      </c>
      <c r="C21" s="2002">
        <f>IF(E3="M4科研用地",SUMPRODUCT((修正!A2:A7=E3)*(修正!B1:M1=G2)*(修正!B2:M7)),SUMPRODUCT((修正!A2:A7=E2)*(修正!B1:M1=G2)*(修正!B2:M7)))</f>
        <v>1.5</v>
      </c>
      <c r="D21" s="179" t="str">
        <f>IF(OR(G2="八级",G2="九级",G2="十级",G2="十一级",G2="十二级"),"五通一平","七通一平")</f>
        <v>五通一平</v>
      </c>
      <c r="E21" s="1992">
        <f>SUMPRODUCT((修正!B1:M1=G2)*(修正!B17:M17))</f>
        <v>185</v>
      </c>
      <c r="F21" s="1993" t="s">
        <v>4388</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0</v>
      </c>
      <c r="N21" s="2002">
        <f>SUMPRODUCT((七通一平=N20)*(修正!B1:M1=G2)*(修正!B8:M16))</f>
        <v>30</v>
      </c>
      <c r="O21" s="2004">
        <f>SUMPRODUCT((七通一平=O20)*(修正!B1:M1=G2)*(修正!B8:M16))</f>
        <v>10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1999</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2000</v>
      </c>
      <c r="C23" s="3304">
        <v>1.0672999999999999</v>
      </c>
      <c r="D23" s="1895" t="s">
        <v>2001</v>
      </c>
      <c r="E23" s="717">
        <v>44197</v>
      </c>
      <c r="F23" s="1895" t="s">
        <v>2002</v>
      </c>
      <c r="G23" s="718">
        <f>'数据-取费表'!B2</f>
        <v>45593</v>
      </c>
      <c r="H23" s="3048" t="s">
        <v>3258</v>
      </c>
      <c r="I23" s="3049" t="str">
        <f>IF(H23="季度增幅（自定义）",SUMIF(N25:N28,E2,O25:O28),"")</f>
        <v/>
      </c>
      <c r="J23" s="3141" t="s">
        <v>3257</v>
      </c>
      <c r="K23" s="1061"/>
      <c r="L23" s="1896" t="s">
        <v>2003</v>
      </c>
      <c r="M23" s="1241">
        <f>ROUND(SUMIF(地价!B2:G2,E2,地价!B16:G16),0)</f>
        <v>687</v>
      </c>
      <c r="N23" s="1897" t="s">
        <v>2004</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2005</v>
      </c>
      <c r="C24" s="720">
        <f>ROUND(POWER(1+G24,J24-I24)*(POWER(1+G24,I24)-1)/(POWER(1+G24,J24)-1),4)</f>
        <v>0.96740000000000004</v>
      </c>
      <c r="D24" s="1901" t="s">
        <v>2006</v>
      </c>
      <c r="E24" s="1248">
        <f>存贷款利率!E24/100</f>
        <v>4.3499999999999997E-2</v>
      </c>
      <c r="F24" s="1901" t="s">
        <v>1998</v>
      </c>
      <c r="G24" s="724">
        <f>SUMIF(M30:Q30,E2,M33:Q33)</f>
        <v>0.05</v>
      </c>
      <c r="H24" s="1901" t="s">
        <v>2007</v>
      </c>
      <c r="I24" s="725">
        <f>SUMIF('数据-取费表'!C6:C15,E2,'数据-取费表'!F6:F15)/COUNTIF('数据-取费表'!C6:C15,E2)</f>
        <v>56.21</v>
      </c>
      <c r="J24" s="726">
        <f>IF(E2="住宅",70,IF(E2="商业",40,50))</f>
        <v>70</v>
      </c>
      <c r="K24" s="1061"/>
      <c r="L24" s="1902" t="s">
        <v>2008</v>
      </c>
      <c r="M24" s="1242">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3336</v>
      </c>
      <c r="C25" s="461">
        <f>IF(B25="容积率修正",IF(G3&lt;10,D26,J26),C27)</f>
        <v>1</v>
      </c>
      <c r="D25" s="1908"/>
      <c r="E25" s="1908"/>
      <c r="F25" s="1908"/>
      <c r="G25" s="1908"/>
      <c r="H25" s="1908"/>
      <c r="I25" s="1908"/>
      <c r="J25" s="1909"/>
      <c r="K25" s="1061"/>
      <c r="L25" s="2552"/>
      <c r="M25" s="2552"/>
      <c r="N25" s="1910"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2013</v>
      </c>
      <c r="B26" s="1911" t="s">
        <v>2014</v>
      </c>
      <c r="C26" s="1911" t="s">
        <v>3259</v>
      </c>
      <c r="D26" s="1263">
        <f>IF(E26=G26,F26,IF(G3&lt;10,ROUND(F26+(H26-F26)*(G3-E26)/(G26-E26),4),"——"))</f>
        <v>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4" t="str">
        <f>IF(G3&gt;=10,D115,"——")</f>
        <v>——</v>
      </c>
      <c r="K26" s="1061"/>
      <c r="L26" s="2552"/>
      <c r="M26" s="2552"/>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2019</v>
      </c>
      <c r="C28" s="716">
        <f>SUMIF(A47:A101,E2,B47:B101)</f>
        <v>1.0718000000000001</v>
      </c>
      <c r="D28" s="1893"/>
      <c r="E28" s="1918"/>
      <c r="F28" s="1918"/>
      <c r="G28" s="1918"/>
      <c r="H28" s="1918"/>
      <c r="I28" s="1918"/>
      <c r="J28" s="1919"/>
      <c r="K28" s="1061"/>
      <c r="L28" s="2552"/>
      <c r="M28" s="2552"/>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2021</v>
      </c>
      <c r="C29" s="721"/>
      <c r="D29" s="1867"/>
      <c r="E29" s="1867"/>
      <c r="F29" s="1922"/>
      <c r="G29" s="1867"/>
      <c r="H29" s="1867"/>
      <c r="I29" s="1867"/>
      <c r="J29" s="1868"/>
      <c r="K29" s="1056"/>
      <c r="L29" s="1843"/>
      <c r="M29" s="1843"/>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2023</v>
      </c>
      <c r="C30" s="2144">
        <f>IF(B25="容积率修正",E33+SUM(E37:E42),SUM(V2:V16)+SUM(E37:E42))</f>
        <v>357</v>
      </c>
      <c r="D30" s="1924"/>
      <c r="E30" s="1841"/>
      <c r="F30" s="1925"/>
      <c r="G30" s="1841"/>
      <c r="H30" s="1841"/>
      <c r="I30" s="1841"/>
      <c r="J30" s="1926"/>
      <c r="K30" s="1056"/>
      <c r="L30" s="3055" t="s">
        <v>1935</v>
      </c>
      <c r="M30" s="3056" t="s">
        <v>1989</v>
      </c>
      <c r="N30" s="3056" t="s">
        <v>1990</v>
      </c>
      <c r="O30" s="3056" t="s">
        <v>1991</v>
      </c>
      <c r="P30" s="3056" t="s">
        <v>1992</v>
      </c>
      <c r="Q30" s="3059"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2024</v>
      </c>
      <c r="C31" s="722">
        <f>E34+SUM(I37:I42)</f>
        <v>0</v>
      </c>
      <c r="D31" s="1928"/>
      <c r="E31" s="1929"/>
      <c r="F31" s="1930"/>
      <c r="G31" s="1929"/>
      <c r="H31" s="1929"/>
      <c r="I31" s="1929"/>
      <c r="J31" s="1931"/>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6"/>
      <c r="L32" s="3058" t="s">
        <v>1998</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2029</v>
      </c>
      <c r="C33" s="167">
        <f>ROUND(C5*C22*C23*C24*C25*C28,0)</f>
        <v>12155</v>
      </c>
      <c r="D33" s="1939">
        <f>'数据-汇总表'!E19</f>
        <v>293.87</v>
      </c>
      <c r="E33" s="727">
        <f>ROUND(C33*D33/10000,0)</f>
        <v>357</v>
      </c>
      <c r="F33" s="3050" t="s">
        <v>3262</v>
      </c>
      <c r="G33" s="1940"/>
      <c r="H33" s="1940"/>
      <c r="I33" s="1940"/>
      <c r="J33" s="1941"/>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2030</v>
      </c>
      <c r="C34" s="179">
        <f>ROUND(IF(E2="工业",C33*M42,IF(B25="楼层修正",SUM(V2:V16)*M41*10000/D34,C33*M41)),0)</f>
        <v>3039</v>
      </c>
      <c r="D34" s="1944"/>
      <c r="E34" s="727">
        <f>ROUND(IF(B25="楼层修正",SUM(V2:V16)*M40,C34*D34/10000),0)</f>
        <v>0</v>
      </c>
      <c r="F34" s="1945" t="s">
        <v>2031</v>
      </c>
      <c r="G34" s="1946"/>
      <c r="H34" s="1946"/>
      <c r="I34" s="1946"/>
      <c r="J34" s="1947"/>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51" t="s">
        <v>3263</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3267</v>
      </c>
      <c r="L36" s="3142">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16"/>
      <c r="B37" s="1954" t="s">
        <v>2035</v>
      </c>
      <c r="C37" s="167">
        <f>ROUND(D5*C22*C23*C24*C28*F37,0)</f>
        <v>5013</v>
      </c>
      <c r="D37" s="1939"/>
      <c r="E37" s="163">
        <f>ROUND(C37*D37/10000,0)</f>
        <v>0</v>
      </c>
      <c r="F37" s="163">
        <f>SUMIF(修正!A57:A68,G2,修正!B57:B68)</f>
        <v>0.5</v>
      </c>
      <c r="G37" s="163">
        <f>ROUND(IF(E2="工业",C37*$M$42,C37*$M$41),0)</f>
        <v>1253</v>
      </c>
      <c r="H37" s="163">
        <f>D37</f>
        <v>0</v>
      </c>
      <c r="I37" s="163">
        <f>ROUND(G37*H37/10000,0)</f>
        <v>0</v>
      </c>
      <c r="J37" s="2754"/>
      <c r="K37" s="3061" t="s">
        <v>3268</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17"/>
      <c r="B38" s="1883" t="s">
        <v>2036</v>
      </c>
      <c r="C38" s="167">
        <f>ROUND(D5*C22*C23*C24*C28*F38,0)</f>
        <v>2005</v>
      </c>
      <c r="D38" s="1939"/>
      <c r="E38" s="163">
        <f t="shared" ref="E38:E42" si="4">ROUND(C38*D38/10000,0)</f>
        <v>0</v>
      </c>
      <c r="F38" s="163">
        <f>SUMIF(修正!A57:A68,G2,修正!C57:C68)</f>
        <v>0.2</v>
      </c>
      <c r="G38" s="163">
        <f>ROUND(IF(E2="工业",C38*$M$42,C38*$M$41),0)</f>
        <v>501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17"/>
      <c r="B39" s="1883" t="s">
        <v>3261</v>
      </c>
      <c r="C39" s="167">
        <f>ROUND(D5*C22*C23*C24*C28*F39,0)</f>
        <v>2005</v>
      </c>
      <c r="D39" s="1939"/>
      <c r="E39" s="163">
        <f t="shared" si="4"/>
        <v>0</v>
      </c>
      <c r="F39" s="163">
        <f>SUMIF(修正!A57:A68,G2,修正!D57:D68)</f>
        <v>0.2</v>
      </c>
      <c r="G39" s="163">
        <f>ROUND(IF(E2="工业",C39*$M$42,C39*$M$41),0)</f>
        <v>501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f>ROUND(D5*C22*C23*C24*C28*F40,0)</f>
        <v>2005</v>
      </c>
      <c r="D40" s="1939"/>
      <c r="E40" s="163">
        <f t="shared" si="4"/>
        <v>0</v>
      </c>
      <c r="F40" s="167">
        <f>SUMIF(修正!A57:A68,G2,修正!E57:E68)</f>
        <v>0.2</v>
      </c>
      <c r="G40" s="163">
        <f>ROUND(IF(E2="工业",C40*$M$42,C40*$M$41),0)</f>
        <v>501</v>
      </c>
      <c r="H40" s="163">
        <f t="shared" si="5"/>
        <v>0</v>
      </c>
      <c r="I40" s="163">
        <f t="shared" si="6"/>
        <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3269</v>
      </c>
      <c r="M41" s="1958">
        <v>0.25</v>
      </c>
      <c r="Z41" s="1057"/>
      <c r="AA41" s="1057"/>
      <c r="AB41" s="1057"/>
      <c r="AC41" s="1057"/>
      <c r="AD41" s="1057"/>
      <c r="AE41" s="1057"/>
      <c r="AF41" s="1057"/>
      <c r="AG41" s="1057"/>
      <c r="AH41" s="1057"/>
      <c r="AI41" s="1057"/>
      <c r="AJ41" s="1057"/>
    </row>
    <row r="42" spans="1:37" s="1056" customFormat="1" ht="13.8" thickBot="1">
      <c r="A42" s="1942"/>
      <c r="B42" s="1959" t="s">
        <v>2040</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2121</v>
      </c>
      <c r="C44" s="333">
        <f>ROUND(POWER(1+E44,H44-G44)*(POWER(1+E44,G44)-1)/(POWER(1+E44,H44)-1),4)</f>
        <v>0</v>
      </c>
      <c r="D44" s="163" t="s">
        <v>1998</v>
      </c>
      <c r="E44" s="1990">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2041</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2042</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2043</v>
      </c>
      <c r="B49" s="1262" t="s">
        <v>2044</v>
      </c>
      <c r="C49" s="1262" t="s">
        <v>2045</v>
      </c>
      <c r="D49" s="1262" t="s">
        <v>2046</v>
      </c>
      <c r="E49" s="701" t="s">
        <v>2047</v>
      </c>
      <c r="F49" s="1970" t="s">
        <v>2048</v>
      </c>
      <c r="G49" s="1262" t="s">
        <v>310</v>
      </c>
      <c r="H49" s="1971"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9.6">
      <c r="A50" s="1969" t="s">
        <v>2051</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2052</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2053</v>
      </c>
      <c r="B53" s="1973" t="s">
        <v>2054</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2056</v>
      </c>
      <c r="B55" s="1974" t="s">
        <v>2057</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2058</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2059</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2060</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2043</v>
      </c>
      <c r="B60" s="1262"/>
      <c r="C60" s="1262" t="s">
        <v>2045</v>
      </c>
      <c r="D60" s="1262" t="s">
        <v>2046</v>
      </c>
      <c r="E60" s="701" t="s">
        <v>2047</v>
      </c>
      <c r="F60" s="1970" t="s">
        <v>2062</v>
      </c>
      <c r="G60" s="1262" t="s">
        <v>310</v>
      </c>
      <c r="H60" s="1971"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9.6">
      <c r="A61" s="1969" t="s">
        <v>2063</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2052</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2053</v>
      </c>
      <c r="B64" s="1973" t="s">
        <v>2054</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2056</v>
      </c>
      <c r="B66" s="1974" t="s">
        <v>2057</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2058</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2059</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2060</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2064</v>
      </c>
      <c r="B70" s="1967">
        <f>1+E72</f>
        <v>1.0718000000000001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2043</v>
      </c>
      <c r="B71" s="1262"/>
      <c r="C71" s="1262" t="s">
        <v>2045</v>
      </c>
      <c r="D71" s="1262" t="s">
        <v>2046</v>
      </c>
      <c r="E71" s="701" t="s">
        <v>2047</v>
      </c>
      <c r="F71" s="1970" t="s">
        <v>2062</v>
      </c>
      <c r="G71" s="1262" t="s">
        <v>310</v>
      </c>
      <c r="H71" s="1971"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2.8">
      <c r="A72" s="1969" t="s">
        <v>2065</v>
      </c>
      <c r="B72" s="1972" t="str">
        <f>估价对象房地状况!C15</f>
        <v>估价对象周边居住用地比例、居住小区规模和社区发展完善程度，综合评价居住社区成熟度一般</v>
      </c>
      <c r="C72" s="1886" t="s">
        <v>3600</v>
      </c>
      <c r="D72" s="1002">
        <f t="shared" ref="D72:D80" si="17">SUMIF($J$71:$N$71,C72,J72:N72)</f>
        <v>1.4999999999999999E-2</v>
      </c>
      <c r="E72" s="702">
        <f>ROUND(SUM(D72:D80),4)</f>
        <v>7.1800000000000003E-2</v>
      </c>
      <c r="F72" s="1675">
        <f>IF(E2="住宅",SUMIF(L1:L12,G2,N1:N12),"——")</f>
        <v>0.15</v>
      </c>
      <c r="G72" s="1000">
        <f>H72</f>
        <v>1.4999999999999999E-2</v>
      </c>
      <c r="H72" s="1003">
        <f t="shared" ref="H72:H80" si="18">IFERROR(ROUNDDOWN($F$72*I72/2,4),"——")</f>
        <v>1.4999999999999999E-2</v>
      </c>
      <c r="I72" s="3068">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52.8">
      <c r="A73" s="1969" t="s">
        <v>2052</v>
      </c>
      <c r="B73" s="1262" t="str">
        <f>估价对象房地状况!C18</f>
        <v>估价对象周边道路状况、公共交通通达情况、停车便捷程度，综合评价交通便捷度较好</v>
      </c>
      <c r="C73" s="1886" t="s">
        <v>3600</v>
      </c>
      <c r="D73" s="1002">
        <f t="shared" si="17"/>
        <v>1.95E-2</v>
      </c>
      <c r="E73" s="705"/>
      <c r="F73" s="1675"/>
      <c r="G73" s="1000">
        <f t="shared" ref="G73:G80" si="22">H73</f>
        <v>1.95E-2</v>
      </c>
      <c r="H73" s="1003">
        <f t="shared" si="18"/>
        <v>1.95E-2</v>
      </c>
      <c r="I73" s="3068">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3" customFormat="1" ht="48">
      <c r="A74" s="3070" t="s">
        <v>3271</v>
      </c>
      <c r="B74" s="1262">
        <f>估价对象房地状况!C19</f>
        <v>0</v>
      </c>
      <c r="C74" s="1886" t="s">
        <v>3600</v>
      </c>
      <c r="D74" s="1002">
        <f t="shared" si="17"/>
        <v>7.4999999999999997E-3</v>
      </c>
      <c r="E74" s="705"/>
      <c r="F74" s="1675"/>
      <c r="G74" s="1000">
        <f t="shared" si="22"/>
        <v>7.4999999999999997E-3</v>
      </c>
      <c r="H74" s="1003">
        <f t="shared" si="18"/>
        <v>7.4999999999999997E-3</v>
      </c>
      <c r="I74" s="3068">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79"/>
      <c r="AB74" s="1057"/>
      <c r="AC74" s="1057"/>
      <c r="AD74" s="1057"/>
      <c r="AE74" s="1057"/>
      <c r="AF74" s="1057"/>
      <c r="AG74" s="1057"/>
      <c r="AH74" s="1979"/>
      <c r="AI74" s="1979"/>
      <c r="AJ74" s="1979"/>
      <c r="AK74" s="1979"/>
    </row>
    <row r="75" spans="1:37" ht="13.8">
      <c r="A75" s="1969" t="s">
        <v>2066</v>
      </c>
      <c r="B75" s="1262">
        <f>估价对象房地状况!C24</f>
        <v>0</v>
      </c>
      <c r="C75" s="1886" t="s">
        <v>4272</v>
      </c>
      <c r="D75" s="1002">
        <f t="shared" si="17"/>
        <v>0</v>
      </c>
      <c r="E75" s="705"/>
      <c r="F75" s="1675"/>
      <c r="G75" s="1000">
        <f t="shared" si="22"/>
        <v>3.7000000000000002E-3</v>
      </c>
      <c r="H75" s="1003">
        <f t="shared" si="18"/>
        <v>3.7000000000000002E-3</v>
      </c>
      <c r="I75" s="3068">
        <v>0.05</v>
      </c>
      <c r="J75" s="1001">
        <f t="shared" si="19"/>
        <v>7.4000000000000003E-3</v>
      </c>
      <c r="K75" s="1001">
        <f t="shared" si="20"/>
        <v>3.7000000000000002E-3</v>
      </c>
      <c r="L75" s="1001">
        <v>0</v>
      </c>
      <c r="M75" s="1001">
        <f t="shared" si="21"/>
        <v>-3.7000000000000002E-3</v>
      </c>
      <c r="N75" s="1001">
        <f t="shared" si="21"/>
        <v>-7.4000000000000003E-3</v>
      </c>
      <c r="O75" s="1056"/>
      <c r="P75" s="1056"/>
      <c r="Q75" s="1843"/>
      <c r="Z75" s="1844"/>
      <c r="AA75" s="1894"/>
      <c r="AG75" s="1058"/>
      <c r="AK75" s="1894"/>
    </row>
    <row r="76" spans="1:37" ht="26.4">
      <c r="A76" s="1969" t="s">
        <v>2058</v>
      </c>
      <c r="B76" s="1240" t="str">
        <f>估价对象房地状况!C21</f>
        <v>估价对象所在区域公共配套设施齐备情况</v>
      </c>
      <c r="C76" s="1886" t="s">
        <v>4272</v>
      </c>
      <c r="D76" s="1002">
        <f t="shared" si="17"/>
        <v>0</v>
      </c>
      <c r="E76" s="705"/>
      <c r="F76" s="1675"/>
      <c r="G76" s="1000">
        <f t="shared" si="22"/>
        <v>6.0000000000000001E-3</v>
      </c>
      <c r="H76" s="1003">
        <f t="shared" si="18"/>
        <v>6.0000000000000001E-3</v>
      </c>
      <c r="I76" s="3068">
        <v>0.08</v>
      </c>
      <c r="J76" s="1001">
        <f t="shared" si="19"/>
        <v>1.2E-2</v>
      </c>
      <c r="K76" s="1001">
        <f t="shared" si="20"/>
        <v>6.0000000000000001E-3</v>
      </c>
      <c r="L76" s="1001">
        <v>0</v>
      </c>
      <c r="M76" s="1001">
        <f t="shared" si="21"/>
        <v>-6.0000000000000001E-3</v>
      </c>
      <c r="N76" s="1001">
        <f t="shared" si="21"/>
        <v>-1.2E-2</v>
      </c>
      <c r="O76" s="1056"/>
      <c r="P76" s="1056"/>
      <c r="Z76" s="1844"/>
      <c r="AA76" s="1894"/>
      <c r="AG76" s="1058"/>
      <c r="AK76" s="1894"/>
    </row>
    <row r="77" spans="1:37" ht="26.4">
      <c r="A77" s="1969" t="s">
        <v>2059</v>
      </c>
      <c r="B77" s="1240" t="str">
        <f>估价对象房地状况!C22</f>
        <v>估价对象所在区域基础设施水平</v>
      </c>
      <c r="C77" s="1886" t="s">
        <v>4398</v>
      </c>
      <c r="D77" s="1002">
        <f t="shared" si="17"/>
        <v>1.34E-2</v>
      </c>
      <c r="E77" s="705"/>
      <c r="F77" s="1675"/>
      <c r="G77" s="1000">
        <f t="shared" si="22"/>
        <v>6.7000000000000002E-3</v>
      </c>
      <c r="H77" s="1003">
        <f t="shared" si="18"/>
        <v>6.7000000000000002E-3</v>
      </c>
      <c r="I77" s="3068">
        <v>0.09</v>
      </c>
      <c r="J77" s="1001">
        <f t="shared" si="19"/>
        <v>1.34E-2</v>
      </c>
      <c r="K77" s="1001">
        <f t="shared" si="20"/>
        <v>6.7000000000000002E-3</v>
      </c>
      <c r="L77" s="1001">
        <v>0</v>
      </c>
      <c r="M77" s="1001">
        <f t="shared" si="21"/>
        <v>-6.7000000000000002E-3</v>
      </c>
      <c r="N77" s="1001">
        <f t="shared" si="21"/>
        <v>-1.34E-2</v>
      </c>
      <c r="O77" s="1056"/>
      <c r="P77" s="1056"/>
      <c r="Z77" s="1844"/>
      <c r="AA77" s="1894"/>
      <c r="AG77" s="1058"/>
      <c r="AK77" s="1894"/>
    </row>
    <row r="78" spans="1:37" ht="36">
      <c r="A78" s="1969" t="s">
        <v>2056</v>
      </c>
      <c r="B78" s="1974" t="s">
        <v>2057</v>
      </c>
      <c r="C78" s="1886" t="s">
        <v>3600</v>
      </c>
      <c r="D78" s="1002">
        <f t="shared" si="17"/>
        <v>3.7000000000000002E-3</v>
      </c>
      <c r="E78" s="705"/>
      <c r="F78" s="1675"/>
      <c r="G78" s="1000">
        <f t="shared" si="22"/>
        <v>3.7000000000000002E-3</v>
      </c>
      <c r="H78" s="1003">
        <f t="shared" si="18"/>
        <v>3.7000000000000002E-3</v>
      </c>
      <c r="I78" s="3068">
        <v>0.05</v>
      </c>
      <c r="J78" s="1001">
        <f t="shared" si="19"/>
        <v>7.4000000000000003E-3</v>
      </c>
      <c r="K78" s="1001">
        <f t="shared" si="20"/>
        <v>3.7000000000000002E-3</v>
      </c>
      <c r="L78" s="1001">
        <v>0</v>
      </c>
      <c r="M78" s="1001">
        <f t="shared" si="21"/>
        <v>-3.7000000000000002E-3</v>
      </c>
      <c r="N78" s="1001">
        <f t="shared" si="21"/>
        <v>-7.4000000000000003E-3</v>
      </c>
      <c r="O78" s="1843"/>
      <c r="P78" s="1843"/>
      <c r="Z78" s="1844"/>
      <c r="AA78" s="1894"/>
      <c r="AG78" s="1058"/>
      <c r="AK78" s="1894"/>
    </row>
    <row r="79" spans="1:37" ht="39.6">
      <c r="A79" s="1969" t="s">
        <v>2060</v>
      </c>
      <c r="B79" s="1972" t="str">
        <f>估价对象房地状况!C20</f>
        <v>区域自然环境：；人文环境；综合评价环境状况一般</v>
      </c>
      <c r="C79" s="1886" t="s">
        <v>3600</v>
      </c>
      <c r="D79" s="1002">
        <f t="shared" si="17"/>
        <v>8.9999999999999993E-3</v>
      </c>
      <c r="E79" s="705"/>
      <c r="F79" s="1675"/>
      <c r="G79" s="1000">
        <f t="shared" si="22"/>
        <v>8.9999999999999993E-3</v>
      </c>
      <c r="H79" s="1003">
        <f t="shared" si="18"/>
        <v>8.9999999999999993E-3</v>
      </c>
      <c r="I79" s="3068">
        <v>0.12</v>
      </c>
      <c r="J79" s="1001">
        <f t="shared" si="19"/>
        <v>1.7999999999999999E-2</v>
      </c>
      <c r="K79" s="1001">
        <f t="shared" si="20"/>
        <v>8.9999999999999993E-3</v>
      </c>
      <c r="L79" s="1001">
        <v>0</v>
      </c>
      <c r="M79" s="1001">
        <f t="shared" si="21"/>
        <v>-8.9999999999999993E-3</v>
      </c>
      <c r="N79" s="1001">
        <f t="shared" si="21"/>
        <v>-1.7999999999999999E-2</v>
      </c>
      <c r="Z79" s="1844"/>
      <c r="AA79" s="1894"/>
      <c r="AG79" s="1058"/>
      <c r="AK79" s="1894"/>
    </row>
    <row r="80" spans="1:37" ht="36.6" thickBot="1">
      <c r="A80" s="1976" t="s">
        <v>2067</v>
      </c>
      <c r="B80" s="1980"/>
      <c r="C80" s="1886" t="s">
        <v>3600</v>
      </c>
      <c r="D80" s="1002">
        <f t="shared" si="17"/>
        <v>3.7000000000000002E-3</v>
      </c>
      <c r="E80" s="706"/>
      <c r="F80" s="1675"/>
      <c r="G80" s="1000">
        <f t="shared" si="22"/>
        <v>3.7000000000000002E-3</v>
      </c>
      <c r="H80" s="1003">
        <f t="shared" si="18"/>
        <v>3.7000000000000002E-3</v>
      </c>
      <c r="I80" s="3069">
        <v>0.05</v>
      </c>
      <c r="J80" s="1001">
        <f t="shared" si="19"/>
        <v>7.4000000000000003E-3</v>
      </c>
      <c r="K80" s="1001">
        <f t="shared" si="20"/>
        <v>3.7000000000000002E-3</v>
      </c>
      <c r="L80" s="1001">
        <v>0</v>
      </c>
      <c r="M80" s="1001">
        <f t="shared" si="21"/>
        <v>-3.7000000000000002E-3</v>
      </c>
      <c r="N80" s="1001">
        <f t="shared" si="21"/>
        <v>-7.4000000000000003E-3</v>
      </c>
      <c r="Z80" s="1844"/>
      <c r="AA80" s="1894"/>
      <c r="AG80" s="1058"/>
      <c r="AK80" s="1894"/>
    </row>
    <row r="81" spans="1:37" ht="14.4">
      <c r="A81" s="1966" t="s">
        <v>2068</v>
      </c>
      <c r="B81" s="1967">
        <f>1+E83</f>
        <v>1</v>
      </c>
      <c r="C81" s="699"/>
      <c r="D81" s="699"/>
      <c r="E81" s="700"/>
      <c r="F81" s="1968"/>
      <c r="G81" s="3"/>
      <c r="H81" s="3"/>
      <c r="I81" s="3"/>
      <c r="J81" s="4"/>
      <c r="K81" s="4"/>
      <c r="L81" s="4"/>
      <c r="M81" s="4"/>
      <c r="N81" s="4"/>
      <c r="Z81" s="1844"/>
      <c r="AA81" s="1894"/>
      <c r="AG81" s="1058"/>
      <c r="AK81" s="1894"/>
    </row>
    <row r="82" spans="1:37" ht="25.2">
      <c r="A82" s="1969" t="s">
        <v>2043</v>
      </c>
      <c r="B82" s="1262"/>
      <c r="C82" s="1262" t="s">
        <v>2045</v>
      </c>
      <c r="D82" s="1262" t="s">
        <v>2046</v>
      </c>
      <c r="E82" s="701" t="s">
        <v>2047</v>
      </c>
      <c r="F82" s="1970" t="s">
        <v>2062</v>
      </c>
      <c r="G82" s="1262" t="s">
        <v>310</v>
      </c>
      <c r="H82" s="1971" t="s">
        <v>2049</v>
      </c>
      <c r="I82" s="1262" t="s">
        <v>2050</v>
      </c>
      <c r="J82" s="530" t="s">
        <v>1720</v>
      </c>
      <c r="K82" s="530" t="s">
        <v>1721</v>
      </c>
      <c r="L82" s="530" t="s">
        <v>1722</v>
      </c>
      <c r="M82" s="530" t="s">
        <v>1723</v>
      </c>
      <c r="N82" s="530" t="s">
        <v>1724</v>
      </c>
      <c r="Z82" s="1844"/>
      <c r="AA82" s="1894"/>
      <c r="AG82" s="1058"/>
      <c r="AK82" s="1894"/>
    </row>
    <row r="83" spans="1:37" ht="39.6">
      <c r="A83" s="1969" t="s">
        <v>2069</v>
      </c>
      <c r="B83" s="1262" t="str">
        <f>估价对象房地状况!G15</f>
        <v>估价对象位于XX开发区，园区建设成熟度XX，产业集聚程度XX</v>
      </c>
      <c r="C83" s="1886"/>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4"/>
      <c r="AA83" s="1894"/>
      <c r="AG83" s="1058"/>
      <c r="AK83" s="1894"/>
    </row>
    <row r="84" spans="1:37" ht="52.8">
      <c r="A84" s="1969" t="s">
        <v>2052</v>
      </c>
      <c r="B84" s="1262" t="str">
        <f>估价对象房地状况!G16</f>
        <v>估价对象周边道路状况、公共交通通达情况、停车便捷程度，综合评价交通便捷度较好</v>
      </c>
      <c r="C84" s="1886"/>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4"/>
      <c r="AA84" s="1894"/>
      <c r="AG84" s="1058"/>
      <c r="AK84" s="1894"/>
    </row>
    <row r="85" spans="1:37" ht="48">
      <c r="A85" s="3070" t="s">
        <v>3272</v>
      </c>
      <c r="B85" s="1262">
        <f>估价对象房地状况!G17</f>
        <v>0</v>
      </c>
      <c r="C85" s="1886"/>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4"/>
      <c r="AA85" s="1894"/>
      <c r="AG85" s="1058"/>
      <c r="AK85" s="1894"/>
    </row>
    <row r="86" spans="1:37" ht="13.8">
      <c r="A86" s="1969" t="s">
        <v>2066</v>
      </c>
      <c r="B86" s="1262">
        <f>估价对象房地状况!G22</f>
        <v>0</v>
      </c>
      <c r="C86" s="1886"/>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4"/>
      <c r="AA86" s="1894"/>
      <c r="AG86" s="1058"/>
      <c r="AK86" s="1894"/>
    </row>
    <row r="87" spans="1:37" ht="26.4">
      <c r="A87" s="1969" t="s">
        <v>2058</v>
      </c>
      <c r="B87" s="1240" t="str">
        <f>估价对象房地状况!G19</f>
        <v>估价对象所在区域公共配套设施齐备情况</v>
      </c>
      <c r="C87" s="1886"/>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6.4">
      <c r="A88" s="1969" t="s">
        <v>2059</v>
      </c>
      <c r="B88" s="1240" t="str">
        <f>估价对象房地状况!G20</f>
        <v>估价对象所在区域基础设施水平</v>
      </c>
      <c r="C88" s="1886"/>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36">
      <c r="A89" s="1969" t="s">
        <v>2056</v>
      </c>
      <c r="B89" s="1974" t="s">
        <v>2070</v>
      </c>
      <c r="C89" s="1886"/>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40.200000000000003" thickBot="1">
      <c r="A90" s="1976" t="s">
        <v>2071</v>
      </c>
      <c r="B90" s="1981" t="str">
        <f>估价对象房地状况!G18</f>
        <v>该园区内是否有污染型企业，绿化情况，卫生条件，整体环境状况判断</v>
      </c>
      <c r="C90" s="1886"/>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09"/>
      <c r="C92" s="2309" t="s">
        <v>3282</v>
      </c>
      <c r="D92" s="2309" t="s">
        <v>3283</v>
      </c>
      <c r="E92" s="3052" t="s">
        <v>3284</v>
      </c>
      <c r="F92" s="3082" t="s">
        <v>3285</v>
      </c>
      <c r="G92" s="2309" t="s">
        <v>3286</v>
      </c>
      <c r="H92" s="3089" t="s">
        <v>3289</v>
      </c>
      <c r="I92" s="2309" t="s">
        <v>3290</v>
      </c>
      <c r="J92" s="2149" t="s">
        <v>3291</v>
      </c>
      <c r="K92" s="2149" t="s">
        <v>3292</v>
      </c>
      <c r="L92" s="2149" t="s">
        <v>3293</v>
      </c>
      <c r="M92" s="2149" t="s">
        <v>3294</v>
      </c>
      <c r="N92" s="2149" t="s">
        <v>3295</v>
      </c>
    </row>
    <row r="93" spans="1:37" ht="24">
      <c r="A93" s="3070" t="s">
        <v>3274</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52.8">
      <c r="A94" s="3080" t="s">
        <v>3275</v>
      </c>
      <c r="B94" s="3071" t="str">
        <f>估价对象房地状况!C18</f>
        <v>估价对象周边道路状况、公共交通通达情况、停车便捷程度，综合评价交通便捷度较好</v>
      </c>
      <c r="C94" s="1886"/>
      <c r="D94" s="2309">
        <f t="shared" ref="D94:D101" si="31">SUMIF($J$60:$N$60,C94,J94:N94)</f>
        <v>0</v>
      </c>
      <c r="E94" s="3084"/>
      <c r="F94" s="1675"/>
      <c r="G94" s="3074"/>
      <c r="H94" s="3119" t="str">
        <f>IFERROR(ROUNDDOWN($F$93*I94/2,4),"——")</f>
        <v>——</v>
      </c>
      <c r="I94" s="3068">
        <v>0.26</v>
      </c>
      <c r="J94" s="1911">
        <f t="shared" si="28"/>
        <v>0</v>
      </c>
      <c r="K94" s="1911">
        <f t="shared" si="29"/>
        <v>0</v>
      </c>
      <c r="L94" s="1911">
        <v>0</v>
      </c>
      <c r="M94" s="1911">
        <f t="shared" si="30"/>
        <v>0</v>
      </c>
      <c r="N94" s="1911">
        <f t="shared" si="30"/>
        <v>0</v>
      </c>
    </row>
    <row r="95" spans="1:37" ht="48">
      <c r="A95" s="3070" t="s">
        <v>3271</v>
      </c>
      <c r="B95" s="3071">
        <f>估价对象房地状况!C19</f>
        <v>0</v>
      </c>
      <c r="C95" s="1886"/>
      <c r="D95" s="2309">
        <f t="shared" si="31"/>
        <v>0</v>
      </c>
      <c r="E95" s="3084"/>
      <c r="F95" s="1675"/>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7.200000000000003">
      <c r="A96" s="3080" t="s">
        <v>3276</v>
      </c>
      <c r="B96" s="3086" t="s">
        <v>3287</v>
      </c>
      <c r="C96" s="1886"/>
      <c r="D96" s="2309">
        <f t="shared" si="31"/>
        <v>0</v>
      </c>
      <c r="E96" s="3084"/>
      <c r="F96" s="1675"/>
      <c r="G96" s="3074"/>
      <c r="H96" s="3119" t="str">
        <f t="shared" si="32"/>
        <v>——</v>
      </c>
      <c r="I96" s="3068">
        <v>0.05</v>
      </c>
      <c r="J96" s="1911">
        <f t="shared" si="28"/>
        <v>0</v>
      </c>
      <c r="K96" s="1911">
        <f t="shared" si="29"/>
        <v>0</v>
      </c>
      <c r="L96" s="1911">
        <v>0</v>
      </c>
      <c r="M96" s="1911">
        <f t="shared" si="30"/>
        <v>0</v>
      </c>
      <c r="N96" s="1911">
        <f t="shared" si="30"/>
        <v>0</v>
      </c>
    </row>
    <row r="97" spans="1:14" ht="24">
      <c r="A97" s="3080" t="s">
        <v>3277</v>
      </c>
      <c r="B97" s="3071">
        <f>估价对象房地状况!C24</f>
        <v>0</v>
      </c>
      <c r="C97" s="1886"/>
      <c r="D97" s="2309">
        <f t="shared" si="31"/>
        <v>0</v>
      </c>
      <c r="E97" s="3084"/>
      <c r="F97" s="1675"/>
      <c r="G97" s="3074"/>
      <c r="H97" s="3119" t="str">
        <f t="shared" si="32"/>
        <v>——</v>
      </c>
      <c r="I97" s="3068">
        <v>0.05</v>
      </c>
      <c r="J97" s="1911">
        <f t="shared" si="28"/>
        <v>0</v>
      </c>
      <c r="K97" s="1911">
        <f t="shared" si="29"/>
        <v>0</v>
      </c>
      <c r="L97" s="1911">
        <v>0</v>
      </c>
      <c r="M97" s="1911">
        <f t="shared" si="30"/>
        <v>0</v>
      </c>
      <c r="N97" s="1911">
        <f t="shared" si="30"/>
        <v>0</v>
      </c>
    </row>
    <row r="98" spans="1:14" ht="36">
      <c r="A98" s="3080" t="s">
        <v>3278</v>
      </c>
      <c r="B98" s="3087" t="s">
        <v>3288</v>
      </c>
      <c r="C98" s="1886"/>
      <c r="D98" s="2309">
        <f t="shared" si="31"/>
        <v>0</v>
      </c>
      <c r="E98" s="3084"/>
      <c r="F98" s="1675"/>
      <c r="G98" s="3074"/>
      <c r="H98" s="3119" t="str">
        <f t="shared" si="32"/>
        <v>——</v>
      </c>
      <c r="I98" s="3068">
        <v>0.06</v>
      </c>
      <c r="J98" s="1911">
        <f t="shared" si="28"/>
        <v>0</v>
      </c>
      <c r="K98" s="1911">
        <f t="shared" si="29"/>
        <v>0</v>
      </c>
      <c r="L98" s="1911">
        <v>0</v>
      </c>
      <c r="M98" s="1911">
        <f t="shared" si="30"/>
        <v>0</v>
      </c>
      <c r="N98" s="1911">
        <f t="shared" si="30"/>
        <v>0</v>
      </c>
    </row>
    <row r="99" spans="1:14" ht="26.4">
      <c r="A99" s="3080" t="s">
        <v>3279</v>
      </c>
      <c r="B99" s="3071" t="str">
        <f>估价对象房地状况!C21</f>
        <v>估价对象所在区域公共配套设施齐备情况</v>
      </c>
      <c r="C99" s="1886"/>
      <c r="D99" s="2309">
        <f t="shared" si="31"/>
        <v>0</v>
      </c>
      <c r="E99" s="3084"/>
      <c r="F99" s="1675"/>
      <c r="G99" s="3074"/>
      <c r="H99" s="3119" t="str">
        <f t="shared" si="32"/>
        <v>——</v>
      </c>
      <c r="I99" s="3068">
        <v>0.06</v>
      </c>
      <c r="J99" s="1911">
        <f t="shared" si="28"/>
        <v>0</v>
      </c>
      <c r="K99" s="1911">
        <f t="shared" si="29"/>
        <v>0</v>
      </c>
      <c r="L99" s="1911">
        <v>0</v>
      </c>
      <c r="M99" s="1911">
        <f t="shared" si="30"/>
        <v>0</v>
      </c>
      <c r="N99" s="1911">
        <f t="shared" si="30"/>
        <v>0</v>
      </c>
    </row>
    <row r="100" spans="1:14" ht="26.4">
      <c r="A100" s="3080" t="s">
        <v>3280</v>
      </c>
      <c r="B100" s="3071" t="str">
        <f>估价对象房地状况!C22</f>
        <v>估价对象所在区域基础设施水平</v>
      </c>
      <c r="C100" s="1886"/>
      <c r="D100" s="2309">
        <f t="shared" si="31"/>
        <v>0</v>
      </c>
      <c r="E100" s="3084"/>
      <c r="F100" s="1675"/>
      <c r="G100" s="3074"/>
      <c r="H100" s="3119" t="str">
        <f t="shared" si="32"/>
        <v>——</v>
      </c>
      <c r="I100" s="3068">
        <v>0.09</v>
      </c>
      <c r="J100" s="1911">
        <f t="shared" si="28"/>
        <v>0</v>
      </c>
      <c r="K100" s="1911">
        <f t="shared" si="29"/>
        <v>0</v>
      </c>
      <c r="L100" s="1911">
        <v>0</v>
      </c>
      <c r="M100" s="1911">
        <f t="shared" si="30"/>
        <v>0</v>
      </c>
      <c r="N100" s="1911">
        <f t="shared" si="30"/>
        <v>0</v>
      </c>
    </row>
    <row r="101" spans="1:14" ht="40.200000000000003" thickBot="1">
      <c r="A101" s="3081" t="s">
        <v>3281</v>
      </c>
      <c r="B101" s="3088" t="str">
        <f>估价对象房地状况!C20</f>
        <v>区域自然环境：；人文环境；综合评价环境状况一般</v>
      </c>
      <c r="C101" s="1886"/>
      <c r="D101" s="2309">
        <f t="shared" si="31"/>
        <v>0</v>
      </c>
      <c r="E101" s="3085"/>
      <c r="F101" s="1675"/>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14" t="s">
        <v>3296</v>
      </c>
      <c r="B103" s="3414"/>
      <c r="C103" s="3414"/>
      <c r="D103" s="3414"/>
      <c r="E103" s="3414"/>
      <c r="F103" s="3414"/>
      <c r="G103" s="3414"/>
      <c r="H103" s="3414"/>
      <c r="I103" s="3414"/>
      <c r="J103" s="3414"/>
      <c r="K103" s="1667"/>
      <c r="L103" s="1667"/>
      <c r="M103" s="1667"/>
      <c r="N103" s="1667"/>
    </row>
    <row r="104" spans="1:14">
      <c r="A104" s="3415" t="s">
        <v>3297</v>
      </c>
      <c r="B104" s="3415" t="s">
        <v>3298</v>
      </c>
      <c r="C104" s="3090" t="s">
        <v>3299</v>
      </c>
      <c r="D104" s="3091"/>
      <c r="E104" s="3091"/>
      <c r="F104" s="3091"/>
      <c r="G104" s="3091"/>
      <c r="H104" s="3091"/>
      <c r="I104" s="3091"/>
      <c r="J104" s="3092"/>
      <c r="K104" s="3093"/>
      <c r="L104" s="3093"/>
      <c r="M104" s="3093"/>
      <c r="N104" s="3093"/>
    </row>
    <row r="105" spans="1:14">
      <c r="A105" s="3415"/>
      <c r="B105" s="3415"/>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01"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2"/>
      <c r="B111" s="3094" t="s">
        <v>3270</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0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04" t="s">
        <v>3313</v>
      </c>
      <c r="B113" s="3404"/>
      <c r="C113" s="3404"/>
      <c r="D113" s="3404"/>
      <c r="E113" s="3404"/>
      <c r="F113" s="3404"/>
      <c r="G113" s="3404"/>
      <c r="H113" s="3404"/>
      <c r="I113" s="3404"/>
      <c r="J113" s="340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3314</v>
      </c>
      <c r="B116" s="3114">
        <f>G3</f>
        <v>1.5</v>
      </c>
      <c r="C116" s="3099" t="s">
        <v>3315</v>
      </c>
      <c r="D116" s="3100">
        <f>SUMPRODUCT((A118:A122=F116)*(B117:M117=H116)*B118:M122)</f>
        <v>0.76880000000000004</v>
      </c>
      <c r="E116" s="162" t="s">
        <v>3316</v>
      </c>
      <c r="F116" s="3101" t="str">
        <f>E2</f>
        <v>住宅</v>
      </c>
      <c r="G116" s="162" t="s">
        <v>3317</v>
      </c>
      <c r="H116" s="3101" t="str">
        <f>G2</f>
        <v>八级</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0.98029999999999995</v>
      </c>
      <c r="C118" s="3089">
        <f>B118</f>
        <v>0.98029999999999995</v>
      </c>
      <c r="D118" s="3089">
        <f>ROUND(0.949-0.014*B116,4)</f>
        <v>0.92800000000000005</v>
      </c>
      <c r="E118" s="3089">
        <f>D118</f>
        <v>0.92800000000000005</v>
      </c>
      <c r="F118" s="3089">
        <f>E118</f>
        <v>0.92800000000000005</v>
      </c>
      <c r="G118" s="3089">
        <f>F118</f>
        <v>0.92800000000000005</v>
      </c>
      <c r="H118" s="3089">
        <f>G118</f>
        <v>0.92800000000000005</v>
      </c>
      <c r="I118" s="3089">
        <f>ROUND(0.8486-0.018*B116,4)</f>
        <v>0.8216</v>
      </c>
      <c r="J118" s="3089">
        <f t="shared" ref="J118:M122" si="36">I118</f>
        <v>0.8216</v>
      </c>
      <c r="K118" s="3089">
        <f t="shared" si="36"/>
        <v>0.8216</v>
      </c>
      <c r="L118" s="3089">
        <f t="shared" si="36"/>
        <v>0.8216</v>
      </c>
      <c r="M118" s="3109">
        <f t="shared" si="36"/>
        <v>0.8216</v>
      </c>
      <c r="N118" s="3097"/>
    </row>
    <row r="119" spans="1:14">
      <c r="A119" s="3057" t="s">
        <v>3331</v>
      </c>
      <c r="B119" s="3089">
        <f>ROUND(0.993-0.0112*B116,4)</f>
        <v>0.97619999999999996</v>
      </c>
      <c r="C119" s="3089">
        <f>B119</f>
        <v>0.97619999999999996</v>
      </c>
      <c r="D119" s="3089">
        <f>ROUND(0.9415-0.0142*B116,4)</f>
        <v>0.92020000000000002</v>
      </c>
      <c r="E119" s="3089">
        <f t="shared" ref="E119:H120" si="37">D119</f>
        <v>0.92020000000000002</v>
      </c>
      <c r="F119" s="3089">
        <f t="shared" si="37"/>
        <v>0.92020000000000002</v>
      </c>
      <c r="G119" s="3089">
        <f t="shared" si="37"/>
        <v>0.92020000000000002</v>
      </c>
      <c r="H119" s="3089">
        <f t="shared" si="37"/>
        <v>0.92020000000000002</v>
      </c>
      <c r="I119" s="3089">
        <f>ROUND(0.838-0.0182*B116,4)</f>
        <v>0.81069999999999998</v>
      </c>
      <c r="J119" s="3089">
        <f t="shared" si="36"/>
        <v>0.81069999999999998</v>
      </c>
      <c r="K119" s="3089">
        <f t="shared" si="36"/>
        <v>0.81069999999999998</v>
      </c>
      <c r="L119" s="3089">
        <f t="shared" si="36"/>
        <v>0.81069999999999998</v>
      </c>
      <c r="M119" s="3109">
        <f t="shared" si="36"/>
        <v>0.81069999999999998</v>
      </c>
      <c r="N119" s="3097"/>
    </row>
    <row r="120" spans="1:14">
      <c r="A120" s="3057" t="s">
        <v>3332</v>
      </c>
      <c r="B120" s="3089">
        <f>ROUND(0.9448-0.0115*B116,4)</f>
        <v>0.92759999999999998</v>
      </c>
      <c r="C120" s="3089">
        <f>B120</f>
        <v>0.92759999999999998</v>
      </c>
      <c r="D120" s="3089">
        <f>ROUND(0.937-0.0145*B116,4)</f>
        <v>0.9153</v>
      </c>
      <c r="E120" s="3089">
        <f t="shared" si="37"/>
        <v>0.9153</v>
      </c>
      <c r="F120" s="3089">
        <f t="shared" si="37"/>
        <v>0.9153</v>
      </c>
      <c r="G120" s="3089">
        <f t="shared" si="37"/>
        <v>0.9153</v>
      </c>
      <c r="H120" s="3089">
        <f t="shared" si="37"/>
        <v>0.9153</v>
      </c>
      <c r="I120" s="3089">
        <f>ROUND(0.7965-0.0185*B116,4)</f>
        <v>0.76880000000000004</v>
      </c>
      <c r="J120" s="3089">
        <f t="shared" si="36"/>
        <v>0.76880000000000004</v>
      </c>
      <c r="K120" s="3089">
        <f t="shared" si="36"/>
        <v>0.76880000000000004</v>
      </c>
      <c r="L120" s="3089">
        <f t="shared" si="36"/>
        <v>0.76880000000000004</v>
      </c>
      <c r="M120" s="3109">
        <f t="shared" si="36"/>
        <v>0.76880000000000004</v>
      </c>
      <c r="N120" s="3097"/>
    </row>
    <row r="121" spans="1:14" ht="13.8" thickBot="1">
      <c r="A121" s="3110" t="s">
        <v>3333</v>
      </c>
      <c r="B121" s="3111">
        <f>ROUND(0.7836-0.012*B116,4)</f>
        <v>0.76559999999999995</v>
      </c>
      <c r="C121" s="3111">
        <f>B121</f>
        <v>0.76559999999999995</v>
      </c>
      <c r="D121" s="3111">
        <f>ROUND(0.753-0.015*B116,4)</f>
        <v>0.73050000000000004</v>
      </c>
      <c r="E121" s="3111">
        <f>D121</f>
        <v>0.73050000000000004</v>
      </c>
      <c r="F121" s="3111">
        <f>E121</f>
        <v>0.73050000000000004</v>
      </c>
      <c r="G121" s="3111">
        <f>ROUND(0.6612-0.018*B116,4)</f>
        <v>0.63419999999999999</v>
      </c>
      <c r="H121" s="3111">
        <f>G121</f>
        <v>0.63419999999999999</v>
      </c>
      <c r="I121" s="3111">
        <f>ROUND(0.5905-0.019*B116,4)</f>
        <v>0.56200000000000006</v>
      </c>
      <c r="J121" s="3111">
        <f t="shared" si="36"/>
        <v>0.56200000000000006</v>
      </c>
      <c r="K121" s="3111">
        <f t="shared" si="36"/>
        <v>0.56200000000000006</v>
      </c>
      <c r="L121" s="3111">
        <f t="shared" si="36"/>
        <v>0.56200000000000006</v>
      </c>
      <c r="M121" s="3112">
        <f t="shared" si="36"/>
        <v>0.56200000000000006</v>
      </c>
      <c r="N121" s="3097"/>
    </row>
    <row r="122" spans="1:14">
      <c r="A122" s="3113" t="s">
        <v>2614</v>
      </c>
      <c r="B122" s="3089">
        <f>ROUND(0.9404-0.0106*B116,4)</f>
        <v>0.92449999999999999</v>
      </c>
      <c r="C122" s="3089">
        <f>B122</f>
        <v>0.92449999999999999</v>
      </c>
      <c r="D122" s="3089">
        <f>ROUND(0.8955-0.0135*B116,4)</f>
        <v>0.87529999999999997</v>
      </c>
      <c r="E122" s="3089">
        <f t="shared" ref="E122:H122" si="38">D122</f>
        <v>0.87529999999999997</v>
      </c>
      <c r="F122" s="3089">
        <f t="shared" si="38"/>
        <v>0.87529999999999997</v>
      </c>
      <c r="G122" s="3089">
        <f t="shared" si="38"/>
        <v>0.87529999999999997</v>
      </c>
      <c r="H122" s="3089">
        <f t="shared" si="38"/>
        <v>0.87529999999999997</v>
      </c>
      <c r="I122" s="3089">
        <f>ROUND(0.7632-0.0166*B116,4)</f>
        <v>0.73829999999999996</v>
      </c>
      <c r="J122" s="3089">
        <f t="shared" si="36"/>
        <v>0.73829999999999996</v>
      </c>
      <c r="K122" s="3089">
        <f t="shared" si="36"/>
        <v>0.73829999999999996</v>
      </c>
      <c r="L122" s="3089">
        <f t="shared" si="36"/>
        <v>0.73829999999999996</v>
      </c>
      <c r="M122" s="3109">
        <f t="shared" si="36"/>
        <v>0.73829999999999996</v>
      </c>
      <c r="N122" s="30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36" sqref="G36"/>
    </sheetView>
  </sheetViews>
  <sheetFormatPr defaultColWidth="12.6640625" defaultRowHeight="21.75" customHeight="1"/>
  <cols>
    <col min="1" max="2" width="12.6640625" style="1561"/>
    <col min="3" max="4" width="12.6640625" style="1561" customWidth="1"/>
    <col min="5" max="5" width="12.6640625" style="1561"/>
    <col min="6" max="6" width="20.44140625" style="1561" customWidth="1"/>
    <col min="7" max="7" width="13.6640625" style="1561" customWidth="1"/>
    <col min="8"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1261</v>
      </c>
      <c r="B1" s="646"/>
      <c r="C1" s="1620" t="s">
        <v>3386</v>
      </c>
      <c r="D1" s="646"/>
      <c r="E1" s="646"/>
      <c r="F1" s="1621" t="s">
        <v>1262</v>
      </c>
      <c r="G1" s="1453" t="s">
        <v>4277</v>
      </c>
      <c r="H1" s="1621" t="str">
        <f>IF(G1="现房","——","估价对象范围")</f>
        <v>——</v>
      </c>
      <c r="I1" s="1622"/>
    </row>
    <row r="2" spans="1:12" ht="21.75" customHeight="1" thickBot="1">
      <c r="A2" s="3487" t="str">
        <f>项目基本情况!S2</f>
        <v>北京市房地产</v>
      </c>
      <c r="B2" s="3488"/>
      <c r="C2" s="3488"/>
      <c r="D2" s="3488"/>
      <c r="E2" s="3488"/>
      <c r="F2" s="3488"/>
      <c r="G2" s="3488"/>
      <c r="H2" s="3488"/>
      <c r="I2" s="3489"/>
    </row>
    <row r="3" spans="1:12" ht="13.2">
      <c r="A3" s="3491" t="s">
        <v>1263</v>
      </c>
      <c r="B3" s="3492"/>
      <c r="C3" s="3492"/>
      <c r="D3" s="3492"/>
      <c r="E3" s="3492"/>
      <c r="F3" s="3492"/>
      <c r="G3" s="3492"/>
      <c r="H3" s="3492"/>
      <c r="I3" s="3492"/>
    </row>
    <row r="4" spans="1:12" ht="14.4">
      <c r="A4" s="1624" t="s">
        <v>1264</v>
      </c>
      <c r="B4" s="1625" t="s">
        <v>1265</v>
      </c>
      <c r="C4" s="1626" t="s">
        <v>4342</v>
      </c>
      <c r="D4" s="1626" t="s">
        <v>4402</v>
      </c>
      <c r="E4" s="3496" t="s">
        <v>1266</v>
      </c>
      <c r="F4" s="3497"/>
      <c r="G4" s="3497"/>
      <c r="H4" s="3497"/>
      <c r="I4" s="34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435" t="s">
        <v>1267</v>
      </c>
      <c r="B5" s="3490">
        <v>25</v>
      </c>
      <c r="C5" s="3493">
        <v>80</v>
      </c>
      <c r="D5" s="3481">
        <f>100-C5</f>
        <v>20</v>
      </c>
      <c r="E5" s="123" t="s">
        <v>1268</v>
      </c>
      <c r="F5" s="1627"/>
      <c r="G5" s="1627"/>
      <c r="H5" s="1627"/>
      <c r="I5" s="1281"/>
    </row>
    <row r="6" spans="1:12" ht="13.2">
      <c r="A6" s="3435"/>
      <c r="B6" s="3490"/>
      <c r="C6" s="3495"/>
      <c r="D6" s="3481"/>
      <c r="E6" s="123" t="s">
        <v>1269</v>
      </c>
      <c r="F6" s="1627"/>
      <c r="G6" s="1627"/>
      <c r="H6" s="1627"/>
      <c r="I6" s="1281"/>
    </row>
    <row r="7" spans="1:12" ht="13.2">
      <c r="A7" s="3435"/>
      <c r="B7" s="3490"/>
      <c r="C7" s="3494"/>
      <c r="D7" s="3481"/>
      <c r="E7" s="123" t="s">
        <v>1270</v>
      </c>
      <c r="F7" s="1627"/>
      <c r="G7" s="1627"/>
      <c r="H7" s="1627"/>
      <c r="I7" s="1281"/>
    </row>
    <row r="8" spans="1:12" ht="13.2">
      <c r="A8" s="3435" t="s">
        <v>1271</v>
      </c>
      <c r="B8" s="3490">
        <v>15</v>
      </c>
      <c r="C8" s="3493"/>
      <c r="D8" s="3481"/>
      <c r="E8" s="123" t="s">
        <v>1272</v>
      </c>
      <c r="F8" s="1627"/>
      <c r="G8" s="1627"/>
      <c r="H8" s="1627"/>
      <c r="I8" s="1281"/>
    </row>
    <row r="9" spans="1:12" ht="13.2">
      <c r="A9" s="3435"/>
      <c r="B9" s="3490"/>
      <c r="C9" s="3494"/>
      <c r="D9" s="3481"/>
      <c r="E9" s="123" t="s">
        <v>1273</v>
      </c>
      <c r="F9" s="1627"/>
      <c r="G9" s="1627"/>
      <c r="H9" s="1627"/>
      <c r="I9" s="1281"/>
    </row>
    <row r="10" spans="1:12" ht="13.2">
      <c r="A10" s="3435" t="s">
        <v>1274</v>
      </c>
      <c r="B10" s="3490">
        <v>15</v>
      </c>
      <c r="C10" s="3493"/>
      <c r="D10" s="3481"/>
      <c r="E10" s="123" t="s">
        <v>1275</v>
      </c>
      <c r="F10" s="1627"/>
      <c r="G10" s="1627"/>
      <c r="H10" s="1627"/>
      <c r="I10" s="1281"/>
    </row>
    <row r="11" spans="1:12" ht="13.2">
      <c r="A11" s="3435"/>
      <c r="B11" s="3490"/>
      <c r="C11" s="3494"/>
      <c r="D11" s="3481"/>
      <c r="E11" s="123" t="s">
        <v>1276</v>
      </c>
      <c r="F11" s="1627"/>
      <c r="G11" s="1627"/>
      <c r="H11" s="1627"/>
      <c r="I11" s="1281"/>
    </row>
    <row r="12" spans="1:12" ht="13.2">
      <c r="A12" s="3435" t="s">
        <v>1277</v>
      </c>
      <c r="B12" s="3490">
        <v>15</v>
      </c>
      <c r="C12" s="3493"/>
      <c r="D12" s="3481"/>
      <c r="E12" s="123" t="s">
        <v>1278</v>
      </c>
      <c r="F12" s="1627"/>
      <c r="G12" s="1627"/>
      <c r="H12" s="1627"/>
      <c r="I12" s="1281"/>
    </row>
    <row r="13" spans="1:12" ht="13.2">
      <c r="A13" s="3435"/>
      <c r="B13" s="3490"/>
      <c r="C13" s="3494"/>
      <c r="D13" s="3481"/>
      <c r="E13" s="123" t="s">
        <v>1279</v>
      </c>
      <c r="F13" s="1627"/>
      <c r="G13" s="1627"/>
      <c r="H13" s="1627"/>
      <c r="I13" s="1281"/>
    </row>
    <row r="14" spans="1:12" ht="13.2">
      <c r="A14" s="3435" t="s">
        <v>1280</v>
      </c>
      <c r="B14" s="3490">
        <v>30</v>
      </c>
      <c r="C14" s="3493"/>
      <c r="D14" s="3481"/>
      <c r="E14" s="123" t="s">
        <v>1281</v>
      </c>
      <c r="F14" s="1627"/>
      <c r="G14" s="1627"/>
      <c r="H14" s="1627"/>
      <c r="I14" s="1281"/>
    </row>
    <row r="15" spans="1:12" ht="13.2">
      <c r="A15" s="3435"/>
      <c r="B15" s="3490"/>
      <c r="C15" s="3495"/>
      <c r="D15" s="3481"/>
      <c r="E15" s="123" t="s">
        <v>1282</v>
      </c>
      <c r="F15" s="1627"/>
      <c r="G15" s="1627"/>
      <c r="H15" s="1627"/>
      <c r="I15" s="1281"/>
    </row>
    <row r="16" spans="1:12" ht="13.2">
      <c r="A16" s="3435"/>
      <c r="B16" s="3490"/>
      <c r="C16" s="3494"/>
      <c r="D16" s="3481"/>
      <c r="E16" s="123" t="s">
        <v>1283</v>
      </c>
      <c r="F16" s="1627"/>
      <c r="G16" s="1627"/>
      <c r="H16" s="1627"/>
      <c r="I16" s="1281"/>
    </row>
    <row r="17" spans="1:36" ht="14.4">
      <c r="A17" s="1628" t="s">
        <v>1284</v>
      </c>
      <c r="B17" s="54"/>
      <c r="C17" s="124">
        <f>SUM(C5:C16)</f>
        <v>80</v>
      </c>
      <c r="D17" s="124">
        <f>SUM(D5:D16)</f>
        <v>20</v>
      </c>
      <c r="E17" s="121"/>
      <c r="F17" s="121"/>
      <c r="G17" s="121"/>
      <c r="H17" s="121"/>
      <c r="I17" s="121"/>
      <c r="K17" s="294"/>
      <c r="L17" s="294" t="s">
        <v>1285</v>
      </c>
      <c r="M17" s="294" t="s">
        <v>1286</v>
      </c>
    </row>
    <row r="18" spans="1:36" ht="31.95" customHeight="1" thickBot="1">
      <c r="A18" s="1629" t="s">
        <v>1287</v>
      </c>
      <c r="B18" s="1542"/>
      <c r="C18" s="125">
        <f>ROUND(C17/SUM(C17:D17),2)</f>
        <v>0.8</v>
      </c>
      <c r="D18" s="125">
        <f>1-C18</f>
        <v>0.19999999999999996</v>
      </c>
      <c r="E18" s="3512" t="s">
        <v>2130</v>
      </c>
      <c r="F18" s="3513"/>
      <c r="G18" s="3513"/>
      <c r="H18" s="3513"/>
      <c r="I18" s="3513"/>
      <c r="K18" s="294" t="s">
        <v>1288</v>
      </c>
      <c r="L18" s="294">
        <f>IF(C1="",'数据-汇总表'!E3,SUMIF(项目类型,C1,'数据-汇总表'!E17:E26)+SUMIF(项目类型,C1,'数据-汇总表'!I17:I26))</f>
        <v>293.87</v>
      </c>
      <c r="M18" s="294">
        <f>IF(C1="",'数据-汇总表'!E3,SUMIF(项目类型,C1,'数据-汇总表'!E17:E26))</f>
        <v>293.87</v>
      </c>
    </row>
    <row r="19" spans="1:36" ht="14.4">
      <c r="A19" s="1630" t="s">
        <v>1289</v>
      </c>
      <c r="B19" s="1631" t="s">
        <v>1290</v>
      </c>
      <c r="C19" s="126">
        <f ca="1">SUMIF(INDIRECT("'"&amp;C4&amp;"'"&amp;"!A:A"),结果表!B19,INDIRECT("'"&amp;C4&amp;"'"&amp;"!B:B"))</f>
        <v>1238.8384000000001</v>
      </c>
      <c r="D19" s="127">
        <f ca="1">SUMIF(INDIRECT("'"&amp;D4&amp;"'"&amp;"!A:A"),结果表!B19,INDIRECT("'"&amp;D4&amp;"'"&amp;"!B:B"))</f>
        <v>678</v>
      </c>
      <c r="E19" s="1630" t="s">
        <v>1291</v>
      </c>
      <c r="F19" s="1631" t="s">
        <v>1290</v>
      </c>
      <c r="G19" s="128">
        <f ca="1">ROUND(C19*$C$18+D19*$D$18,0)</f>
        <v>1127</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4.4">
      <c r="A20" s="1633"/>
      <c r="B20" s="43" t="s">
        <v>1294</v>
      </c>
      <c r="C20" s="129">
        <f ca="1">SUMIF(INDIRECT("'"&amp;C4&amp;"'"&amp;"!A:A"),结果表!B20,INDIRECT("'"&amp;C4&amp;"'"&amp;"!B:B"))</f>
        <v>42156</v>
      </c>
      <c r="D20" s="130">
        <f ca="1">SUMIF(INDIRECT("'"&amp;D4&amp;"'"&amp;"!A:A"),结果表!B20,INDIRECT("'"&amp;D4&amp;"'"&amp;"!B:B"))</f>
        <v>23071</v>
      </c>
      <c r="E20" s="1633"/>
      <c r="F20" s="43" t="s">
        <v>1294</v>
      </c>
      <c r="G20" s="131">
        <f ca="1">ROUND(C20*$C$18+D20*$D$18,0)</f>
        <v>38339</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5" thickBot="1">
      <c r="A22" s="1564" t="s">
        <v>1297</v>
      </c>
      <c r="B22" s="1635"/>
      <c r="C22" s="1636"/>
      <c r="D22" s="680">
        <f ca="1">IF(C19&lt;D19,D19/C19-1,C19/D19-1)</f>
        <v>0.82719528023598832</v>
      </c>
      <c r="E22" s="121"/>
      <c r="F22" s="121" t="s">
        <v>4305</v>
      </c>
      <c r="G22" s="121">
        <f ca="1">G20</f>
        <v>38339</v>
      </c>
      <c r="H22" s="121"/>
      <c r="I22" s="121"/>
    </row>
    <row r="23" spans="1:36" ht="13.8" thickBot="1">
      <c r="A23" s="646"/>
      <c r="B23" s="646"/>
      <c r="C23" s="646"/>
      <c r="D23" s="646"/>
      <c r="E23" s="121"/>
      <c r="F23" s="121" t="s">
        <v>4306</v>
      </c>
      <c r="G23" s="121">
        <f ca="1">ROUND(G22*'数据-汇总表'!E19,0)</f>
        <v>11266682</v>
      </c>
      <c r="H23" s="121">
        <f ca="1">G20*'数据-汇总表'!E19</f>
        <v>11266681.93</v>
      </c>
      <c r="I23" s="121"/>
    </row>
    <row r="24" spans="1:36" ht="30" customHeight="1">
      <c r="A24" s="3505" t="s">
        <v>1298</v>
      </c>
      <c r="B24" s="1631" t="s">
        <v>1290</v>
      </c>
      <c r="C24" s="128">
        <f>IF(B30=0,0,D30)</f>
        <v>0</v>
      </c>
      <c r="D24" s="1637"/>
      <c r="E24" s="121"/>
      <c r="F24" s="121" t="s">
        <v>4307</v>
      </c>
      <c r="G24" s="121">
        <f>ROUND(15.6*'数据-汇总表'!E19,0)</f>
        <v>4584</v>
      </c>
      <c r="H24" s="121"/>
      <c r="I24" s="121"/>
    </row>
    <row r="25" spans="1:36" ht="14.4">
      <c r="A25" s="3506"/>
      <c r="B25" s="43" t="s">
        <v>1294</v>
      </c>
      <c r="C25" s="133">
        <f>IF(B30=0,0,C30)</f>
        <v>0</v>
      </c>
      <c r="D25" s="1638"/>
      <c r="E25" s="121"/>
      <c r="F25" s="121" t="s">
        <v>4308</v>
      </c>
      <c r="G25" s="121">
        <f ca="1">G23-G24</f>
        <v>11262098</v>
      </c>
      <c r="H25" s="121"/>
      <c r="I25" s="121"/>
    </row>
    <row r="26" spans="1:36" ht="13.5" customHeight="1">
      <c r="A26" s="1639" t="s">
        <v>1299</v>
      </c>
      <c r="B26" s="134" t="s">
        <v>1300</v>
      </c>
      <c r="C26" s="134" t="s">
        <v>1301</v>
      </c>
      <c r="D26" s="135" t="s">
        <v>1302</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1304</v>
      </c>
      <c r="B32" s="1535"/>
      <c r="C32" s="136">
        <f ca="1">IF(D32="总价",G19-C24,G20-C25)</f>
        <v>38339</v>
      </c>
      <c r="D32" s="1641"/>
      <c r="E32" s="121"/>
      <c r="F32" s="121"/>
      <c r="G32" s="121"/>
      <c r="H32" s="121"/>
      <c r="I32" s="121"/>
    </row>
    <row r="33" spans="1:15" ht="14.4">
      <c r="A33" s="740" t="s">
        <v>1305</v>
      </c>
      <c r="B33" s="123"/>
      <c r="C33" s="1642"/>
      <c r="D33" s="1643"/>
      <c r="E33" s="1644" t="s">
        <v>1306</v>
      </c>
      <c r="F33" s="1645" t="str">
        <f>IF(D32="楼面单价","取值（单价）","取值（总价）")</f>
        <v>取值（总价）</v>
      </c>
      <c r="G33" s="121"/>
      <c r="H33" s="121"/>
      <c r="I33" s="121"/>
    </row>
    <row r="34" spans="1:15" ht="14.4">
      <c r="A34" s="1646"/>
      <c r="B34" s="1647" t="s">
        <v>1307</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1308</v>
      </c>
      <c r="F34" s="1243"/>
      <c r="G34" s="121"/>
      <c r="H34" s="121"/>
      <c r="I34" s="121"/>
    </row>
    <row r="35" spans="1:15" ht="15" thickBot="1">
      <c r="A35" s="1649"/>
      <c r="B35" s="1650" t="s">
        <v>1309</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1310</v>
      </c>
      <c r="F35" s="146"/>
      <c r="G35" s="121"/>
      <c r="H35" s="121"/>
      <c r="I35" s="121"/>
    </row>
    <row r="36" spans="1:15" ht="15" thickBot="1">
      <c r="A36" s="3482" t="s">
        <v>1311</v>
      </c>
      <c r="B36" s="1652" t="s">
        <v>1312</v>
      </c>
      <c r="C36" s="137"/>
      <c r="D36" s="1653"/>
      <c r="E36" s="1567"/>
      <c r="F36" s="1654"/>
      <c r="G36" s="121"/>
      <c r="H36" s="121"/>
      <c r="I36" s="121"/>
    </row>
    <row r="37" spans="1:15" ht="15" thickBot="1">
      <c r="A37" s="3483"/>
      <c r="B37" s="1555" t="s">
        <v>1313</v>
      </c>
      <c r="C37" s="139"/>
      <c r="D37" s="1071"/>
      <c r="E37" s="1071"/>
      <c r="F37" s="1654"/>
      <c r="G37" s="121"/>
      <c r="H37" s="121"/>
      <c r="I37" s="121"/>
    </row>
    <row r="38" spans="1:15" ht="15" thickBot="1">
      <c r="A38" s="3484"/>
      <c r="B38" s="1655" t="s">
        <v>1314</v>
      </c>
      <c r="C38" s="641"/>
      <c r="D38" s="1656" t="s">
        <v>1315</v>
      </c>
      <c r="E38" s="1071"/>
      <c r="F38" s="1654"/>
      <c r="G38" s="121"/>
      <c r="H38" s="121"/>
      <c r="I38" s="121"/>
    </row>
    <row r="39" spans="1:15" ht="14.4">
      <c r="A39" s="1633" t="s">
        <v>1316</v>
      </c>
      <c r="B39" s="1657" t="s">
        <v>1317</v>
      </c>
      <c r="C39" s="1658" t="s">
        <v>1318</v>
      </c>
      <c r="D39" s="1658" t="s">
        <v>1319</v>
      </c>
      <c r="E39" s="1659" t="s">
        <v>1320</v>
      </c>
      <c r="F39" s="1654"/>
      <c r="G39" s="121"/>
      <c r="H39" s="121"/>
      <c r="I39" s="121"/>
    </row>
    <row r="40" spans="1:15" ht="13.8">
      <c r="A40" s="1660" t="s">
        <v>1321</v>
      </c>
      <c r="B40" s="141"/>
      <c r="C40" s="142"/>
      <c r="D40" s="142"/>
      <c r="E40" s="143"/>
      <c r="F40" s="1654"/>
      <c r="G40" s="121"/>
      <c r="H40" s="121"/>
      <c r="I40" s="121"/>
    </row>
    <row r="41" spans="1:15" ht="13.8">
      <c r="A41" s="1660" t="s">
        <v>1322</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1323</v>
      </c>
      <c r="B44" s="1664"/>
      <c r="C44" s="1664"/>
      <c r="D44" s="1665"/>
      <c r="E44" s="1665"/>
      <c r="F44" s="1666"/>
      <c r="G44" s="1666"/>
      <c r="H44" s="1666"/>
      <c r="I44" s="1666"/>
      <c r="J44" s="1667" t="s">
        <v>1324</v>
      </c>
      <c r="K44" s="4"/>
      <c r="L44" s="4"/>
      <c r="M44" s="4"/>
      <c r="N44" s="4"/>
      <c r="O44" s="4"/>
    </row>
    <row r="45" spans="1:15" ht="14.25" customHeight="1" thickBot="1">
      <c r="A45" s="3502" t="s">
        <v>1325</v>
      </c>
      <c r="B45" s="3503"/>
      <c r="C45" s="3504"/>
      <c r="D45" s="147" t="e">
        <f ca="1">ROUND(H101*F45,0)</f>
        <v>#REF!</v>
      </c>
      <c r="E45" s="148" t="s">
        <v>1326</v>
      </c>
      <c r="F45" s="149">
        <v>1</v>
      </c>
      <c r="G45" s="150" t="s">
        <v>1327</v>
      </c>
      <c r="H45" s="121"/>
      <c r="I45" s="121"/>
      <c r="J45" s="3422" t="s">
        <v>1328</v>
      </c>
      <c r="K45" s="3422"/>
      <c r="L45" s="3422"/>
      <c r="M45" s="3422"/>
      <c r="N45" s="3422"/>
      <c r="O45" s="3422"/>
    </row>
    <row r="46" spans="1:15" ht="14.25" customHeight="1">
      <c r="A46" s="3499" t="s">
        <v>1329</v>
      </c>
      <c r="B46" s="3500"/>
      <c r="C46" s="3500"/>
      <c r="D46" s="3500"/>
      <c r="E46" s="3500"/>
      <c r="F46" s="3500"/>
      <c r="G46" s="3501"/>
      <c r="H46" s="1668"/>
      <c r="I46" s="151"/>
      <c r="J46" s="2309">
        <v>1</v>
      </c>
      <c r="K46" s="3423" t="s">
        <v>1330</v>
      </c>
      <c r="L46" s="3423"/>
      <c r="M46" s="3424"/>
      <c r="N46" s="3424"/>
      <c r="O46" s="3424"/>
    </row>
    <row r="47" spans="1:15" ht="12" customHeight="1">
      <c r="A47" s="152" t="s">
        <v>1331</v>
      </c>
      <c r="B47" s="153"/>
      <c r="C47" s="154"/>
      <c r="D47" s="1024" t="s">
        <v>1332</v>
      </c>
      <c r="E47" s="294" t="s">
        <v>1333</v>
      </c>
      <c r="F47" s="155" t="s">
        <v>1334</v>
      </c>
      <c r="G47" s="2332" t="s">
        <v>1335</v>
      </c>
      <c r="H47" s="2333"/>
      <c r="I47" s="151"/>
      <c r="J47" s="2309">
        <v>2</v>
      </c>
      <c r="K47" s="3423" t="s">
        <v>1336</v>
      </c>
      <c r="L47" s="3423"/>
      <c r="M47" s="3425">
        <f>'数据-取费表'!B2</f>
        <v>45593</v>
      </c>
      <c r="N47" s="3425"/>
      <c r="O47" s="3425"/>
    </row>
    <row r="48" spans="1:15" ht="26.4">
      <c r="A48" s="3485" t="s">
        <v>1337</v>
      </c>
      <c r="B48" s="3486"/>
      <c r="C48" s="348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1338</v>
      </c>
      <c r="H48" s="2336"/>
      <c r="I48" s="1668"/>
      <c r="J48" s="2309">
        <v>3</v>
      </c>
      <c r="K48" s="3423" t="s">
        <v>1339</v>
      </c>
      <c r="L48" s="3423"/>
      <c r="M48" s="3426" t="e">
        <f ca="1">H101</f>
        <v>#REF!</v>
      </c>
      <c r="N48" s="3426"/>
      <c r="O48" s="3426"/>
    </row>
    <row r="49" spans="1:35" ht="25.5" customHeight="1">
      <c r="A49" s="2151" t="s">
        <v>1340</v>
      </c>
      <c r="B49" s="3471" t="s">
        <v>1341</v>
      </c>
      <c r="C49" s="3471"/>
      <c r="D49" s="1478">
        <v>0</v>
      </c>
      <c r="E49" s="316" t="s">
        <v>1342</v>
      </c>
      <c r="F49" s="2232" t="s">
        <v>28</v>
      </c>
      <c r="G49" s="3454"/>
      <c r="H49" s="2133" t="s">
        <v>2133</v>
      </c>
      <c r="I49" s="2134"/>
      <c r="J49" s="2309">
        <v>4</v>
      </c>
      <c r="K49" s="3423" t="str">
        <f>IF(项目基本情况!E8="房地产抵押价值","房地产抵押价值","抵押担保权已注销时的房地产抵押价值")</f>
        <v>抵押担保权已注销时的房地产抵押价值</v>
      </c>
      <c r="L49" s="3423"/>
      <c r="M49" s="3426" t="str">
        <f>IF(项目基本情况!E8="房地产抵押价值",H107,H109)</f>
        <v>——</v>
      </c>
      <c r="N49" s="3426"/>
      <c r="O49" s="3426"/>
    </row>
    <row r="50" spans="1:35" ht="25.5" customHeight="1">
      <c r="A50" s="2337"/>
      <c r="B50" s="3471" t="s">
        <v>1343</v>
      </c>
      <c r="C50" s="3471"/>
      <c r="D50" s="2188"/>
      <c r="E50" s="323"/>
      <c r="F50" s="2232"/>
      <c r="G50" s="3455"/>
      <c r="H50" s="2135" t="s">
        <v>2134</v>
      </c>
      <c r="I50" s="2134"/>
      <c r="J50" s="3422" t="s">
        <v>1344</v>
      </c>
      <c r="K50" s="3422"/>
      <c r="L50" s="3422"/>
      <c r="M50" s="3422"/>
      <c r="N50" s="3422"/>
      <c r="O50" s="3422"/>
    </row>
    <row r="51" spans="1:35" ht="20.399999999999999" customHeight="1">
      <c r="A51" s="2338"/>
      <c r="B51" s="3471" t="s">
        <v>1345</v>
      </c>
      <c r="C51" s="3471"/>
      <c r="D51" s="1024"/>
      <c r="E51" s="319"/>
      <c r="F51" s="2232"/>
      <c r="G51" s="3456"/>
      <c r="H51" s="2135" t="s">
        <v>2135</v>
      </c>
      <c r="I51" s="2134"/>
      <c r="J51" s="2310" t="s">
        <v>1346</v>
      </c>
      <c r="K51" s="3423" t="s">
        <v>1347</v>
      </c>
      <c r="L51" s="3423"/>
      <c r="M51" s="2310" t="s">
        <v>1348</v>
      </c>
      <c r="N51" s="2310" t="s">
        <v>1349</v>
      </c>
      <c r="O51" s="2310" t="s">
        <v>1350</v>
      </c>
    </row>
    <row r="52" spans="1:35" ht="24" customHeight="1">
      <c r="A52" s="2152" t="s">
        <v>1351</v>
      </c>
      <c r="B52" s="3471" t="s">
        <v>1352</v>
      </c>
      <c r="C52" s="3471"/>
      <c r="D52" s="1024" t="e">
        <f ca="1">ROUND(D45*'数据-取费表'!B41/(1+'数据-取费表'!C42),0)</f>
        <v>#REF!</v>
      </c>
      <c r="E52" s="1256" t="s">
        <v>1353</v>
      </c>
      <c r="F52" s="2339">
        <f>'数据-取费表'!B41</f>
        <v>5.5000000000000007E-2</v>
      </c>
      <c r="G52" s="2340"/>
      <c r="H52" s="2330"/>
      <c r="I52" s="1669"/>
      <c r="J52" s="2309">
        <v>1</v>
      </c>
      <c r="K52" s="3448" t="s">
        <v>1354</v>
      </c>
      <c r="L52" s="3448"/>
      <c r="M52" s="2311" t="b">
        <f>D48</f>
        <v>0</v>
      </c>
      <c r="N52" s="2309" t="str">
        <f>E48</f>
        <v>销售额×税（费）率</v>
      </c>
      <c r="O52" s="2312">
        <f>F48</f>
        <v>5.5000000000000007E-2</v>
      </c>
    </row>
    <row r="53" spans="1:35" ht="12" customHeight="1">
      <c r="A53" s="2152" t="s">
        <v>1355</v>
      </c>
      <c r="B53" s="3472" t="s">
        <v>2290</v>
      </c>
      <c r="C53" s="3473"/>
      <c r="D53" s="1024" t="e">
        <f ca="1">ROUND(D45*'数据-取费表'!B41/(1+'数据-取费表'!C42),0)</f>
        <v>#REF!</v>
      </c>
      <c r="E53" s="1256" t="s">
        <v>1353</v>
      </c>
      <c r="F53" s="2339">
        <f>'数据-取费表'!B41</f>
        <v>5.5000000000000007E-2</v>
      </c>
      <c r="G53" s="2340"/>
      <c r="H53" s="2330"/>
      <c r="I53" s="1669"/>
      <c r="J53" s="2309">
        <v>2</v>
      </c>
      <c r="K53" s="3448" t="s">
        <v>1356</v>
      </c>
      <c r="L53" s="3448"/>
      <c r="M53" s="2311" t="e">
        <f t="shared" ref="M53:O54" ca="1" si="0">D55</f>
        <v>#REF!</v>
      </c>
      <c r="N53" s="2309" t="str">
        <f t="shared" si="0"/>
        <v>销售额×税（费）率</v>
      </c>
      <c r="O53" s="2312" t="str">
        <f t="shared" si="0"/>
        <v>免征</v>
      </c>
    </row>
    <row r="54" spans="1:35" ht="12" customHeight="1">
      <c r="A54" s="2152" t="s">
        <v>1357</v>
      </c>
      <c r="B54" s="3472" t="s">
        <v>2291</v>
      </c>
      <c r="C54" s="3473"/>
      <c r="D54" s="1024" t="e">
        <f ca="1">C68</f>
        <v>#REF!</v>
      </c>
      <c r="E54" s="319" t="s">
        <v>1358</v>
      </c>
      <c r="F54" s="2339">
        <f>'数据-取费表'!B41</f>
        <v>5.5000000000000007E-2</v>
      </c>
      <c r="G54" s="2340"/>
      <c r="H54" s="2341"/>
      <c r="I54" s="1669"/>
      <c r="J54" s="2309">
        <v>3</v>
      </c>
      <c r="K54" s="3448" t="s">
        <v>1359</v>
      </c>
      <c r="L54" s="3448"/>
      <c r="M54" s="2311" t="e">
        <f t="shared" ca="1" si="0"/>
        <v>#REF!</v>
      </c>
      <c r="N54" s="2309" t="str">
        <f t="shared" si="0"/>
        <v>增值额×税（费）率</v>
      </c>
      <c r="O54" s="2313" t="str">
        <f t="shared" si="0"/>
        <v>免征</v>
      </c>
    </row>
    <row r="55" spans="1:35" ht="24" customHeight="1">
      <c r="A55" s="3508" t="s">
        <v>1360</v>
      </c>
      <c r="B55" s="3486"/>
      <c r="C55" s="3486"/>
      <c r="D55" s="12" t="e">
        <f ca="1">IF(H55="个人住宅",0,ROUND(D45*I55,0))</f>
        <v>#REF!</v>
      </c>
      <c r="E55" s="1256" t="s">
        <v>1361</v>
      </c>
      <c r="F55" s="2339" t="str">
        <f>IF(H55="正常",I55,"免征")</f>
        <v>免征</v>
      </c>
      <c r="G55" s="2340"/>
      <c r="H55" s="2336"/>
      <c r="I55" s="157">
        <f>'数据-取费表'!B49</f>
        <v>5.0000000000000001E-4</v>
      </c>
      <c r="J55" s="2309">
        <f>IF(H59="非个人房产","",4)</f>
        <v>4</v>
      </c>
      <c r="K55" s="3448" t="str">
        <f>IF(H59="非个人房产","——","个人所得税")</f>
        <v>个人所得税</v>
      </c>
      <c r="L55" s="3448"/>
      <c r="M55" s="2314" t="e">
        <f ca="1">D59</f>
        <v>#REF!</v>
      </c>
      <c r="N55" s="1882" t="str">
        <f>E59</f>
        <v>差额计税</v>
      </c>
      <c r="O55" s="2315">
        <f>F59</f>
        <v>0.01</v>
      </c>
    </row>
    <row r="56" spans="1:35" ht="25.2">
      <c r="A56" s="3508" t="s">
        <v>1362</v>
      </c>
      <c r="B56" s="3486"/>
      <c r="C56" s="3486"/>
      <c r="D56" s="12" t="e">
        <f ca="1">IF(H56="个人住宅",D57,D58)</f>
        <v>#REF!</v>
      </c>
      <c r="E56" s="1256" t="s">
        <v>1363</v>
      </c>
      <c r="F56" s="2339" t="str">
        <f>IF(H56="正常",F58,"免征")</f>
        <v>免征</v>
      </c>
      <c r="G56" s="2342" t="s">
        <v>1364</v>
      </c>
      <c r="H56" s="2343"/>
      <c r="I56" s="1670"/>
      <c r="J56" s="2309" t="str">
        <f>IF(项目基本情况!K6="上海银行",IF(J55="",4,J55+1),"")</f>
        <v/>
      </c>
      <c r="K56" s="3429" t="str">
        <f>IF(项目基本情况!K6="上海银行","其他处置费用","")</f>
        <v/>
      </c>
      <c r="L56" s="3430"/>
      <c r="M56" s="2311" t="str">
        <f>IF(项目基本情况!K6="上海银行",M69,"")</f>
        <v/>
      </c>
      <c r="N56" s="3429" t="str">
        <f>IF(项目基本情况!K6="上海银行","包含处置中涉及的律师、诉讼、拍卖、评估等费用","")</f>
        <v/>
      </c>
      <c r="O56" s="3432"/>
    </row>
    <row r="57" spans="1:35" ht="13.2">
      <c r="A57" s="2152" t="s">
        <v>1340</v>
      </c>
      <c r="B57" s="3472" t="s">
        <v>1365</v>
      </c>
      <c r="C57" s="3473"/>
      <c r="D57" s="1478">
        <v>0</v>
      </c>
      <c r="E57" s="316" t="s">
        <v>1342</v>
      </c>
      <c r="F57" s="294"/>
      <c r="G57" s="2340"/>
      <c r="H57" s="2344"/>
      <c r="I57" s="1670"/>
      <c r="J57" s="3448">
        <f>IF(AND(J55="",J56=""),4,IF(项目基本情况!K6="上海银行",结果表!J56+1,结果表!J55+1))</f>
        <v>5</v>
      </c>
      <c r="K57" s="3448" t="s">
        <v>1366</v>
      </c>
      <c r="L57" s="2316" t="s">
        <v>1367</v>
      </c>
      <c r="M57" s="2317"/>
      <c r="N57" s="2318">
        <f ca="1">SUMIF(M52:M56,"&lt;9e307")</f>
        <v>0</v>
      </c>
      <c r="O57" s="2319"/>
      <c r="P57" s="2464" t="e">
        <f ca="1">N57/M49</f>
        <v>#VALUE!</v>
      </c>
    </row>
    <row r="58" spans="1:35" ht="25.2">
      <c r="A58" s="2152" t="s">
        <v>1351</v>
      </c>
      <c r="B58" s="3472" t="s">
        <v>1368</v>
      </c>
      <c r="C58" s="3471"/>
      <c r="D58" s="12" t="e">
        <f ca="1">IF(H58="转让取得",C81,C97)</f>
        <v>#REF!</v>
      </c>
      <c r="E58" s="1256" t="s">
        <v>1363</v>
      </c>
      <c r="F58" s="294" t="s">
        <v>28</v>
      </c>
      <c r="G58" s="2340"/>
      <c r="H58" s="2343"/>
      <c r="I58" s="1670"/>
      <c r="J58" s="3448"/>
      <c r="K58" s="3448"/>
      <c r="L58" s="2316" t="s">
        <v>1369</v>
      </c>
      <c r="M58" s="2320"/>
      <c r="N58" s="2321" t="str">
        <f ca="1">NUMBERSTRING(INT(N57*10000),2)&amp;"元整"</f>
        <v>零元整</v>
      </c>
      <c r="O58" s="2322"/>
    </row>
    <row r="59" spans="1:35" ht="24.6" thickBot="1">
      <c r="A59" s="3452" t="s">
        <v>1370</v>
      </c>
      <c r="B59" s="3453"/>
      <c r="C59" s="345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450">
        <f>J57+1</f>
        <v>6</v>
      </c>
      <c r="K59" s="3448" t="s">
        <v>1371</v>
      </c>
      <c r="L59" s="2309" t="s">
        <v>1367</v>
      </c>
      <c r="M59" s="2323"/>
      <c r="N59" s="2324" t="e">
        <f ca="1">M49-N57</f>
        <v>#VALUE!</v>
      </c>
      <c r="O59" s="2325"/>
    </row>
    <row r="60" spans="1:35" ht="12" customHeight="1">
      <c r="A60" s="1671"/>
      <c r="B60" s="646"/>
      <c r="C60" s="646"/>
      <c r="D60" s="646"/>
      <c r="E60" s="1466"/>
      <c r="F60" s="1670"/>
      <c r="G60" s="1670"/>
      <c r="H60" s="151"/>
      <c r="I60" s="121"/>
      <c r="J60" s="3451"/>
      <c r="K60" s="3448"/>
      <c r="L60" s="2316" t="s">
        <v>1369</v>
      </c>
      <c r="M60" s="2320"/>
      <c r="N60" s="2321" t="e">
        <f ca="1">NUMBERSTRING(INT(N59*10000),2)&amp;"元整"</f>
        <v>#VALUE!</v>
      </c>
      <c r="O60" s="2322"/>
    </row>
    <row r="61" spans="1:35" ht="13.8" thickBot="1">
      <c r="A61" s="3507" t="s">
        <v>1372</v>
      </c>
      <c r="B61" s="3507"/>
      <c r="C61" s="3507"/>
      <c r="D61" s="3507"/>
      <c r="E61" s="3507"/>
      <c r="F61" s="1670"/>
      <c r="G61" s="1670"/>
      <c r="H61" s="151"/>
      <c r="I61" s="121"/>
      <c r="J61" s="2309">
        <f>J59+1</f>
        <v>7</v>
      </c>
      <c r="K61" s="3448" t="s">
        <v>1373</v>
      </c>
      <c r="L61" s="3448"/>
      <c r="M61" s="2326"/>
      <c r="N61" s="2327" t="e">
        <f ca="1">ROUND(N59*10000/'数据-汇总表'!E3,0)</f>
        <v>#VALUE!</v>
      </c>
      <c r="O61" s="2328"/>
    </row>
    <row r="62" spans="1:35" ht="13.2">
      <c r="A62" s="3467" t="s">
        <v>1374</v>
      </c>
      <c r="B62" s="3468"/>
      <c r="C62" s="1864"/>
      <c r="D62" s="1864" t="s">
        <v>1375</v>
      </c>
      <c r="E62" s="158" t="s">
        <v>1376</v>
      </c>
      <c r="F62" s="1670"/>
      <c r="G62" s="1670"/>
      <c r="H62" s="151"/>
      <c r="I62" s="121"/>
    </row>
    <row r="63" spans="1:35" ht="13.2">
      <c r="A63" s="165" t="s">
        <v>330</v>
      </c>
      <c r="B63" s="159" t="s">
        <v>1377</v>
      </c>
      <c r="C63" s="2349" t="e">
        <f ca="1">ROUND((C64+C65)/(1+'数据-取费表'!C42),0)</f>
        <v>#REF!</v>
      </c>
      <c r="D63" s="159"/>
      <c r="E63" s="160"/>
      <c r="F63" s="1670"/>
      <c r="G63" s="1670"/>
      <c r="H63" s="151"/>
      <c r="I63" s="121"/>
      <c r="J63" s="3431" t="s">
        <v>1378</v>
      </c>
      <c r="K63" s="1245" t="s">
        <v>1379</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1380</v>
      </c>
      <c r="C64" s="2350" t="e">
        <f ca="1">D45</f>
        <v>#REF!</v>
      </c>
      <c r="D64" s="162" t="s">
        <v>26</v>
      </c>
      <c r="E64" s="164"/>
      <c r="F64" s="1670"/>
      <c r="G64" s="1670"/>
      <c r="H64" s="151"/>
      <c r="I64" s="121"/>
      <c r="J64" s="3431"/>
      <c r="K64" s="1245" t="s">
        <v>1381</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1382</v>
      </c>
      <c r="Z64" s="1623"/>
      <c r="AI64" s="1561"/>
    </row>
    <row r="65" spans="1:35" ht="14.25" customHeight="1">
      <c r="A65" s="161" t="s">
        <v>326</v>
      </c>
      <c r="B65" s="162" t="s">
        <v>1383</v>
      </c>
      <c r="C65" s="2351"/>
      <c r="D65" s="162"/>
      <c r="E65" s="164"/>
      <c r="F65" s="1670"/>
      <c r="G65" s="1670"/>
      <c r="H65" s="151"/>
      <c r="I65" s="121"/>
      <c r="J65" s="3431"/>
      <c r="K65" s="1245" t="s">
        <v>1384</v>
      </c>
      <c r="L65" s="1245" t="e">
        <f>IF(M49&gt;1000,M49*0.1%,IF(AND(M49&gt;500,M49&lt;=1000),M49*0.5%,IF(AND(M49&gt;50,M49&lt;=500),M49*1%,IF(AND(M49&gt;1,M49&lt;=50),M49*1.5%))))</f>
        <v>#VALUE!</v>
      </c>
      <c r="M65" s="294" t="e">
        <f t="shared" si="1"/>
        <v>#VALUE!</v>
      </c>
      <c r="N65" s="2330" t="s">
        <v>1382</v>
      </c>
      <c r="Z65" s="1623"/>
      <c r="AI65" s="1561"/>
    </row>
    <row r="66" spans="1:35" ht="14.25" customHeight="1">
      <c r="A66" s="165" t="s">
        <v>327</v>
      </c>
      <c r="B66" s="166" t="s">
        <v>1385</v>
      </c>
      <c r="C66" s="2352"/>
      <c r="D66" s="166" t="s">
        <v>26</v>
      </c>
      <c r="E66" s="1251" t="s">
        <v>671</v>
      </c>
      <c r="F66" s="1670"/>
      <c r="G66" s="1670"/>
      <c r="H66" s="151"/>
      <c r="I66" s="121"/>
      <c r="J66" s="3431"/>
      <c r="K66" s="1245" t="s">
        <v>1386</v>
      </c>
      <c r="L66" s="1245" t="e">
        <f>M49*0.5%</f>
        <v>#VALUE!</v>
      </c>
      <c r="M66" s="294" t="e">
        <f>IF(L66&gt;0.5,0.5,ROUND(L66,0))</f>
        <v>#VALUE!</v>
      </c>
      <c r="N66" s="2330" t="s">
        <v>1387</v>
      </c>
      <c r="Z66" s="1623"/>
      <c r="AI66" s="1561"/>
    </row>
    <row r="67" spans="1:35" ht="14.25" customHeight="1">
      <c r="A67" s="165" t="s">
        <v>328</v>
      </c>
      <c r="B67" s="166" t="s">
        <v>1388</v>
      </c>
      <c r="C67" s="2353" t="e">
        <f ca="1">C63-C66</f>
        <v>#REF!</v>
      </c>
      <c r="D67" s="162" t="s">
        <v>26</v>
      </c>
      <c r="E67" s="164"/>
      <c r="F67" s="1670"/>
      <c r="G67" s="1670"/>
      <c r="H67" s="151"/>
      <c r="I67" s="121"/>
      <c r="J67" s="3431"/>
      <c r="K67" s="1245" t="s">
        <v>1389</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1390</v>
      </c>
      <c r="C68" s="2354" t="e">
        <f ca="1">IF(C67&lt;=0,0,ROUND(C67*D68,0))</f>
        <v>#REF!</v>
      </c>
      <c r="D68" s="2355">
        <f>'数据-取费表'!B41</f>
        <v>5.5000000000000007E-2</v>
      </c>
      <c r="E68" s="170"/>
      <c r="F68" s="1670"/>
      <c r="G68" s="1670"/>
      <c r="H68" s="151"/>
      <c r="I68" s="121"/>
      <c r="J68" s="3431"/>
      <c r="K68" s="1245" t="s">
        <v>1391</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31"/>
      <c r="K69" s="1245" t="s">
        <v>1392</v>
      </c>
      <c r="L69" s="1245"/>
      <c r="M69" s="294" t="e">
        <f>ROUND(SUM(M63:M68),0)</f>
        <v>#VALUE!</v>
      </c>
      <c r="N69" s="2331" t="e">
        <f>M69/M49</f>
        <v>#VALUE!</v>
      </c>
      <c r="Z69" s="1623"/>
      <c r="AI69" s="1561"/>
    </row>
    <row r="70" spans="1:35" s="642" customFormat="1" ht="14.4" thickBot="1">
      <c r="A70" s="3475" t="s">
        <v>1393</v>
      </c>
      <c r="B70" s="3476"/>
      <c r="C70" s="3476"/>
      <c r="D70" s="3476"/>
      <c r="E70" s="3476"/>
      <c r="F70" s="3476"/>
      <c r="G70" s="3476"/>
      <c r="H70" s="347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67" t="s">
        <v>1374</v>
      </c>
      <c r="B71" s="3468"/>
      <c r="C71" s="1864"/>
      <c r="D71" s="1864"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1394</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1395</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1397</v>
      </c>
      <c r="C75" s="2356"/>
      <c r="D75" s="162" t="s">
        <v>26</v>
      </c>
      <c r="E75" s="176" t="s">
        <v>1398</v>
      </c>
      <c r="F75" s="2357"/>
      <c r="G75" s="176" t="s">
        <v>1399</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9">
        <v>0.05</v>
      </c>
      <c r="E76" s="3472" t="s">
        <v>1401</v>
      </c>
      <c r="F76" s="3471"/>
      <c r="G76" s="3471"/>
      <c r="H76" s="347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1" t="e">
        <f ca="1">ROUND(D45*D78/(1+'数据-取费表'!C42),0)</f>
        <v>#REF!</v>
      </c>
      <c r="D78" s="2362">
        <f>'数据-取费表'!B43</f>
        <v>5.000000000000001E-3</v>
      </c>
      <c r="E78" s="3464" t="s">
        <v>1405</v>
      </c>
      <c r="F78" s="3465"/>
      <c r="G78" s="3465"/>
      <c r="H78" s="34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1406</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1408</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75" t="s">
        <v>1409</v>
      </c>
      <c r="B83" s="3476"/>
      <c r="C83" s="3476"/>
      <c r="D83" s="3476"/>
      <c r="E83" s="3476"/>
      <c r="F83" s="3476"/>
      <c r="G83" s="3476"/>
      <c r="H83" s="347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67" t="s">
        <v>1374</v>
      </c>
      <c r="B84" s="3468"/>
      <c r="C84" s="1864"/>
      <c r="D84" s="1864"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1394</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1395</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1410</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1411</v>
      </c>
      <c r="C88" s="2367"/>
      <c r="D88" s="2362"/>
      <c r="E88" s="185" t="s">
        <v>1412</v>
      </c>
      <c r="F88" s="2147"/>
      <c r="G88" s="186" t="s">
        <v>1413</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1402</v>
      </c>
      <c r="C89" s="2361">
        <f>ROUND(C88*D89,0)</f>
        <v>0</v>
      </c>
      <c r="D89" s="2362">
        <f>'数据-取费表'!B48+'数据-取费表'!B49</f>
        <v>3.0499999999999999E-2</v>
      </c>
      <c r="E89" s="185" t="s">
        <v>1414</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1415</v>
      </c>
      <c r="C90" s="2367"/>
      <c r="D90" s="2362"/>
      <c r="E90" s="185" t="str">
        <f>IF(H88="-","土地取得成本中已包含该笔费用"," ")</f>
        <v xml:space="preserve"> </v>
      </c>
      <c r="F90" s="2147"/>
      <c r="G90" s="3433" t="s">
        <v>2128</v>
      </c>
      <c r="H90" s="3434"/>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1">
        <f>IF(H91="——",成本法!C33,I91)</f>
        <v>0</v>
      </c>
      <c r="D91" s="2362"/>
      <c r="E91" s="3464" t="s">
        <v>1418</v>
      </c>
      <c r="F91" s="3465"/>
      <c r="G91" s="34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1">
        <f>ROUND((C87+C90+C91)*D92,0)</f>
        <v>0</v>
      </c>
      <c r="D92" s="2368"/>
      <c r="E92" s="3464" t="s">
        <v>1421</v>
      </c>
      <c r="F92" s="3465"/>
      <c r="G92" s="3465"/>
      <c r="H92" s="3466"/>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1" t="e">
        <f ca="1">ROUND(D45*D93/(1+'数据-取费表'!C42),0)</f>
        <v>#REF!</v>
      </c>
      <c r="D93" s="2362">
        <f>'数据-取费表'!B43</f>
        <v>5.000000000000001E-3</v>
      </c>
      <c r="E93" s="3464" t="s">
        <v>1405</v>
      </c>
      <c r="F93" s="3465"/>
      <c r="G93" s="3465"/>
      <c r="H93" s="34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7">
        <f>ROUND((C87+C90+C91)*D94,0)</f>
        <v>0</v>
      </c>
      <c r="D94" s="2362">
        <v>0.2</v>
      </c>
      <c r="E94" s="3509" t="s">
        <v>1425</v>
      </c>
      <c r="F94" s="3510"/>
      <c r="G94" s="3510"/>
      <c r="H94" s="351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1406</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1408</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387" t="s">
        <v>1427</v>
      </c>
      <c r="B100" s="3388"/>
      <c r="C100" s="3388"/>
      <c r="D100" s="3449"/>
      <c r="E100" s="3388" t="s">
        <v>1428</v>
      </c>
      <c r="F100" s="3388"/>
      <c r="G100" s="3388"/>
      <c r="H100" s="3449"/>
      <c r="I100" s="121"/>
    </row>
    <row r="101" spans="1:35" ht="18.75" customHeight="1">
      <c r="A101" s="3457" t="s">
        <v>1429</v>
      </c>
      <c r="B101" s="3458"/>
      <c r="C101" s="2370" t="str">
        <f>C4</f>
        <v>比较法-住宅</v>
      </c>
      <c r="D101" s="2371" t="str">
        <f>D4</f>
        <v>成本法</v>
      </c>
      <c r="E101" s="3427" t="s">
        <v>1430</v>
      </c>
      <c r="F101" s="3428"/>
      <c r="G101" s="1687" t="s">
        <v>1431</v>
      </c>
      <c r="H101" s="2380" t="e">
        <f ca="1">H118</f>
        <v>#REF!</v>
      </c>
      <c r="I101" s="121"/>
    </row>
    <row r="102" spans="1:35" ht="18.75" customHeight="1">
      <c r="A102" s="3459" t="s">
        <v>1432</v>
      </c>
      <c r="B102" s="2369" t="s">
        <v>1431</v>
      </c>
      <c r="C102" s="2370">
        <f ca="1">IF(D32="楼面单价",ROUND(C19,0),C19)</f>
        <v>1238.8384000000001</v>
      </c>
      <c r="D102" s="2371">
        <f ca="1">IF(D32="楼面单价",ROUND(D19,0),D19)</f>
        <v>678</v>
      </c>
      <c r="E102" s="3427"/>
      <c r="F102" s="3428"/>
      <c r="G102" s="1687" t="s">
        <v>1433</v>
      </c>
      <c r="H102" s="2340" t="e">
        <f ca="1">I118</f>
        <v>#REF!</v>
      </c>
      <c r="I102" s="121"/>
    </row>
    <row r="103" spans="1:35" ht="42.75" customHeight="1">
      <c r="A103" s="3459"/>
      <c r="B103" s="2369" t="s">
        <v>1433</v>
      </c>
      <c r="C103" s="2372">
        <f ca="1">C20</f>
        <v>42156</v>
      </c>
      <c r="D103" s="2373">
        <f ca="1">D20</f>
        <v>23071</v>
      </c>
      <c r="E103" s="3420" t="s">
        <v>1434</v>
      </c>
      <c r="F103" s="3421"/>
      <c r="G103" s="1688" t="s">
        <v>1435</v>
      </c>
      <c r="H103" s="2380">
        <f>IF(D36="正常操作",H104+H105+H106,H105+H106)</f>
        <v>0</v>
      </c>
      <c r="I103" s="121"/>
    </row>
    <row r="104" spans="1:35" ht="18.75" customHeight="1">
      <c r="A104" s="3459" t="s">
        <v>1436</v>
      </c>
      <c r="B104" s="2374" t="s">
        <v>1431</v>
      </c>
      <c r="C104" s="2375" t="e">
        <f ca="1">H118</f>
        <v>#REF!</v>
      </c>
      <c r="D104" s="2376"/>
      <c r="E104" s="1555" t="s">
        <v>1437</v>
      </c>
      <c r="F104" s="1548"/>
      <c r="G104" s="1688" t="s">
        <v>1435</v>
      </c>
      <c r="H104" s="2381">
        <f>IF(D36="同一抵押权人同一抵押物续贷",C36&amp;"（续贷，未扣减，详见特别提示）",C36)</f>
        <v>0</v>
      </c>
      <c r="I104" s="121"/>
    </row>
    <row r="105" spans="1:35" ht="18.75" customHeight="1" thickBot="1">
      <c r="A105" s="3469"/>
      <c r="B105" s="2377" t="s">
        <v>1433</v>
      </c>
      <c r="C105" s="2378" t="e">
        <f ca="1">I118</f>
        <v>#REF!</v>
      </c>
      <c r="D105" s="2379"/>
      <c r="E105" s="1555" t="s">
        <v>1438</v>
      </c>
      <c r="F105" s="1548"/>
      <c r="G105" s="1688" t="s">
        <v>1435</v>
      </c>
      <c r="H105" s="2382">
        <f>C37</f>
        <v>0</v>
      </c>
      <c r="I105" s="121"/>
    </row>
    <row r="106" spans="1:35" ht="18.75" customHeight="1">
      <c r="A106" s="646" t="s">
        <v>1439</v>
      </c>
      <c r="B106" s="646"/>
      <c r="C106" s="646"/>
      <c r="D106" s="646"/>
      <c r="E106" s="1689" t="s">
        <v>1440</v>
      </c>
      <c r="F106" s="1548"/>
      <c r="G106" s="1688" t="s">
        <v>1435</v>
      </c>
      <c r="H106" s="2382">
        <f>C38</f>
        <v>0</v>
      </c>
      <c r="I106" s="121"/>
    </row>
    <row r="107" spans="1:35" ht="18.75" customHeight="1">
      <c r="A107" s="121"/>
      <c r="B107" s="121"/>
      <c r="C107" s="121"/>
      <c r="D107" s="121"/>
      <c r="E107" s="3460" t="str">
        <f>IF(项目基本情况!E8="已注销","——","3.房地产抵押价值")</f>
        <v>3.房地产抵押价值</v>
      </c>
      <c r="F107" s="3428"/>
      <c r="G107" s="1687" t="s">
        <v>1431</v>
      </c>
      <c r="H107" s="2380" t="e">
        <f ca="1">IF(E107="——","——",H101-H103)</f>
        <v>#REF!</v>
      </c>
      <c r="I107" s="121"/>
    </row>
    <row r="108" spans="1:35" ht="18.75" customHeight="1">
      <c r="A108" s="121"/>
      <c r="B108" s="121"/>
      <c r="C108" s="121"/>
      <c r="D108" s="121"/>
      <c r="E108" s="3460"/>
      <c r="F108" s="3428"/>
      <c r="G108" s="1687" t="s">
        <v>1433</v>
      </c>
      <c r="H108" s="2340">
        <f ca="1">IF(H107=H101,H102,ROUND(H107*10000/'数据-汇总表'!E3,0))</f>
        <v>0</v>
      </c>
      <c r="I108" s="121"/>
    </row>
    <row r="109" spans="1:35" ht="18.75" customHeight="1">
      <c r="A109" s="121"/>
      <c r="B109" s="121"/>
      <c r="C109" s="121"/>
      <c r="D109" s="121"/>
      <c r="E109" s="3460" t="str">
        <f>IF(项目基本情况!E8="已注销及未注销","4.抵押担保权已注销时的房地产抵押价值",IF(项目基本情况!E8="已注销","3.抵押担保权已注销时的房地产抵押价值","——"))</f>
        <v>——</v>
      </c>
      <c r="F109" s="3428"/>
      <c r="G109" s="1687" t="s">
        <v>1431</v>
      </c>
      <c r="H109" s="2383" t="str">
        <f>IF(E109="——","——",H101-H105-H106)</f>
        <v>——</v>
      </c>
      <c r="I109" s="121"/>
    </row>
    <row r="110" spans="1:35" ht="18.75" customHeight="1">
      <c r="A110" s="121"/>
      <c r="B110" s="121"/>
      <c r="C110" s="121"/>
      <c r="D110" s="121"/>
      <c r="E110" s="3460"/>
      <c r="F110" s="3428"/>
      <c r="G110" s="1687" t="s">
        <v>1433</v>
      </c>
      <c r="H110" s="2340" t="str">
        <f>IF(H109="——","——",ROUND(H109*10000/'数据-汇总表'!E3,0))</f>
        <v>——</v>
      </c>
      <c r="I110" s="121"/>
    </row>
    <row r="111" spans="1:35" ht="18.75" customHeight="1">
      <c r="A111" s="121"/>
      <c r="B111" s="121"/>
      <c r="C111" s="121"/>
      <c r="D111" s="121"/>
      <c r="E111" s="3461" t="str">
        <f>IF(项目基本情况!E9="抵押净值",IF(OR(项目基本情况!E8="已注销",项目基本情况!E8="房地产抵押价值"),"4.抵押净值","5.抵押净值"),"——")</f>
        <v>——</v>
      </c>
      <c r="F111" s="3447"/>
      <c r="G111" s="1687" t="s">
        <v>1431</v>
      </c>
      <c r="H111" s="2380" t="str">
        <f>IF(E111="——","——",N59)</f>
        <v>——</v>
      </c>
      <c r="I111" s="121"/>
    </row>
    <row r="112" spans="1:35" ht="18.75" customHeight="1" thickBot="1">
      <c r="A112" s="121"/>
      <c r="B112" s="121"/>
      <c r="C112" s="121"/>
      <c r="D112" s="121"/>
      <c r="E112" s="3462"/>
      <c r="F112" s="3463"/>
      <c r="G112" s="1690" t="s">
        <v>1433</v>
      </c>
      <c r="H112" s="2384" t="str">
        <f>IF(E111="——","——",N61)</f>
        <v>——</v>
      </c>
      <c r="I112" s="121"/>
    </row>
    <row r="113" spans="1:27" ht="18.75" customHeight="1">
      <c r="A113" s="121"/>
      <c r="B113" s="121"/>
      <c r="C113" s="121"/>
      <c r="D113" s="121"/>
      <c r="E113" s="3470" t="s">
        <v>1439</v>
      </c>
      <c r="F113" s="3470"/>
      <c r="G113" s="3470"/>
      <c r="H113" s="3470"/>
      <c r="I113" s="121"/>
    </row>
    <row r="114" spans="1:27" ht="3.75" customHeight="1">
      <c r="A114" s="646"/>
      <c r="B114" s="646"/>
      <c r="C114" s="646"/>
      <c r="D114" s="646"/>
      <c r="E114" s="1671"/>
      <c r="F114" s="1671"/>
      <c r="G114" s="1671"/>
      <c r="H114" s="1671"/>
      <c r="I114" s="646"/>
    </row>
    <row r="115" spans="1:27" ht="18.75" customHeight="1">
      <c r="A115" s="3478" t="s">
        <v>1441</v>
      </c>
      <c r="B115" s="3479"/>
      <c r="C115" s="3479"/>
      <c r="D115" s="3479"/>
      <c r="E115" s="3479"/>
      <c r="F115" s="3479"/>
      <c r="G115" s="3479"/>
      <c r="H115" s="3479"/>
      <c r="I115" s="3480"/>
    </row>
    <row r="116" spans="1:27" ht="27" customHeight="1">
      <c r="A116" s="3435" t="s">
        <v>1442</v>
      </c>
      <c r="B116" s="3439" t="s">
        <v>1443</v>
      </c>
      <c r="C116" s="3439" t="s">
        <v>1444</v>
      </c>
      <c r="D116" s="3445" t="s">
        <v>1445</v>
      </c>
      <c r="E116" s="3446"/>
      <c r="F116" s="3477" t="s">
        <v>1446</v>
      </c>
      <c r="G116" s="3477"/>
      <c r="H116" s="3435" t="s">
        <v>1447</v>
      </c>
      <c r="I116" s="3435"/>
    </row>
    <row r="117" spans="1:27" ht="18.75" customHeight="1">
      <c r="A117" s="3435"/>
      <c r="B117" s="3440"/>
      <c r="C117" s="3440"/>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293.87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35" t="s">
        <v>1451</v>
      </c>
      <c r="B119" s="3435"/>
      <c r="C119" s="3435"/>
      <c r="D119" s="3441" t="e">
        <f ca="1">NUMBERSTRING(INT(D118*10000),2)&amp;"元整"</f>
        <v>#REF!</v>
      </c>
      <c r="E119" s="3442"/>
      <c r="F119" s="3441" t="e">
        <f ca="1">NUMBERSTRING(INT(F118*10000),2)&amp;"元整"</f>
        <v>#REF!</v>
      </c>
      <c r="G119" s="3442"/>
      <c r="H119" s="3441" t="e">
        <f ca="1">NUMBERSTRING(INT(H118*10000),2)&amp;"元整"</f>
        <v>#REF!</v>
      </c>
      <c r="I119" s="3442"/>
    </row>
    <row r="120" spans="1:27" ht="18.75" customHeight="1">
      <c r="A120" s="3436" t="str">
        <f>IF(项目基本情况!B9="房地产市场价值","",MID(E103,3,LEN(E103)-2))</f>
        <v/>
      </c>
      <c r="B120" s="3437"/>
      <c r="C120" s="3438"/>
      <c r="D120" s="3436">
        <f>H103</f>
        <v>0</v>
      </c>
      <c r="E120" s="3437"/>
      <c r="F120" s="3437"/>
      <c r="G120" s="3437"/>
      <c r="H120" s="3437"/>
      <c r="I120" s="343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41" t="s">
        <v>1451</v>
      </c>
      <c r="B121" s="3443"/>
      <c r="C121" s="3442"/>
      <c r="D121" s="3441" t="str">
        <f>IF(D120=0,"零元整",NUMBERSTRING(INT(D120*10000),2)&amp;"元整")</f>
        <v>零元整</v>
      </c>
      <c r="E121" s="3443"/>
      <c r="F121" s="3443"/>
      <c r="G121" s="3443"/>
      <c r="H121" s="3443"/>
      <c r="I121" s="3442"/>
      <c r="AA121" s="684"/>
    </row>
    <row r="122" spans="1:27" ht="18.75" customHeight="1">
      <c r="A122" s="3447" t="str">
        <f>IF(项目基本情况!B9="房地产市场价值","",MID(E107,3,LEN(E107)-2))</f>
        <v/>
      </c>
      <c r="B122" s="3447"/>
      <c r="C122" s="3447"/>
      <c r="D122" s="3436" t="e">
        <f ca="1">H107</f>
        <v>#REF!</v>
      </c>
      <c r="E122" s="3437"/>
      <c r="F122" s="3437"/>
      <c r="G122" s="3437"/>
      <c r="H122" s="3437"/>
      <c r="I122" s="3438"/>
      <c r="AA122" s="684"/>
    </row>
    <row r="123" spans="1:27" ht="18.75" customHeight="1">
      <c r="A123" s="3435" t="s">
        <v>1451</v>
      </c>
      <c r="B123" s="3435"/>
      <c r="C123" s="3435"/>
      <c r="D123" s="3441" t="e">
        <f ca="1">NUMBERSTRING(INT(D122*10000),2)&amp;"元整"</f>
        <v>#REF!</v>
      </c>
      <c r="E123" s="3443"/>
      <c r="F123" s="3443"/>
      <c r="G123" s="3443"/>
      <c r="H123" s="3443"/>
      <c r="I123" s="3442"/>
      <c r="AA123" s="684"/>
    </row>
    <row r="124" spans="1:27" ht="18.75" customHeight="1">
      <c r="A124" s="3447" t="str">
        <f>IF(项目基本情况!B9="房地产市场价值","",MID(E109,3,LEN(E109)-2))</f>
        <v/>
      </c>
      <c r="B124" s="3447"/>
      <c r="C124" s="3447"/>
      <c r="D124" s="3436" t="str">
        <f>H109</f>
        <v>——</v>
      </c>
      <c r="E124" s="3437"/>
      <c r="F124" s="3437"/>
      <c r="G124" s="3437"/>
      <c r="H124" s="3437"/>
      <c r="I124" s="3438"/>
      <c r="AA124" s="684"/>
    </row>
    <row r="125" spans="1:27" ht="18.75" customHeight="1">
      <c r="A125" s="3435" t="s">
        <v>1451</v>
      </c>
      <c r="B125" s="3435"/>
      <c r="C125" s="3435"/>
      <c r="D125" s="3441" t="e">
        <f>NUMBERSTRING(INT(D124*10000),2)&amp;"元整"</f>
        <v>#VALUE!</v>
      </c>
      <c r="E125" s="3443"/>
      <c r="F125" s="3443"/>
      <c r="G125" s="3443"/>
      <c r="H125" s="3443"/>
      <c r="I125" s="3442"/>
      <c r="AA125" s="684"/>
    </row>
    <row r="126" spans="1:27" ht="18.75" customHeight="1">
      <c r="A126" s="3447" t="str">
        <f>IF(项目基本情况!B9="房地产市场价值","",MID(E111,3,LEN(E111)-2))</f>
        <v/>
      </c>
      <c r="B126" s="3447"/>
      <c r="C126" s="3447"/>
      <c r="D126" s="3436" t="str">
        <f>H111</f>
        <v>——</v>
      </c>
      <c r="E126" s="3437"/>
      <c r="F126" s="3437"/>
      <c r="G126" s="3437"/>
      <c r="H126" s="3437"/>
      <c r="I126" s="3438"/>
      <c r="AA126" s="684"/>
    </row>
    <row r="127" spans="1:27" ht="18.75" customHeight="1">
      <c r="A127" s="3435" t="s">
        <v>1451</v>
      </c>
      <c r="B127" s="3435"/>
      <c r="C127" s="3435"/>
      <c r="D127" s="3441" t="e">
        <f>NUMBERSTRING(INT(D126*10000),2)&amp;"元整"</f>
        <v>#VALUE!</v>
      </c>
      <c r="E127" s="3443"/>
      <c r="F127" s="3443"/>
      <c r="G127" s="3443"/>
      <c r="H127" s="3443"/>
      <c r="I127" s="3442"/>
      <c r="AA127" s="684"/>
    </row>
    <row r="128" spans="1:27" ht="21.75" customHeight="1">
      <c r="A128" s="3444" t="s">
        <v>1452</v>
      </c>
      <c r="B128" s="3444"/>
      <c r="C128" s="3444"/>
      <c r="D128" s="3444"/>
      <c r="E128" s="3444"/>
      <c r="F128" s="3444"/>
      <c r="G128" s="3444"/>
      <c r="H128" s="3444"/>
      <c r="I128" s="3444"/>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C5:D7">
    <cfRule type="cellIs" dxfId="143" priority="10" stopIfTrue="1" operator="equal">
      <formula>25</formula>
    </cfRule>
  </conditionalFormatting>
  <conditionalFormatting sqref="C8:D13">
    <cfRule type="cellIs" dxfId="142" priority="8" stopIfTrue="1" operator="equal">
      <formula>15</formula>
    </cfRule>
  </conditionalFormatting>
  <conditionalFormatting sqref="C14:D16">
    <cfRule type="cellIs" dxfId="141" priority="6" stopIfTrue="1" operator="equal">
      <formula>30</formula>
    </cfRule>
  </conditionalFormatting>
  <conditionalFormatting sqref="E36">
    <cfRule type="expression" dxfId="1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8" zoomScale="90" zoomScaleNormal="60" zoomScaleSheetLayoutView="90" workbookViewId="0">
      <selection activeCell="D100" sqref="D100"/>
    </sheetView>
  </sheetViews>
  <sheetFormatPr defaultColWidth="9" defaultRowHeight="13.8"/>
  <cols>
    <col min="1" max="1" width="10.44140625" style="347" customWidth="1"/>
    <col min="2" max="2" width="15.77734375" style="347" customWidth="1"/>
    <col min="3" max="3" width="17.44140625" style="347" customWidth="1"/>
    <col min="4" max="4" width="19.6640625" style="347" customWidth="1"/>
    <col min="5" max="5" width="17.109375" style="347" customWidth="1"/>
    <col min="6" max="6" width="15.109375" style="347" customWidth="1"/>
    <col min="7" max="7" width="16.44140625" style="347" customWidth="1"/>
    <col min="8" max="8" width="12.21875" style="347" customWidth="1"/>
    <col min="9" max="9" width="18.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t="s">
        <v>3386</v>
      </c>
      <c r="E1" s="3124" t="s">
        <v>4343</v>
      </c>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1238.8384000000001</v>
      </c>
      <c r="C2" s="1737" t="s">
        <v>43</v>
      </c>
      <c r="D2" s="1052">
        <f ca="1">IF(E1="项目模式",SUMIF(INDIRECT("'"&amp;F2&amp;"'"&amp;"!A:A"),"承租人权益价值",INDIRECT("'"&amp;F2&amp;"'"&amp;"!c:c")),SUMIF(INDIRECT("'"&amp;F2&amp;"'"&amp;"!A:A"),"承租人权益价值（单套）",INDIRECT("'"&amp;F2&amp;"'"&amp;"!c:c")))</f>
        <v>0</v>
      </c>
      <c r="E2" s="1738" t="s">
        <v>1663</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42156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1665</v>
      </c>
      <c r="B4" s="346"/>
      <c r="C4" s="3533" t="s">
        <v>1666</v>
      </c>
      <c r="D4" s="3534"/>
      <c r="E4" s="3535" t="s">
        <v>1667</v>
      </c>
      <c r="F4" s="3536"/>
      <c r="G4" s="3533" t="s">
        <v>1668</v>
      </c>
      <c r="H4" s="3534"/>
      <c r="I4" s="3533" t="s">
        <v>1669</v>
      </c>
      <c r="J4" s="3534"/>
      <c r="K4" s="1744" t="s">
        <v>1670</v>
      </c>
      <c r="L4" s="2486"/>
      <c r="M4" s="2487"/>
      <c r="N4" s="2487"/>
      <c r="O4" s="2487"/>
      <c r="P4" s="3537" t="s">
        <v>1671</v>
      </c>
      <c r="Q4" s="3538"/>
      <c r="R4" s="3519" t="s">
        <v>1667</v>
      </c>
      <c r="S4" s="3520"/>
      <c r="T4" s="3519" t="s">
        <v>1668</v>
      </c>
      <c r="U4" s="3520"/>
      <c r="V4" s="3545" t="s">
        <v>1669</v>
      </c>
      <c r="W4" s="3545"/>
      <c r="X4" s="1265"/>
      <c r="Y4" s="3519" t="s">
        <v>1671</v>
      </c>
      <c r="Z4" s="3520"/>
      <c r="AA4" s="3514" t="s">
        <v>1667</v>
      </c>
      <c r="AB4" s="3514" t="s">
        <v>1668</v>
      </c>
      <c r="AC4" s="3514" t="s">
        <v>1669</v>
      </c>
    </row>
    <row r="5" spans="1:29">
      <c r="A5" s="348"/>
      <c r="B5" s="349"/>
      <c r="C5" s="3525" t="str">
        <f>Sheet5!B2</f>
        <v>融创长滩壹号</v>
      </c>
      <c r="D5" s="3526"/>
      <c r="E5" s="3523" t="str">
        <f>Sheet5!B2</f>
        <v>融创长滩壹号</v>
      </c>
      <c r="F5" s="3524"/>
      <c r="G5" s="3529" t="str">
        <f>Sheet5!B3</f>
        <v>融创长滩壹号</v>
      </c>
      <c r="H5" s="3526"/>
      <c r="I5" s="3529" t="str">
        <f>Sheet5!B11</f>
        <v>金科廊桥水岸</v>
      </c>
      <c r="J5" s="3526"/>
      <c r="K5" s="1745"/>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1745"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298">
        <f>Sheet5!P2</f>
        <v>45554</v>
      </c>
      <c r="F7" s="3299">
        <f>SUMIF(58:58,YEAR(E7)&amp;"-"&amp;MONTH(E7),59:59)</f>
        <v>100</v>
      </c>
      <c r="G7" s="3298">
        <f>Sheet5!P3</f>
        <v>45519</v>
      </c>
      <c r="H7" s="3300">
        <f>SUMIF(58:58,YEAR(G7)&amp;"-"&amp;MONTH(G7),59:59)</f>
        <v>100</v>
      </c>
      <c r="I7" s="3298">
        <f>Sheet5!P11</f>
        <v>45421</v>
      </c>
      <c r="J7" s="3300">
        <f>SUMIF(58:58,YEAR(I7)&amp;"-"&amp;MONTH(I7),59:59)</f>
        <v>100</v>
      </c>
      <c r="K7" s="1746"/>
      <c r="L7" s="2488"/>
      <c r="M7" s="2439"/>
      <c r="N7" s="2439"/>
      <c r="O7" s="2439"/>
      <c r="P7" s="3517" t="s">
        <v>1679</v>
      </c>
      <c r="Q7" s="3546"/>
      <c r="R7" s="664" t="s">
        <v>20</v>
      </c>
      <c r="S7" s="665">
        <f t="shared" ref="S7:S15" si="0">F7</f>
        <v>100</v>
      </c>
      <c r="T7" s="664" t="s">
        <v>20</v>
      </c>
      <c r="U7" s="665">
        <f t="shared" ref="U7:U15" si="1">H7</f>
        <v>100</v>
      </c>
      <c r="V7" s="664" t="s">
        <v>20</v>
      </c>
      <c r="W7" s="665">
        <f t="shared" ref="W7:W15" si="2">J7</f>
        <v>100</v>
      </c>
      <c r="X7" s="666"/>
      <c r="Y7" s="3517" t="s">
        <v>1679</v>
      </c>
      <c r="Z7" s="3518"/>
      <c r="AA7" s="50">
        <f>D7/F7</f>
        <v>1</v>
      </c>
      <c r="AB7" s="50">
        <f>D7/H7</f>
        <v>1</v>
      </c>
      <c r="AC7" s="50">
        <f>D7/J7</f>
        <v>1</v>
      </c>
    </row>
    <row r="8" spans="1:29" s="102" customFormat="1" ht="1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17" t="s">
        <v>1682</v>
      </c>
      <c r="Q8" s="3518"/>
      <c r="R8" s="664" t="s">
        <v>20</v>
      </c>
      <c r="S8" s="665">
        <f t="shared" si="0"/>
        <v>100</v>
      </c>
      <c r="T8" s="664" t="s">
        <v>20</v>
      </c>
      <c r="U8" s="665">
        <f t="shared" si="1"/>
        <v>100</v>
      </c>
      <c r="V8" s="664" t="s">
        <v>20</v>
      </c>
      <c r="W8" s="665">
        <f t="shared" si="2"/>
        <v>100</v>
      </c>
      <c r="X8" s="666"/>
      <c r="Y8" s="3517" t="s">
        <v>1682</v>
      </c>
      <c r="Z8" s="3518"/>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32"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8.8" hidden="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32"/>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 hidden="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32"/>
      <c r="Q11" s="530" t="str">
        <f t="shared" si="6"/>
        <v>容积率</v>
      </c>
      <c r="R11" s="664" t="s">
        <v>18</v>
      </c>
      <c r="S11" s="665">
        <f t="shared" si="0"/>
        <v>100</v>
      </c>
      <c r="T11" s="664" t="s">
        <v>18</v>
      </c>
      <c r="U11" s="665">
        <f t="shared" si="1"/>
        <v>100</v>
      </c>
      <c r="V11" s="664" t="s">
        <v>18</v>
      </c>
      <c r="W11" s="665">
        <f t="shared" si="2"/>
        <v>100</v>
      </c>
      <c r="X11" s="666"/>
      <c r="Y11" s="349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32"/>
      <c r="Q12" s="530">
        <f t="shared" si="6"/>
        <v>111</v>
      </c>
      <c r="R12" s="664" t="s">
        <v>18</v>
      </c>
      <c r="S12" s="665">
        <f t="shared" si="0"/>
        <v>100</v>
      </c>
      <c r="T12" s="664" t="s">
        <v>18</v>
      </c>
      <c r="U12" s="665">
        <f t="shared" si="1"/>
        <v>100</v>
      </c>
      <c r="V12" s="664" t="s">
        <v>18</v>
      </c>
      <c r="W12" s="665">
        <f t="shared" si="2"/>
        <v>100</v>
      </c>
      <c r="X12" s="666"/>
      <c r="Y12" s="349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32"/>
      <c r="Q13" s="530">
        <f t="shared" si="6"/>
        <v>111</v>
      </c>
      <c r="R13" s="664" t="s">
        <v>18</v>
      </c>
      <c r="S13" s="665">
        <f t="shared" si="0"/>
        <v>100</v>
      </c>
      <c r="T13" s="664" t="s">
        <v>18</v>
      </c>
      <c r="U13" s="665">
        <f t="shared" si="1"/>
        <v>100</v>
      </c>
      <c r="V13" s="664" t="s">
        <v>18</v>
      </c>
      <c r="W13" s="665">
        <f t="shared" si="2"/>
        <v>100</v>
      </c>
      <c r="X13" s="666"/>
      <c r="Y13" s="3490"/>
      <c r="Z13" s="50">
        <f t="shared" si="7"/>
        <v>111</v>
      </c>
      <c r="AA13" s="50">
        <f t="shared" si="3"/>
        <v>1</v>
      </c>
      <c r="AB13" s="50">
        <f t="shared" si="4"/>
        <v>1</v>
      </c>
      <c r="AC13" s="50">
        <f t="shared" si="5"/>
        <v>1</v>
      </c>
    </row>
    <row r="14" spans="1:29" ht="15.6"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32"/>
      <c r="Q14" s="530">
        <f t="shared" si="6"/>
        <v>111</v>
      </c>
      <c r="R14" s="664" t="s">
        <v>18</v>
      </c>
      <c r="S14" s="665">
        <f t="shared" si="0"/>
        <v>100</v>
      </c>
      <c r="T14" s="664" t="s">
        <v>18</v>
      </c>
      <c r="U14" s="665">
        <f t="shared" si="1"/>
        <v>100</v>
      </c>
      <c r="V14" s="664" t="s">
        <v>18</v>
      </c>
      <c r="W14" s="665">
        <f t="shared" si="2"/>
        <v>100</v>
      </c>
      <c r="X14" s="666"/>
      <c r="Y14" s="3490"/>
      <c r="Z14" s="50">
        <f t="shared" si="7"/>
        <v>111</v>
      </c>
      <c r="AA14" s="50">
        <f t="shared" si="3"/>
        <v>1</v>
      </c>
      <c r="AB14" s="50">
        <f t="shared" si="4"/>
        <v>1</v>
      </c>
      <c r="AC14" s="50">
        <f t="shared" si="5"/>
        <v>1</v>
      </c>
    </row>
    <row r="15" spans="1:29" ht="82.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58" t="s">
        <v>1690</v>
      </c>
      <c r="Q15" s="1263" t="str">
        <f t="shared" si="6"/>
        <v>居住社区成熟度</v>
      </c>
      <c r="R15" s="667" t="s">
        <v>18</v>
      </c>
      <c r="S15" s="668">
        <f t="shared" si="0"/>
        <v>100</v>
      </c>
      <c r="T15" s="667" t="s">
        <v>18</v>
      </c>
      <c r="U15" s="668">
        <f t="shared" si="1"/>
        <v>100</v>
      </c>
      <c r="V15" s="667" t="s">
        <v>18</v>
      </c>
      <c r="W15" s="668">
        <f t="shared" si="2"/>
        <v>100</v>
      </c>
      <c r="X15" s="1265"/>
      <c r="Y15" s="3551"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59"/>
      <c r="Q16" s="1263"/>
      <c r="R16" s="667"/>
      <c r="S16" s="668"/>
      <c r="T16" s="667"/>
      <c r="U16" s="668"/>
      <c r="V16" s="667"/>
      <c r="W16" s="668"/>
      <c r="X16" s="1265"/>
      <c r="Y16" s="3552"/>
      <c r="Z16" s="1264"/>
      <c r="AA16" s="1264">
        <v>1</v>
      </c>
      <c r="AB16" s="1264">
        <v>1</v>
      </c>
      <c r="AC16" s="1264">
        <v>1</v>
      </c>
    </row>
    <row r="17" spans="1:29" ht="69">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59"/>
      <c r="Q17" s="1263" t="str">
        <f>B17</f>
        <v>交通便捷度</v>
      </c>
      <c r="R17" s="667" t="s">
        <v>18</v>
      </c>
      <c r="S17" s="668">
        <f>F17</f>
        <v>100</v>
      </c>
      <c r="T17" s="667" t="s">
        <v>18</v>
      </c>
      <c r="U17" s="668">
        <f>H17</f>
        <v>100</v>
      </c>
      <c r="V17" s="667" t="s">
        <v>18</v>
      </c>
      <c r="W17" s="668">
        <f>J17</f>
        <v>100</v>
      </c>
      <c r="X17" s="1265"/>
      <c r="Y17" s="3552"/>
      <c r="Z17" s="1264" t="str">
        <f>Q17</f>
        <v>交通便捷度</v>
      </c>
      <c r="AA17" s="1264">
        <f t="shared" si="3"/>
        <v>1</v>
      </c>
      <c r="AB17" s="1264">
        <f t="shared" si="4"/>
        <v>1</v>
      </c>
      <c r="AC17" s="1264">
        <f t="shared" si="5"/>
        <v>1</v>
      </c>
    </row>
    <row r="18" spans="1:29" ht="15">
      <c r="A18" s="367"/>
      <c r="B18" s="395"/>
      <c r="C18" s="1755" t="s">
        <v>4272</v>
      </c>
      <c r="D18" s="389"/>
      <c r="E18" s="1755" t="s">
        <v>4272</v>
      </c>
      <c r="F18" s="389"/>
      <c r="G18" s="1755" t="s">
        <v>4272</v>
      </c>
      <c r="H18" s="387"/>
      <c r="I18" s="1755" t="s">
        <v>4272</v>
      </c>
      <c r="J18" s="387"/>
      <c r="K18" s="1753"/>
      <c r="L18" s="2492"/>
      <c r="M18" s="2487"/>
      <c r="N18" s="2487"/>
      <c r="O18" s="2487"/>
      <c r="P18" s="3559"/>
      <c r="Q18" s="1263"/>
      <c r="R18" s="667"/>
      <c r="S18" s="668"/>
      <c r="T18" s="667"/>
      <c r="U18" s="668"/>
      <c r="V18" s="667"/>
      <c r="W18" s="668"/>
      <c r="X18" s="1265"/>
      <c r="Y18" s="3552"/>
      <c r="Z18" s="1264"/>
      <c r="AA18" s="1264">
        <v>1</v>
      </c>
      <c r="AB18" s="1264">
        <v>1</v>
      </c>
      <c r="AC18" s="1264">
        <v>1</v>
      </c>
    </row>
    <row r="19" spans="1:2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59"/>
      <c r="Q19" s="1263" t="str">
        <f>B19</f>
        <v>公共配套设施</v>
      </c>
      <c r="R19" s="667" t="s">
        <v>18</v>
      </c>
      <c r="S19" s="668">
        <f>F19</f>
        <v>100</v>
      </c>
      <c r="T19" s="667" t="s">
        <v>18</v>
      </c>
      <c r="U19" s="668">
        <f>H19</f>
        <v>100</v>
      </c>
      <c r="V19" s="667" t="s">
        <v>18</v>
      </c>
      <c r="W19" s="668">
        <f>J19</f>
        <v>100</v>
      </c>
      <c r="X19" s="1265"/>
      <c r="Y19" s="3552"/>
      <c r="Z19" s="1264" t="str">
        <f>Q19</f>
        <v>公共配套设施</v>
      </c>
      <c r="AA19" s="1264">
        <f t="shared" si="3"/>
        <v>1</v>
      </c>
      <c r="AB19" s="1264">
        <f t="shared" si="4"/>
        <v>1</v>
      </c>
      <c r="AC19" s="1264">
        <f t="shared" si="5"/>
        <v>1</v>
      </c>
    </row>
    <row r="20" spans="1:29" ht="15">
      <c r="A20" s="367"/>
      <c r="B20" s="395"/>
      <c r="C20" s="386" t="s">
        <v>3600</v>
      </c>
      <c r="D20" s="387"/>
      <c r="E20" s="386" t="s">
        <v>3600</v>
      </c>
      <c r="F20" s="387"/>
      <c r="G20" s="386" t="s">
        <v>3600</v>
      </c>
      <c r="H20" s="387"/>
      <c r="I20" s="386" t="s">
        <v>3600</v>
      </c>
      <c r="J20" s="387"/>
      <c r="K20" s="1753"/>
      <c r="L20" s="2492"/>
      <c r="M20" s="2487"/>
      <c r="N20" s="2487"/>
      <c r="O20" s="2487"/>
      <c r="P20" s="3559"/>
      <c r="Q20" s="1263"/>
      <c r="R20" s="667"/>
      <c r="S20" s="668"/>
      <c r="T20" s="667"/>
      <c r="U20" s="668"/>
      <c r="V20" s="667"/>
      <c r="W20" s="668"/>
      <c r="X20" s="1265"/>
      <c r="Y20" s="3552"/>
      <c r="Z20" s="1264"/>
      <c r="AA20" s="1264">
        <v>1</v>
      </c>
      <c r="AB20" s="1264">
        <v>1</v>
      </c>
      <c r="AC20" s="1264">
        <v>1</v>
      </c>
    </row>
    <row r="21" spans="1:2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59"/>
      <c r="Q21" s="1263" t="str">
        <f>B21</f>
        <v>基础设施水平</v>
      </c>
      <c r="R21" s="667" t="s">
        <v>14</v>
      </c>
      <c r="S21" s="668">
        <f>F21</f>
        <v>100</v>
      </c>
      <c r="T21" s="667" t="s">
        <v>14</v>
      </c>
      <c r="U21" s="668">
        <f>H21</f>
        <v>100</v>
      </c>
      <c r="V21" s="667" t="s">
        <v>14</v>
      </c>
      <c r="W21" s="668">
        <f>J21</f>
        <v>100</v>
      </c>
      <c r="X21" s="1265"/>
      <c r="Y21" s="3552"/>
      <c r="Z21" s="1264" t="str">
        <f>Q21</f>
        <v>基础设施水平</v>
      </c>
      <c r="AA21" s="1264">
        <f t="shared" ref="AA21" si="8">D21/F21</f>
        <v>1</v>
      </c>
      <c r="AB21" s="1264">
        <f t="shared" ref="AB21" si="9">D21/H21</f>
        <v>1</v>
      </c>
      <c r="AC21" s="1264">
        <f t="shared" ref="AC21" si="10">D21/J21</f>
        <v>1</v>
      </c>
    </row>
    <row r="22" spans="1:29" ht="15">
      <c r="A22" s="367"/>
      <c r="B22" s="586"/>
      <c r="C22" s="1755" t="s">
        <v>3601</v>
      </c>
      <c r="D22" s="387"/>
      <c r="E22" s="1755" t="s">
        <v>3601</v>
      </c>
      <c r="F22" s="387"/>
      <c r="G22" s="1755" t="s">
        <v>3601</v>
      </c>
      <c r="H22" s="387"/>
      <c r="I22" s="1755" t="s">
        <v>3601</v>
      </c>
      <c r="J22" s="387"/>
      <c r="K22" s="1759"/>
      <c r="L22" s="2492"/>
      <c r="M22" s="2487"/>
      <c r="N22" s="2487"/>
      <c r="O22" s="2487"/>
      <c r="P22" s="3559"/>
      <c r="Q22" s="1263"/>
      <c r="R22" s="667"/>
      <c r="S22" s="668"/>
      <c r="T22" s="667"/>
      <c r="U22" s="668"/>
      <c r="V22" s="667"/>
      <c r="W22" s="668"/>
      <c r="X22" s="1265"/>
      <c r="Y22" s="3552"/>
      <c r="Z22" s="1264"/>
      <c r="AA22" s="1264">
        <v>1</v>
      </c>
      <c r="AB22" s="1264">
        <v>1</v>
      </c>
      <c r="AC22" s="1264">
        <v>1</v>
      </c>
    </row>
    <row r="23" spans="1:29" ht="41.4">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59"/>
      <c r="Q23" s="1263" t="str">
        <f>B23</f>
        <v>自然及人文环境</v>
      </c>
      <c r="R23" s="667" t="s">
        <v>18</v>
      </c>
      <c r="S23" s="668">
        <f>F23</f>
        <v>100</v>
      </c>
      <c r="T23" s="667" t="s">
        <v>18</v>
      </c>
      <c r="U23" s="668">
        <f>H23</f>
        <v>100</v>
      </c>
      <c r="V23" s="667" t="s">
        <v>18</v>
      </c>
      <c r="W23" s="668">
        <f>J23</f>
        <v>100</v>
      </c>
      <c r="X23" s="1265"/>
      <c r="Y23" s="3552"/>
      <c r="Z23" s="1264" t="str">
        <f>Q23</f>
        <v>自然及人文环境</v>
      </c>
      <c r="AA23" s="1264">
        <f>D23/F23</f>
        <v>1</v>
      </c>
      <c r="AB23" s="1264">
        <f>D23/H23</f>
        <v>1</v>
      </c>
      <c r="AC23" s="1264">
        <f>D23/J23</f>
        <v>1</v>
      </c>
    </row>
    <row r="24" spans="1:29" ht="15">
      <c r="A24" s="367"/>
      <c r="B24" s="395"/>
      <c r="C24" s="386" t="s">
        <v>4272</v>
      </c>
      <c r="D24" s="387"/>
      <c r="E24" s="386" t="s">
        <v>4272</v>
      </c>
      <c r="F24" s="387"/>
      <c r="G24" s="386" t="s">
        <v>4272</v>
      </c>
      <c r="H24" s="387"/>
      <c r="I24" s="386" t="s">
        <v>4272</v>
      </c>
      <c r="J24" s="387"/>
      <c r="K24" s="1753"/>
      <c r="L24" s="2492"/>
      <c r="M24" s="2487"/>
      <c r="N24" s="2487"/>
      <c r="O24" s="2487"/>
      <c r="P24" s="3559"/>
      <c r="Q24" s="1263"/>
      <c r="R24" s="667"/>
      <c r="S24" s="668"/>
      <c r="T24" s="667"/>
      <c r="U24" s="668"/>
      <c r="V24" s="667"/>
      <c r="W24" s="668"/>
      <c r="X24" s="1265"/>
      <c r="Y24" s="3552"/>
      <c r="Z24" s="1264"/>
      <c r="AA24" s="1264">
        <v>1</v>
      </c>
      <c r="AB24" s="1264">
        <v>1</v>
      </c>
      <c r="AC24" s="1264">
        <v>1</v>
      </c>
    </row>
    <row r="25" spans="1:2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2"/>
      <c r="Z25" s="1264" t="str">
        <f>Q25</f>
        <v>楼层-1</v>
      </c>
      <c r="AA25" s="1264">
        <f t="shared" ref="AA25:AA46" si="15">D25/F25</f>
        <v>1</v>
      </c>
      <c r="AB25" s="1264">
        <f t="shared" ref="AB25:AB46" si="16">D25/H25</f>
        <v>1</v>
      </c>
      <c r="AC25" s="1264">
        <f t="shared" ref="AC25:AC46" si="17">D25/J25</f>
        <v>1</v>
      </c>
    </row>
    <row r="26" spans="1:29" ht="15">
      <c r="A26" s="367"/>
      <c r="B26" s="364" t="s">
        <v>1692</v>
      </c>
      <c r="C26" s="399" t="s">
        <v>4310</v>
      </c>
      <c r="D26" s="374">
        <v>100</v>
      </c>
      <c r="E26" s="1760" t="s">
        <v>4310</v>
      </c>
      <c r="F26" s="374">
        <f>SUMIF(88:88,E26,89:89)-SUMIF(88:88,C26,89:89)+100</f>
        <v>100</v>
      </c>
      <c r="G26" s="1761" t="s">
        <v>4310</v>
      </c>
      <c r="H26" s="374">
        <f>SUMIF(88:88,G26,89:89)-SUMIF(88:88,C26,89:89)+100</f>
        <v>100</v>
      </c>
      <c r="I26" s="1761" t="s">
        <v>4310</v>
      </c>
      <c r="J26" s="374">
        <f>SUMIF(88:88,I26,89:89)-SUMIF(88:88,C26,89:89)+100</f>
        <v>100</v>
      </c>
      <c r="K26" s="365">
        <v>0.5</v>
      </c>
      <c r="L26" s="2492"/>
      <c r="M26" s="2487"/>
      <c r="N26" s="2487"/>
      <c r="O26" s="2487"/>
      <c r="P26" s="3559"/>
      <c r="Q26" s="1263" t="str">
        <f t="shared" si="11"/>
        <v>朝向</v>
      </c>
      <c r="R26" s="667" t="s">
        <v>18</v>
      </c>
      <c r="S26" s="668">
        <f t="shared" si="12"/>
        <v>100</v>
      </c>
      <c r="T26" s="667" t="s">
        <v>18</v>
      </c>
      <c r="U26" s="668">
        <f t="shared" si="13"/>
        <v>100</v>
      </c>
      <c r="V26" s="667" t="s">
        <v>18</v>
      </c>
      <c r="W26" s="668">
        <f t="shared" si="14"/>
        <v>100</v>
      </c>
      <c r="X26" s="1265"/>
      <c r="Y26" s="3552"/>
      <c r="Z26" s="1264" t="str">
        <f>Q26</f>
        <v>朝向</v>
      </c>
      <c r="AA26" s="1264">
        <f t="shared" si="15"/>
        <v>1</v>
      </c>
      <c r="AB26" s="1264">
        <f t="shared" si="16"/>
        <v>1</v>
      </c>
      <c r="AC26" s="1264">
        <f t="shared" si="17"/>
        <v>1</v>
      </c>
    </row>
    <row r="27" spans="1:29" s="102" customFormat="1" ht="15">
      <c r="A27" s="370"/>
      <c r="B27" s="3203" t="s">
        <v>4221</v>
      </c>
      <c r="C27" s="3273" t="s">
        <v>4376</v>
      </c>
      <c r="D27" s="401">
        <v>100</v>
      </c>
      <c r="E27" s="3273" t="s">
        <v>4378</v>
      </c>
      <c r="F27" s="401">
        <f>SUMIF(90:90,E27,91:91)-SUMIF(90:90,C27,91:91)+100</f>
        <v>103</v>
      </c>
      <c r="G27" s="3273" t="s">
        <v>4379</v>
      </c>
      <c r="H27" s="401">
        <f>SUMIF(90:90,G27,91:91)-SUMIF(90:90,C27,91:91)+100</f>
        <v>104</v>
      </c>
      <c r="I27" s="3273" t="s">
        <v>4380</v>
      </c>
      <c r="J27" s="401">
        <f>SUMIF(90:90,I27,91:91)-SUMIF(90:90,C27,91:91)+100</f>
        <v>102</v>
      </c>
      <c r="K27" s="1748"/>
      <c r="L27" s="2488"/>
      <c r="M27" s="2439"/>
      <c r="N27" s="2439"/>
      <c r="O27" s="2439"/>
      <c r="P27" s="3559"/>
      <c r="Q27" s="530" t="str">
        <f t="shared" si="11"/>
        <v>楼层</v>
      </c>
      <c r="R27" s="664" t="s">
        <v>18</v>
      </c>
      <c r="S27" s="665">
        <f t="shared" si="12"/>
        <v>103</v>
      </c>
      <c r="T27" s="664" t="s">
        <v>18</v>
      </c>
      <c r="U27" s="665">
        <f t="shared" si="13"/>
        <v>104</v>
      </c>
      <c r="V27" s="664" t="s">
        <v>18</v>
      </c>
      <c r="W27" s="665">
        <f t="shared" si="14"/>
        <v>102</v>
      </c>
      <c r="X27" s="666"/>
      <c r="Y27" s="3552"/>
      <c r="Z27" s="50" t="str">
        <f>Q27</f>
        <v>楼层</v>
      </c>
      <c r="AA27" s="1264">
        <f t="shared" si="15"/>
        <v>0.970873786407767</v>
      </c>
      <c r="AB27" s="1264">
        <f t="shared" si="16"/>
        <v>0.96153846153846156</v>
      </c>
      <c r="AC27" s="1264">
        <f t="shared" si="17"/>
        <v>0.98039215686274506</v>
      </c>
    </row>
    <row r="28" spans="1:29" ht="15">
      <c r="A28" s="367"/>
      <c r="B28" s="3203" t="s">
        <v>4240</v>
      </c>
      <c r="C28" s="3222" t="s">
        <v>4271</v>
      </c>
      <c r="D28" s="374">
        <v>100</v>
      </c>
      <c r="E28" s="3222" t="s">
        <v>4271</v>
      </c>
      <c r="F28" s="374">
        <f>SUMIF(92:92,E28,93:93)-SUMIF(92:92,C28,93:93)+100</f>
        <v>100</v>
      </c>
      <c r="G28" s="3223" t="str">
        <f>C28</f>
        <v>城市次干道</v>
      </c>
      <c r="H28" s="374">
        <f>SUMIF(92:92,G28,93:93)-SUMIF(92:92,C28,93:93)+100</f>
        <v>100</v>
      </c>
      <c r="I28" s="3223" t="str">
        <f>C28</f>
        <v>城市次干道</v>
      </c>
      <c r="J28" s="374">
        <f>SUMIF(92:92,I28,93:93)-SUMIF(92:92,C28,93:93)+100</f>
        <v>100</v>
      </c>
      <c r="K28" s="1748"/>
      <c r="L28" s="2492"/>
      <c r="M28" s="2487"/>
      <c r="N28" s="2487"/>
      <c r="O28" s="2487"/>
      <c r="P28" s="3559"/>
      <c r="Q28" s="1263" t="str">
        <f t="shared" si="11"/>
        <v>道路</v>
      </c>
      <c r="R28" s="667" t="s">
        <v>18</v>
      </c>
      <c r="S28" s="668">
        <f t="shared" si="12"/>
        <v>100</v>
      </c>
      <c r="T28" s="667" t="s">
        <v>18</v>
      </c>
      <c r="U28" s="668">
        <f t="shared" si="13"/>
        <v>100</v>
      </c>
      <c r="V28" s="667" t="s">
        <v>18</v>
      </c>
      <c r="W28" s="668">
        <f t="shared" si="14"/>
        <v>100</v>
      </c>
      <c r="X28" s="1265"/>
      <c r="Y28" s="3552"/>
      <c r="Z28" s="1264" t="str">
        <f t="shared" ref="Z28:Z46" si="18">Q28</f>
        <v>道路</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59"/>
      <c r="Q29" s="1263">
        <f t="shared" si="11"/>
        <v>111</v>
      </c>
      <c r="R29" s="667" t="s">
        <v>18</v>
      </c>
      <c r="S29" s="668">
        <f t="shared" si="12"/>
        <v>100</v>
      </c>
      <c r="T29" s="667" t="s">
        <v>18</v>
      </c>
      <c r="U29" s="668">
        <f t="shared" si="13"/>
        <v>100</v>
      </c>
      <c r="V29" s="667" t="s">
        <v>18</v>
      </c>
      <c r="W29" s="668">
        <f t="shared" si="14"/>
        <v>100</v>
      </c>
      <c r="X29" s="1265"/>
      <c r="Y29" s="35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59"/>
      <c r="Q30" s="1263">
        <f t="shared" si="11"/>
        <v>111</v>
      </c>
      <c r="R30" s="667" t="s">
        <v>18</v>
      </c>
      <c r="S30" s="668">
        <f t="shared" si="12"/>
        <v>100</v>
      </c>
      <c r="T30" s="667" t="s">
        <v>18</v>
      </c>
      <c r="U30" s="668">
        <f t="shared" si="13"/>
        <v>100</v>
      </c>
      <c r="V30" s="667" t="s">
        <v>18</v>
      </c>
      <c r="W30" s="668">
        <f t="shared" si="14"/>
        <v>100</v>
      </c>
      <c r="X30" s="1265"/>
      <c r="Y30" s="355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59"/>
      <c r="Q31" s="1263">
        <f t="shared" si="11"/>
        <v>111</v>
      </c>
      <c r="R31" s="667" t="s">
        <v>18</v>
      </c>
      <c r="S31" s="668">
        <f t="shared" si="12"/>
        <v>100</v>
      </c>
      <c r="T31" s="667" t="s">
        <v>18</v>
      </c>
      <c r="U31" s="668">
        <f t="shared" si="13"/>
        <v>100</v>
      </c>
      <c r="V31" s="667" t="s">
        <v>18</v>
      </c>
      <c r="W31" s="668">
        <f t="shared" si="14"/>
        <v>100</v>
      </c>
      <c r="X31" s="1265"/>
      <c r="Y31" s="3552"/>
      <c r="Z31" s="1264">
        <f t="shared" si="18"/>
        <v>111</v>
      </c>
      <c r="AA31" s="1264">
        <f t="shared" si="15"/>
        <v>1</v>
      </c>
      <c r="AB31" s="1264">
        <f t="shared" si="16"/>
        <v>1</v>
      </c>
      <c r="AC31" s="1264">
        <f t="shared" si="17"/>
        <v>1</v>
      </c>
    </row>
    <row r="32" spans="1:29" ht="15">
      <c r="A32" s="379" t="s">
        <v>1693</v>
      </c>
      <c r="B32" s="60" t="s">
        <v>1694</v>
      </c>
      <c r="C32" s="1764" t="s">
        <v>4231</v>
      </c>
      <c r="D32" s="405">
        <v>100</v>
      </c>
      <c r="E32" s="1764" t="s">
        <v>4381</v>
      </c>
      <c r="F32" s="400">
        <f>SUMIF(100:100,E32,101:101)-SUMIF(100:100,C32,101:101)+100</f>
        <v>95</v>
      </c>
      <c r="G32" s="1764" t="s">
        <v>4231</v>
      </c>
      <c r="H32" s="405">
        <f>SUMIF(100:100,G32,101:101)-SUMIF(100:100,C32,101:101)+100</f>
        <v>100</v>
      </c>
      <c r="I32" s="1764" t="s">
        <v>4231</v>
      </c>
      <c r="J32" s="374">
        <f>SUMIF(100:100,I32,101:101)-SUMIF(100:100,C32,101:101)+100</f>
        <v>100</v>
      </c>
      <c r="K32" s="365">
        <v>5</v>
      </c>
      <c r="L32" s="2492"/>
      <c r="M32" s="2487"/>
      <c r="N32" s="2487"/>
      <c r="O32" s="2487"/>
      <c r="P32" s="3553" t="s">
        <v>1695</v>
      </c>
      <c r="Q32" s="1263" t="str">
        <f t="shared" si="11"/>
        <v>建筑类型</v>
      </c>
      <c r="R32" s="667" t="s">
        <v>18</v>
      </c>
      <c r="S32" s="668">
        <f t="shared" si="12"/>
        <v>95</v>
      </c>
      <c r="T32" s="667" t="s">
        <v>18</v>
      </c>
      <c r="U32" s="668">
        <f t="shared" si="13"/>
        <v>100</v>
      </c>
      <c r="V32" s="667" t="s">
        <v>18</v>
      </c>
      <c r="W32" s="668">
        <f t="shared" si="14"/>
        <v>100</v>
      </c>
      <c r="X32" s="1265"/>
      <c r="Y32" s="3556" t="s">
        <v>1695</v>
      </c>
      <c r="Z32" s="1264" t="str">
        <f t="shared" si="18"/>
        <v>建筑类型</v>
      </c>
      <c r="AA32" s="1264">
        <f t="shared" si="15"/>
        <v>1.0526315789473684</v>
      </c>
      <c r="AB32" s="1264">
        <f t="shared" si="16"/>
        <v>1</v>
      </c>
      <c r="AC32" s="1264">
        <f t="shared" si="17"/>
        <v>1</v>
      </c>
    </row>
    <row r="33" spans="1:29" s="408" customFormat="1" ht="15">
      <c r="A33" s="406"/>
      <c r="B33" s="364" t="s">
        <v>1696</v>
      </c>
      <c r="C33" s="407">
        <f>'数据-汇总表'!E19</f>
        <v>293.87</v>
      </c>
      <c r="D33" s="119">
        <v>100</v>
      </c>
      <c r="E33" s="369">
        <f>Sheet5!E2</f>
        <v>92.08</v>
      </c>
      <c r="F33" s="364">
        <f>LOOKUP(E33,103:103,104:104)-LOOKUP(C33,103:103,104:104)+100</f>
        <v>102</v>
      </c>
      <c r="G33" s="368">
        <f>Sheet5!E3</f>
        <v>102.19</v>
      </c>
      <c r="H33" s="119">
        <f>LOOKUP(G33,103:103,104:104)-LOOKUP(C33,103:103,104:104)+100</f>
        <v>102</v>
      </c>
      <c r="I33" s="369">
        <f>Sheet5!E11</f>
        <v>139.37</v>
      </c>
      <c r="J33" s="119">
        <f>LOOKUP(I33,103:103,104:104)-LOOKUP(C33,103:103,104:104)+100</f>
        <v>102</v>
      </c>
      <c r="K33" s="1748"/>
      <c r="L33" s="2491"/>
      <c r="M33" s="2493"/>
      <c r="N33" s="2493"/>
      <c r="O33" s="2493"/>
      <c r="P33" s="3554"/>
      <c r="Q33" s="531" t="str">
        <f t="shared" si="11"/>
        <v>项目建筑规模</v>
      </c>
      <c r="R33" s="669" t="s">
        <v>18</v>
      </c>
      <c r="S33" s="670">
        <f t="shared" si="12"/>
        <v>102</v>
      </c>
      <c r="T33" s="669" t="s">
        <v>18</v>
      </c>
      <c r="U33" s="670">
        <f t="shared" si="13"/>
        <v>102</v>
      </c>
      <c r="V33" s="669" t="s">
        <v>18</v>
      </c>
      <c r="W33" s="670">
        <f t="shared" si="14"/>
        <v>102</v>
      </c>
      <c r="X33" s="671"/>
      <c r="Y33" s="3556"/>
      <c r="Z33" s="672" t="str">
        <f t="shared" si="18"/>
        <v>项目建筑规模</v>
      </c>
      <c r="AA33" s="1264">
        <f t="shared" si="15"/>
        <v>0.98039215686274506</v>
      </c>
      <c r="AB33" s="1264">
        <f t="shared" si="16"/>
        <v>0.98039215686274506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4255</v>
      </c>
      <c r="J34" s="374">
        <f>SUMIF(105:105,I34,106:106)-SUMIF(105:105,C34,106:106)+100</f>
        <v>96</v>
      </c>
      <c r="K34" s="365">
        <v>2</v>
      </c>
      <c r="L34" s="2492"/>
      <c r="M34" s="2487"/>
      <c r="N34" s="2487"/>
      <c r="O34" s="2487"/>
      <c r="P34" s="3554"/>
      <c r="Q34" s="1263" t="str">
        <f t="shared" si="11"/>
        <v>建筑结构</v>
      </c>
      <c r="R34" s="667" t="s">
        <v>18</v>
      </c>
      <c r="S34" s="668">
        <f t="shared" si="12"/>
        <v>100</v>
      </c>
      <c r="T34" s="667" t="s">
        <v>18</v>
      </c>
      <c r="U34" s="668">
        <f t="shared" si="13"/>
        <v>100</v>
      </c>
      <c r="V34" s="667" t="s">
        <v>18</v>
      </c>
      <c r="W34" s="668">
        <f t="shared" si="14"/>
        <v>96</v>
      </c>
      <c r="X34" s="1265"/>
      <c r="Y34" s="3556"/>
      <c r="Z34" s="1264" t="str">
        <f t="shared" si="18"/>
        <v>建筑结构</v>
      </c>
      <c r="AA34" s="1264">
        <f t="shared" si="15"/>
        <v>1</v>
      </c>
      <c r="AB34" s="1264">
        <f t="shared" si="16"/>
        <v>1</v>
      </c>
      <c r="AC34" s="1264">
        <f t="shared" si="17"/>
        <v>1.0416666666666667</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554"/>
      <c r="Q35" s="1263" t="str">
        <f t="shared" si="11"/>
        <v>建筑品质</v>
      </c>
      <c r="R35" s="667" t="s">
        <v>18</v>
      </c>
      <c r="S35" s="668">
        <f t="shared" si="12"/>
        <v>100</v>
      </c>
      <c r="T35" s="667" t="s">
        <v>18</v>
      </c>
      <c r="U35" s="668">
        <f t="shared" si="13"/>
        <v>100</v>
      </c>
      <c r="V35" s="667" t="s">
        <v>18</v>
      </c>
      <c r="W35" s="668">
        <f t="shared" si="14"/>
        <v>100</v>
      </c>
      <c r="X35" s="1265"/>
      <c r="Y35" s="3556"/>
      <c r="Z35" s="1264" t="str">
        <f t="shared" si="18"/>
        <v>建筑品质</v>
      </c>
      <c r="AA35" s="1264">
        <f t="shared" si="15"/>
        <v>1</v>
      </c>
      <c r="AB35" s="1264">
        <f t="shared" si="16"/>
        <v>1</v>
      </c>
      <c r="AC35" s="1264">
        <f t="shared" si="17"/>
        <v>1</v>
      </c>
    </row>
    <row r="36" spans="1:29" ht="15">
      <c r="A36" s="409"/>
      <c r="B36" s="364" t="s">
        <v>1699</v>
      </c>
      <c r="C36" s="1760" t="s">
        <v>4341</v>
      </c>
      <c r="D36" s="374">
        <v>100</v>
      </c>
      <c r="E36" s="1760" t="s">
        <v>4341</v>
      </c>
      <c r="F36" s="400">
        <f>SUMIF(109:109,E36,110:110)-SUMIF(109:109,C36,110:110)+100</f>
        <v>100</v>
      </c>
      <c r="G36" s="1760" t="s">
        <v>4341</v>
      </c>
      <c r="H36" s="374">
        <f>SUMIF(109:109,G36,110:110)-SUMIF(109:109,C36,110:110)+100</f>
        <v>100</v>
      </c>
      <c r="I36" s="1760" t="s">
        <v>4341</v>
      </c>
      <c r="J36" s="374">
        <f>SUMIF(109:109,I36,110:110)-SUMIF(109:109,C36,110:110)+100</f>
        <v>100</v>
      </c>
      <c r="K36" s="365">
        <v>2</v>
      </c>
      <c r="L36" s="2492"/>
      <c r="M36" s="2487"/>
      <c r="N36" s="2487"/>
      <c r="O36" s="2487"/>
      <c r="P36" s="3554"/>
      <c r="Q36" s="1263" t="str">
        <f t="shared" si="11"/>
        <v>公共部分装修</v>
      </c>
      <c r="R36" s="667" t="s">
        <v>18</v>
      </c>
      <c r="S36" s="668">
        <f t="shared" si="12"/>
        <v>100</v>
      </c>
      <c r="T36" s="667" t="s">
        <v>18</v>
      </c>
      <c r="U36" s="668">
        <f t="shared" si="13"/>
        <v>100</v>
      </c>
      <c r="V36" s="667" t="s">
        <v>18</v>
      </c>
      <c r="W36" s="668">
        <f t="shared" si="14"/>
        <v>100</v>
      </c>
      <c r="X36" s="1265"/>
      <c r="Y36" s="3556"/>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554"/>
      <c r="Q37" s="530" t="str">
        <f t="shared" si="11"/>
        <v>成新度</v>
      </c>
      <c r="R37" s="664" t="s">
        <v>18</v>
      </c>
      <c r="S37" s="665">
        <f t="shared" si="12"/>
        <v>100</v>
      </c>
      <c r="T37" s="664" t="s">
        <v>18</v>
      </c>
      <c r="U37" s="665">
        <f t="shared" si="13"/>
        <v>100</v>
      </c>
      <c r="V37" s="664" t="s">
        <v>18</v>
      </c>
      <c r="W37" s="665">
        <f t="shared" si="14"/>
        <v>100</v>
      </c>
      <c r="X37" s="666"/>
      <c r="Y37" s="3556"/>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554" t="s">
        <v>1695</v>
      </c>
      <c r="Q38" s="1263" t="str">
        <f t="shared" si="11"/>
        <v>物业管理</v>
      </c>
      <c r="R38" s="667" t="s">
        <v>18</v>
      </c>
      <c r="S38" s="668">
        <f t="shared" si="12"/>
        <v>100</v>
      </c>
      <c r="T38" s="667" t="s">
        <v>18</v>
      </c>
      <c r="U38" s="668">
        <f t="shared" si="13"/>
        <v>100</v>
      </c>
      <c r="V38" s="667" t="s">
        <v>18</v>
      </c>
      <c r="W38" s="668">
        <f t="shared" si="14"/>
        <v>100</v>
      </c>
      <c r="X38" s="1265"/>
      <c r="Y38" s="3556"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554"/>
      <c r="Q39" s="1263" t="str">
        <f t="shared" si="11"/>
        <v>市政基础设施</v>
      </c>
      <c r="R39" s="667" t="s">
        <v>18</v>
      </c>
      <c r="S39" s="668">
        <f t="shared" si="12"/>
        <v>100</v>
      </c>
      <c r="T39" s="667" t="s">
        <v>18</v>
      </c>
      <c r="U39" s="668">
        <f t="shared" si="13"/>
        <v>100</v>
      </c>
      <c r="V39" s="667" t="s">
        <v>18</v>
      </c>
      <c r="W39" s="668">
        <f t="shared" si="14"/>
        <v>100</v>
      </c>
      <c r="X39" s="1265"/>
      <c r="Y39" s="3556"/>
      <c r="Z39" s="1264" t="str">
        <f t="shared" si="18"/>
        <v>市政基础设施</v>
      </c>
      <c r="AA39" s="1264">
        <f t="shared" si="15"/>
        <v>1</v>
      </c>
      <c r="AB39" s="1264">
        <f t="shared" si="16"/>
        <v>1</v>
      </c>
      <c r="AC39" s="1264">
        <f t="shared" si="17"/>
        <v>1</v>
      </c>
    </row>
    <row r="40" spans="1:29" ht="15" hidden="1">
      <c r="A40" s="409"/>
      <c r="B40" s="364" t="s">
        <v>1703</v>
      </c>
      <c r="C40" s="1760" t="s">
        <v>4383</v>
      </c>
      <c r="D40" s="374">
        <v>100</v>
      </c>
      <c r="E40" s="3301" t="s">
        <v>3412</v>
      </c>
      <c r="F40" s="3302">
        <f>SUMIF(118:118,E40,119:119)-SUMIF(118:118,C40,119:119)+100</f>
        <v>100</v>
      </c>
      <c r="G40" s="3301" t="s">
        <v>3412</v>
      </c>
      <c r="H40" s="3303">
        <f>SUMIF(118:118,G40,119:119)-SUMIF(118:118,C40,119:119)+100</f>
        <v>100</v>
      </c>
      <c r="I40" s="3301" t="s">
        <v>3412</v>
      </c>
      <c r="J40" s="3303">
        <f>SUMIF(118:118,I40,119:119)-SUMIF(118:118,C40,119:119)+100</f>
        <v>100</v>
      </c>
      <c r="K40" s="365">
        <v>0</v>
      </c>
      <c r="L40" s="2492"/>
      <c r="M40" s="2487"/>
      <c r="N40" s="2487"/>
      <c r="O40" s="2487"/>
      <c r="P40" s="3554"/>
      <c r="Q40" s="1263" t="str">
        <f t="shared" si="11"/>
        <v>房型</v>
      </c>
      <c r="R40" s="667" t="s">
        <v>18</v>
      </c>
      <c r="S40" s="668">
        <f t="shared" si="12"/>
        <v>100</v>
      </c>
      <c r="T40" s="667" t="s">
        <v>18</v>
      </c>
      <c r="U40" s="668">
        <f t="shared" si="13"/>
        <v>100</v>
      </c>
      <c r="V40" s="667" t="s">
        <v>18</v>
      </c>
      <c r="W40" s="668">
        <f t="shared" si="14"/>
        <v>100</v>
      </c>
      <c r="X40" s="1265"/>
      <c r="Y40" s="3556"/>
      <c r="Z40" s="1264" t="str">
        <f t="shared" si="18"/>
        <v>房型</v>
      </c>
      <c r="AA40" s="1264">
        <f t="shared" si="15"/>
        <v>1</v>
      </c>
      <c r="AB40" s="1264">
        <f t="shared" si="16"/>
        <v>1</v>
      </c>
      <c r="AC40" s="1264">
        <f t="shared" si="17"/>
        <v>1</v>
      </c>
    </row>
    <row r="41" spans="1:29" s="408" customFormat="1" ht="28.8"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54"/>
      <c r="Q41" s="531" t="str">
        <f t="shared" si="11"/>
        <v>单套/主力户型建筑面积</v>
      </c>
      <c r="R41" s="669" t="s">
        <v>18</v>
      </c>
      <c r="S41" s="670">
        <f t="shared" si="12"/>
        <v>100</v>
      </c>
      <c r="T41" s="669" t="s">
        <v>18</v>
      </c>
      <c r="U41" s="670">
        <f t="shared" si="13"/>
        <v>100</v>
      </c>
      <c r="V41" s="669" t="s">
        <v>18</v>
      </c>
      <c r="W41" s="670">
        <f t="shared" si="14"/>
        <v>100</v>
      </c>
      <c r="X41" s="671"/>
      <c r="Y41" s="3556"/>
      <c r="Z41" s="672" t="str">
        <f t="shared" si="18"/>
        <v>单套/主力户型建筑面积</v>
      </c>
      <c r="AA41" s="1264">
        <f t="shared" si="15"/>
        <v>1</v>
      </c>
      <c r="AB41" s="1264">
        <f t="shared" si="16"/>
        <v>1</v>
      </c>
      <c r="AC41" s="1264">
        <f t="shared" si="17"/>
        <v>1</v>
      </c>
    </row>
    <row r="42" spans="1:29" ht="15">
      <c r="A42" s="409"/>
      <c r="B42" s="364" t="s">
        <v>1705</v>
      </c>
      <c r="C42" s="1760" t="s">
        <v>4382</v>
      </c>
      <c r="D42" s="374">
        <v>100</v>
      </c>
      <c r="E42" s="1760" t="s">
        <v>4226</v>
      </c>
      <c r="F42" s="400">
        <f>SUMIF(122:122,E42,123:123)-SUMIF(122:122,C42,123:123)+100</f>
        <v>94</v>
      </c>
      <c r="G42" s="1760" t="s">
        <v>4226</v>
      </c>
      <c r="H42" s="374">
        <f>SUMIF(122:122,G42,123:123)-SUMIF(122:122,C42,123:123)+100</f>
        <v>94</v>
      </c>
      <c r="I42" s="1760" t="s">
        <v>4226</v>
      </c>
      <c r="J42" s="374">
        <f>SUMIF(122:122,I42,123:123)-SUMIF(122:122,C42,123:123)+100</f>
        <v>94</v>
      </c>
      <c r="K42" s="365">
        <v>3</v>
      </c>
      <c r="L42" s="2492"/>
      <c r="M42" s="2487"/>
      <c r="N42" s="2487"/>
      <c r="O42" s="2487"/>
      <c r="P42" s="3554"/>
      <c r="Q42" s="1263" t="str">
        <f t="shared" si="11"/>
        <v>内部装修</v>
      </c>
      <c r="R42" s="667" t="s">
        <v>18</v>
      </c>
      <c r="S42" s="668">
        <f t="shared" si="12"/>
        <v>94</v>
      </c>
      <c r="T42" s="667" t="s">
        <v>18</v>
      </c>
      <c r="U42" s="668">
        <f t="shared" si="13"/>
        <v>94</v>
      </c>
      <c r="V42" s="667" t="s">
        <v>18</v>
      </c>
      <c r="W42" s="668">
        <f t="shared" si="14"/>
        <v>94</v>
      </c>
      <c r="X42" s="1265"/>
      <c r="Y42" s="3556"/>
      <c r="Z42" s="1264" t="str">
        <f t="shared" si="18"/>
        <v>内部装修</v>
      </c>
      <c r="AA42" s="1264">
        <f t="shared" si="15"/>
        <v>1.0638297872340425</v>
      </c>
      <c r="AB42" s="1264">
        <f t="shared" si="16"/>
        <v>1.0638297872340425</v>
      </c>
      <c r="AC42" s="1264">
        <f t="shared" si="17"/>
        <v>1.0638297872340425</v>
      </c>
    </row>
    <row r="43" spans="1:29" ht="28.8">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554"/>
      <c r="Q43" s="1263" t="str">
        <f t="shared" si="11"/>
        <v>内部装修维护情况</v>
      </c>
      <c r="R43" s="667" t="s">
        <v>18</v>
      </c>
      <c r="S43" s="668">
        <f t="shared" si="12"/>
        <v>100</v>
      </c>
      <c r="T43" s="667" t="s">
        <v>18</v>
      </c>
      <c r="U43" s="668">
        <f t="shared" si="13"/>
        <v>100</v>
      </c>
      <c r="V43" s="667" t="s">
        <v>18</v>
      </c>
      <c r="W43" s="668">
        <f t="shared" si="14"/>
        <v>100</v>
      </c>
      <c r="X43" s="1265"/>
      <c r="Y43" s="3556"/>
      <c r="Z43" s="1264" t="str">
        <f t="shared" si="18"/>
        <v>内部装修维护情况</v>
      </c>
      <c r="AA43" s="1264">
        <f t="shared" si="15"/>
        <v>1</v>
      </c>
      <c r="AB43" s="1264">
        <f t="shared" si="16"/>
        <v>1</v>
      </c>
      <c r="AC43" s="1264">
        <f t="shared" si="17"/>
        <v>1</v>
      </c>
    </row>
    <row r="44" spans="1:29" s="102" customFormat="1" ht="15.6" thickBot="1">
      <c r="A44" s="410"/>
      <c r="B44" s="3203" t="s">
        <v>4222</v>
      </c>
      <c r="C44" s="407">
        <v>2013</v>
      </c>
      <c r="D44" s="119">
        <v>100</v>
      </c>
      <c r="E44" s="407">
        <f>Sheet5!J2</f>
        <v>2013</v>
      </c>
      <c r="F44" s="364">
        <f>SUMIF(126:126,E44,127:127)-SUMIF(126:126,C44,127:127)+100</f>
        <v>100</v>
      </c>
      <c r="G44" s="407">
        <f>Sheet5!J3</f>
        <v>2013</v>
      </c>
      <c r="H44" s="119">
        <f>SUMIF(126:126,G44,127:127)-SUMIF(126:126,C44,127:127)+100</f>
        <v>100</v>
      </c>
      <c r="I44" s="407">
        <f>Sheet5!I11</f>
        <v>2015</v>
      </c>
      <c r="J44" s="119">
        <f>SUMIF(126:126,I44,127:127)-SUMIF(126:126,C44,127:127)+100</f>
        <v>100.2</v>
      </c>
      <c r="K44" s="1748"/>
      <c r="L44" s="2488"/>
      <c r="M44" s="2439"/>
      <c r="N44" s="2439"/>
      <c r="O44" s="2439"/>
      <c r="P44" s="3554"/>
      <c r="Q44" s="530" t="str">
        <f t="shared" si="11"/>
        <v>建成年份</v>
      </c>
      <c r="R44" s="664" t="s">
        <v>18</v>
      </c>
      <c r="S44" s="665">
        <f t="shared" si="12"/>
        <v>100</v>
      </c>
      <c r="T44" s="664" t="s">
        <v>18</v>
      </c>
      <c r="U44" s="665">
        <f t="shared" si="13"/>
        <v>100</v>
      </c>
      <c r="V44" s="664" t="s">
        <v>18</v>
      </c>
      <c r="W44" s="665">
        <f t="shared" si="14"/>
        <v>100.2</v>
      </c>
      <c r="X44" s="666"/>
      <c r="Y44" s="3556"/>
      <c r="Z44" s="50" t="str">
        <f t="shared" si="18"/>
        <v>建成年份</v>
      </c>
      <c r="AA44" s="50">
        <f t="shared" si="15"/>
        <v>1</v>
      </c>
      <c r="AB44" s="50">
        <f t="shared" si="16"/>
        <v>1</v>
      </c>
      <c r="AC44" s="50">
        <f t="shared" si="17"/>
        <v>0.99800399201596801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54"/>
      <c r="Q45" s="1263">
        <f t="shared" si="11"/>
        <v>111</v>
      </c>
      <c r="R45" s="667" t="s">
        <v>18</v>
      </c>
      <c r="S45" s="668">
        <f t="shared" si="12"/>
        <v>100</v>
      </c>
      <c r="T45" s="667" t="s">
        <v>18</v>
      </c>
      <c r="U45" s="668">
        <f t="shared" si="13"/>
        <v>100</v>
      </c>
      <c r="V45" s="667" t="s">
        <v>18</v>
      </c>
      <c r="W45" s="668">
        <f t="shared" si="14"/>
        <v>100</v>
      </c>
      <c r="X45" s="1265"/>
      <c r="Y45" s="3556"/>
      <c r="Z45" s="1264">
        <f t="shared" si="18"/>
        <v>111</v>
      </c>
      <c r="AA45" s="1264">
        <f t="shared" si="15"/>
        <v>1</v>
      </c>
      <c r="AB45" s="1264">
        <f t="shared" si="16"/>
        <v>1</v>
      </c>
      <c r="AC45" s="1264">
        <f t="shared" si="17"/>
        <v>1</v>
      </c>
    </row>
    <row r="46" spans="1:29" ht="15.6"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55"/>
      <c r="Q46" s="1263">
        <f t="shared" si="11"/>
        <v>111</v>
      </c>
      <c r="R46" s="667" t="s">
        <v>17</v>
      </c>
      <c r="S46" s="668">
        <f t="shared" si="12"/>
        <v>100</v>
      </c>
      <c r="T46" s="667" t="s">
        <v>17</v>
      </c>
      <c r="U46" s="668">
        <f t="shared" si="13"/>
        <v>100</v>
      </c>
      <c r="V46" s="667" t="s">
        <v>17</v>
      </c>
      <c r="W46" s="668">
        <f t="shared" si="14"/>
        <v>100</v>
      </c>
      <c r="X46" s="1265"/>
      <c r="Y46" s="3557"/>
      <c r="Z46" s="1264">
        <f t="shared" si="18"/>
        <v>111</v>
      </c>
      <c r="AA46" s="1264">
        <f t="shared" si="15"/>
        <v>1</v>
      </c>
      <c r="AB46" s="1264">
        <f t="shared" si="16"/>
        <v>1</v>
      </c>
      <c r="AC46" s="1264">
        <f t="shared" si="17"/>
        <v>1</v>
      </c>
    </row>
    <row r="47" spans="1:29" ht="14.4">
      <c r="A47" s="416" t="s">
        <v>1707</v>
      </c>
      <c r="B47" s="417"/>
      <c r="C47" s="1081" t="s">
        <v>16</v>
      </c>
      <c r="D47" s="418"/>
      <c r="E47" s="3209">
        <f>Sheet5!M2</f>
        <v>37793</v>
      </c>
      <c r="F47" s="3204"/>
      <c r="G47" s="3210">
        <f>Sheet5!M3</f>
        <v>41981</v>
      </c>
      <c r="H47" s="3205"/>
      <c r="I47" s="3209">
        <f>Sheet5!M11</f>
        <v>41472</v>
      </c>
      <c r="J47" s="3205"/>
      <c r="K47" s="1766"/>
      <c r="L47" s="2494"/>
      <c r="M47" s="2487"/>
      <c r="N47" s="2487"/>
      <c r="O47" s="2487"/>
      <c r="P47" s="3550" t="str">
        <f>A47</f>
        <v>成交单价（元/平方米）</v>
      </c>
      <c r="Q47" s="3550"/>
      <c r="R47" s="3545">
        <f>E47</f>
        <v>37793</v>
      </c>
      <c r="S47" s="3545"/>
      <c r="T47" s="3545">
        <f>G47</f>
        <v>41981</v>
      </c>
      <c r="U47" s="3545"/>
      <c r="V47" s="3545">
        <f>I47</f>
        <v>41472</v>
      </c>
      <c r="W47" s="3545"/>
      <c r="X47" s="385"/>
      <c r="Y47" s="673"/>
      <c r="Z47" s="385"/>
      <c r="AA47" s="385"/>
      <c r="AB47" s="385"/>
      <c r="AC47" s="385"/>
    </row>
    <row r="48" spans="1:29" ht="15" thickBot="1">
      <c r="A48" s="423" t="s">
        <v>1708</v>
      </c>
      <c r="B48" s="424"/>
      <c r="C48" s="1082">
        <f>R49</f>
        <v>42156</v>
      </c>
      <c r="D48" s="2140" t="s">
        <v>2137</v>
      </c>
      <c r="E48" s="1083">
        <f>R48</f>
        <v>40283</v>
      </c>
      <c r="F48" s="2141"/>
      <c r="G48" s="1082">
        <f>T48</f>
        <v>42101</v>
      </c>
      <c r="H48" s="2141"/>
      <c r="I48" s="1083">
        <f>V48</f>
        <v>44085</v>
      </c>
      <c r="J48" s="2141"/>
      <c r="K48" s="2142">
        <f>F48+H48+J48</f>
        <v>0</v>
      </c>
      <c r="L48" s="2494"/>
      <c r="M48" s="2487"/>
      <c r="N48" s="2487"/>
      <c r="O48" s="2487"/>
      <c r="P48" s="3550" t="str">
        <f>A48</f>
        <v>比较价值（元/平方米）</v>
      </c>
      <c r="Q48" s="3550"/>
      <c r="R48" s="3545">
        <f>IF(F1="售价",ROUND(PRODUCT(R47,AA7:AA46),0),ROUND(PRODUCT(R47,AA7:AA46),1))</f>
        <v>40283</v>
      </c>
      <c r="S48" s="3545"/>
      <c r="T48" s="3545">
        <f>IF(F1="售价",ROUND(PRODUCT(T47,AB7:AB46),0),ROUND(PRODUCT(T47,AB7:AB46),1))</f>
        <v>42101</v>
      </c>
      <c r="U48" s="3545"/>
      <c r="V48" s="3545">
        <f>IF(F1="售价",ROUND(PRODUCT(V47,AC7:AC46),0),ROUND(PRODUCT(V47,AC7:AC46),1))</f>
        <v>44085</v>
      </c>
      <c r="W48" s="3545"/>
      <c r="X48" s="385"/>
      <c r="Y48" s="385"/>
      <c r="Z48" s="385"/>
      <c r="AA48" s="385"/>
      <c r="AB48" s="385"/>
      <c r="AC48" s="385"/>
    </row>
    <row r="49" spans="1:29" ht="15" thickBot="1">
      <c r="A49" s="427" t="s">
        <v>1709</v>
      </c>
      <c r="B49" s="428"/>
      <c r="C49" s="1084">
        <f>R49</f>
        <v>42156</v>
      </c>
      <c r="D49" s="351"/>
      <c r="E49" s="351"/>
      <c r="F49" s="351"/>
      <c r="G49" s="351"/>
      <c r="H49" s="351"/>
      <c r="I49" s="351"/>
      <c r="J49" s="351"/>
      <c r="K49" s="1767"/>
      <c r="L49" s="2494"/>
      <c r="M49" s="2487"/>
      <c r="N49" s="2487"/>
      <c r="O49" s="2487"/>
      <c r="P49" s="3547" t="str">
        <f>A49</f>
        <v>估价对象XX用房的比较价值（楼面单价，元/平方米）</v>
      </c>
      <c r="Q49" s="3548"/>
      <c r="R49" s="3549">
        <f>IF(F1="售价",ROUND(IF(D48="简单平均",AVERAGE(R48:V48),R48*F48+T48*H48+V48*J48),0),ROUND(IF(D48="简单平均",AVERAGE(R48:V48),R48*F48+T48*H48+V48*J48),1))</f>
        <v>42156</v>
      </c>
      <c r="S49" s="3549"/>
      <c r="T49" s="3549"/>
      <c r="U49" s="3549"/>
      <c r="V49" s="3549"/>
      <c r="W49" s="35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6.5885216839097094E-2</v>
      </c>
      <c r="F52" s="435" t="str">
        <f>IF(OR(E52&gt;=0.3,E52&lt;=-0.3),"超过30%","")</f>
        <v/>
      </c>
      <c r="G52" s="434">
        <f>IF(G47&lt;G48,G48/G47-1,G47/G48-1)</f>
        <v>2.8584359591243835E-3</v>
      </c>
      <c r="H52" s="435" t="str">
        <f>IF(OR(G52&gt;=0.3,G52&lt;=-0.3),"超过30%","")</f>
        <v/>
      </c>
      <c r="I52" s="434">
        <f>IF(I47&lt;I48,I48/I47-1,I47/I48-1)</f>
        <v>6.30063657407407E-2</v>
      </c>
      <c r="J52" s="435" t="str">
        <f>IF(OR(I52&gt;=0.3,I52&lt;=-0.3),"超过30%","")</f>
        <v/>
      </c>
      <c r="K52" s="2499"/>
      <c r="L52" s="2495"/>
      <c r="M52" s="2487"/>
      <c r="N52" s="2487"/>
      <c r="O52" s="2487"/>
    </row>
    <row r="53" spans="1:29" ht="13.5" customHeight="1">
      <c r="A53" s="2487"/>
      <c r="B53" s="2487"/>
      <c r="C53" s="432" t="s">
        <v>1711</v>
      </c>
      <c r="D53" s="436"/>
      <c r="E53" s="434">
        <f>IF(E48&lt;G48,G48/E48-1,E48/G48-1)</f>
        <v>4.5130700295409998E-2</v>
      </c>
      <c r="F53" s="435" t="str">
        <f>IF(OR(E53&gt;=0.2,E53&lt;=-0.2),"超过20%","")</f>
        <v/>
      </c>
      <c r="G53" s="434">
        <f>IF(G48&lt;I48,I48/G48-1,G48/I48-1)</f>
        <v>4.7124771383102448E-2</v>
      </c>
      <c r="H53" s="435" t="str">
        <f>IF(OR(G53&gt;=0.2,G53&lt;=-0.2),"超过20%","")</f>
        <v/>
      </c>
      <c r="I53" s="434">
        <f>IF(I48&lt;E48,E48/I48-1,I48/E48-1)</f>
        <v>9.4382245612293136E-2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0.11081417193660204</v>
      </c>
      <c r="F54" s="435" t="str">
        <f>IF(OR(E54&gt;=0.3,E54&lt;=-0.3),"超过30%","")</f>
        <v/>
      </c>
      <c r="G54" s="434">
        <f>IF(G47&lt;I47,I47/G47-1,G47/I47-1)</f>
        <v>1.2273341049382713E-2</v>
      </c>
      <c r="H54" s="435" t="str">
        <f>IF(OR(G54&gt;=0.3,G54&lt;=-0.3),"超过30%","")</f>
        <v/>
      </c>
      <c r="I54" s="434">
        <f>IF(I47&lt;E47,E47/I47-1,I47/E47-1)</f>
        <v>9.7346069377927114E-2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1713</v>
      </c>
      <c r="B57" s="385"/>
      <c r="C57" s="659"/>
      <c r="D57" s="659"/>
      <c r="E57" s="659"/>
      <c r="F57" s="660"/>
      <c r="G57" s="660"/>
      <c r="H57" s="659"/>
      <c r="I57" s="659"/>
      <c r="J57" s="659"/>
      <c r="K57" s="887"/>
      <c r="L57" s="888"/>
      <c r="M57" s="886"/>
      <c r="N57" s="886"/>
      <c r="O57" s="886"/>
      <c r="P57" s="1770"/>
      <c r="Q57" s="439"/>
    </row>
    <row r="58" spans="1:29" s="442" customFormat="1" ht="14.4">
      <c r="A58" s="440" t="s">
        <v>1714</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1"/>
      <c r="C59" s="1102">
        <v>100</v>
      </c>
      <c r="D59" s="445">
        <v>100</v>
      </c>
      <c r="E59" s="446">
        <v>100</v>
      </c>
      <c r="F59" s="445">
        <v>100</v>
      </c>
      <c r="G59" s="446">
        <v>100</v>
      </c>
      <c r="H59" s="445">
        <v>100</v>
      </c>
      <c r="I59" s="446">
        <v>100</v>
      </c>
      <c r="J59" s="445">
        <v>100</v>
      </c>
      <c r="K59" s="446">
        <v>100</v>
      </c>
      <c r="L59" s="445">
        <v>100</v>
      </c>
      <c r="M59" s="446">
        <v>100</v>
      </c>
      <c r="N59" s="446">
        <v>96</v>
      </c>
      <c r="O59" s="447">
        <v>96</v>
      </c>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1718</v>
      </c>
      <c r="B63" s="460" t="s">
        <v>1684</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1687</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 thickTop="1">
      <c r="A86" s="370"/>
      <c r="B86" s="469" t="s">
        <v>1733</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4.4" thickTop="1">
      <c r="A90" s="484"/>
      <c r="B90" s="469" t="str">
        <f>B27</f>
        <v>楼层</v>
      </c>
      <c r="C90" s="485" t="str">
        <f>C27</f>
        <v>7-8/8(顶层）</v>
      </c>
      <c r="D90" s="485" t="str">
        <f>E27</f>
        <v>5/10(中楼层）</v>
      </c>
      <c r="E90" s="485" t="str">
        <f>G27</f>
        <v>7/9(高楼层）</v>
      </c>
      <c r="F90" s="485" t="str">
        <f>I27</f>
        <v>2/6(低楼层）</v>
      </c>
      <c r="G90" s="485"/>
      <c r="H90" s="486"/>
      <c r="I90" s="486"/>
      <c r="J90" s="486"/>
      <c r="K90" s="486"/>
      <c r="L90" s="487"/>
      <c r="M90" s="488"/>
      <c r="N90" s="881"/>
      <c r="O90" s="881"/>
      <c r="P90" s="1775"/>
      <c r="Q90" s="490"/>
    </row>
    <row r="91" spans="1:17" s="408" customFormat="1" ht="14.4" thickBot="1">
      <c r="A91" s="484"/>
      <c r="B91" s="474"/>
      <c r="C91" s="491">
        <v>100</v>
      </c>
      <c r="D91" s="491">
        <v>103</v>
      </c>
      <c r="E91" s="491">
        <v>104</v>
      </c>
      <c r="F91" s="491">
        <v>102</v>
      </c>
      <c r="G91" s="491"/>
      <c r="H91" s="493"/>
      <c r="I91" s="493"/>
      <c r="J91" s="493"/>
      <c r="K91" s="493"/>
      <c r="L91" s="493"/>
      <c r="M91" s="494"/>
      <c r="N91" s="881"/>
      <c r="O91" s="881"/>
      <c r="P91" s="1775"/>
      <c r="Q91" s="490"/>
    </row>
    <row r="92" spans="1:17" ht="15" thickTop="1">
      <c r="A92" s="367"/>
      <c r="B92" s="469" t="str">
        <f>B28</f>
        <v>道路</v>
      </c>
      <c r="C92" s="3214" t="s">
        <v>4236</v>
      </c>
      <c r="D92" s="3214" t="s">
        <v>4237</v>
      </c>
      <c r="E92" s="3214" t="s">
        <v>4238</v>
      </c>
      <c r="F92" s="3214" t="s">
        <v>4340</v>
      </c>
      <c r="G92" s="3214" t="s">
        <v>4239</v>
      </c>
      <c r="H92" s="513"/>
      <c r="I92" s="513"/>
      <c r="J92" s="513"/>
      <c r="K92" s="514"/>
      <c r="L92" s="515"/>
      <c r="M92" s="516"/>
      <c r="N92" s="879"/>
      <c r="O92" s="879"/>
      <c r="P92" s="1774"/>
      <c r="Q92" s="439"/>
    </row>
    <row r="93" spans="1:17" ht="14.4" thickBot="1">
      <c r="A93" s="367"/>
      <c r="B93" s="474"/>
      <c r="C93" s="491">
        <v>100</v>
      </c>
      <c r="D93" s="491">
        <v>98</v>
      </c>
      <c r="E93" s="491">
        <v>96</v>
      </c>
      <c r="F93" s="491">
        <v>94</v>
      </c>
      <c r="G93" s="491">
        <v>92</v>
      </c>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4.4"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4"/>
      <c r="Q101" s="439"/>
    </row>
    <row r="102" spans="1:17" ht="15" thickTop="1">
      <c r="A102" s="367"/>
      <c r="B102" s="469" t="s">
        <v>1736</v>
      </c>
      <c r="C102" s="509" t="str">
        <f>C103&amp;"(含)"&amp;"-"&amp;D103</f>
        <v>0(含)-90</v>
      </c>
      <c r="D102" s="509" t="str">
        <f t="shared" ref="D102:L102" si="26">D103&amp;"(含)"&amp;"-"&amp;E103</f>
        <v>90(含)-180</v>
      </c>
      <c r="E102" s="509" t="str">
        <f t="shared" si="26"/>
        <v>180(含)-270</v>
      </c>
      <c r="F102" s="509" t="str">
        <f t="shared" si="26"/>
        <v>270(含)-360</v>
      </c>
      <c r="G102" s="509" t="str">
        <f t="shared" si="26"/>
        <v>360(含)-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90</v>
      </c>
      <c r="E103" s="6">
        <v>180</v>
      </c>
      <c r="F103" s="6">
        <v>270</v>
      </c>
      <c r="G103" s="6">
        <v>360</v>
      </c>
      <c r="H103" s="6"/>
      <c r="I103" s="6"/>
      <c r="J103" s="524"/>
      <c r="K103" s="524"/>
      <c r="L103" s="525"/>
      <c r="M103" s="526"/>
      <c r="N103" s="881"/>
      <c r="O103" s="881"/>
      <c r="P103" s="1775"/>
      <c r="Q103" s="490"/>
    </row>
    <row r="104" spans="1:17" s="408" customFormat="1" ht="14.4" thickBot="1">
      <c r="A104" s="484"/>
      <c r="B104" s="474"/>
      <c r="C104" s="491">
        <v>100</v>
      </c>
      <c r="D104" s="467">
        <v>99</v>
      </c>
      <c r="E104" s="467">
        <v>98</v>
      </c>
      <c r="F104" s="467">
        <v>97</v>
      </c>
      <c r="G104" s="467">
        <v>96</v>
      </c>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4384</v>
      </c>
      <c r="D118" s="3212" t="s">
        <v>4230</v>
      </c>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4.4"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4.4" thickTop="1">
      <c r="A126" s="406"/>
      <c r="B126" s="469" t="str">
        <f>B44</f>
        <v>建成年份</v>
      </c>
      <c r="C126" s="485">
        <f>E44</f>
        <v>2013</v>
      </c>
      <c r="D126" s="485"/>
      <c r="E126" s="485">
        <f>I44</f>
        <v>2015</v>
      </c>
      <c r="F126" s="485"/>
      <c r="G126" s="485"/>
      <c r="H126" s="486"/>
      <c r="I126" s="486"/>
      <c r="J126" s="486"/>
      <c r="K126" s="486"/>
      <c r="L126" s="487"/>
      <c r="M126" s="488"/>
      <c r="N126" s="881"/>
      <c r="O126" s="881"/>
      <c r="P126" s="1775"/>
      <c r="Q126" s="490"/>
    </row>
    <row r="127" spans="1:17" s="408" customFormat="1" ht="14.4" thickBot="1">
      <c r="A127" s="484"/>
      <c r="B127" s="474"/>
      <c r="C127" s="491">
        <v>100</v>
      </c>
      <c r="D127" s="467"/>
      <c r="E127" s="467">
        <v>100.2</v>
      </c>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6.2"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t="s">
        <v>3386</v>
      </c>
      <c r="E1" s="3124"/>
      <c r="F1" s="1735" t="s">
        <v>4279</v>
      </c>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t="s">
        <v>43</v>
      </c>
      <c r="D2" s="1052">
        <f ca="1">IF(E1="项目模式",SUMIF(INDIRECT("'"&amp;F2&amp;"'"&amp;"!A:A"),"承租人权益价值",INDIRECT("'"&amp;F2&amp;"'"&amp;"!c:c")),SUMIF(INDIRECT("'"&amp;F2&amp;"'"&amp;"!A:A"),"承租人权益价值（单套）",INDIRECT("'"&amp;F2&amp;"'"&amp;"!c:c")))</f>
        <v>0</v>
      </c>
      <c r="E2" s="1738" t="s">
        <v>1462</v>
      </c>
      <c r="F2" s="1739" t="s">
        <v>4280</v>
      </c>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68706</v>
      </c>
      <c r="C3" s="344" t="s">
        <v>1664</v>
      </c>
      <c r="D3" s="343">
        <f>IF(D1="",'数据-汇总表'!E3,SUMIF('数据-汇总表'!$C19:$C33,D1,'数据-汇总表'!$E19:$E33))</f>
        <v>293.87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1665</v>
      </c>
      <c r="B4" s="346"/>
      <c r="C4" s="3533" t="s">
        <v>1666</v>
      </c>
      <c r="D4" s="3534"/>
      <c r="E4" s="3535" t="s">
        <v>1667</v>
      </c>
      <c r="F4" s="3536"/>
      <c r="G4" s="3533" t="s">
        <v>1668</v>
      </c>
      <c r="H4" s="3534"/>
      <c r="I4" s="3533" t="s">
        <v>1669</v>
      </c>
      <c r="J4" s="3534"/>
      <c r="K4" s="1744" t="s">
        <v>1670</v>
      </c>
      <c r="L4" s="2486"/>
      <c r="M4" s="2487"/>
      <c r="N4" s="2487"/>
      <c r="O4" s="2487"/>
      <c r="P4" s="3537" t="s">
        <v>1671</v>
      </c>
      <c r="Q4" s="3538"/>
      <c r="R4" s="3519" t="s">
        <v>1667</v>
      </c>
      <c r="S4" s="3520"/>
      <c r="T4" s="3519" t="s">
        <v>1668</v>
      </c>
      <c r="U4" s="3520"/>
      <c r="V4" s="3545" t="s">
        <v>1669</v>
      </c>
      <c r="W4" s="3545"/>
      <c r="X4" s="1265"/>
      <c r="Y4" s="3519" t="s">
        <v>1671</v>
      </c>
      <c r="Z4" s="3520"/>
      <c r="AA4" s="3514" t="s">
        <v>1667</v>
      </c>
      <c r="AB4" s="3514" t="s">
        <v>1668</v>
      </c>
      <c r="AC4" s="3514" t="s">
        <v>1669</v>
      </c>
    </row>
    <row r="5" spans="1:29">
      <c r="A5" s="348"/>
      <c r="B5" s="349"/>
      <c r="C5" s="3525" t="s">
        <v>3505</v>
      </c>
      <c r="D5" s="3526"/>
      <c r="E5" s="3523" t="str">
        <f>成交!A42</f>
        <v>丰台区莲香园1号楼6层608号</v>
      </c>
      <c r="F5" s="3524"/>
      <c r="G5" s="3529" t="str">
        <f>成交!A43</f>
        <v>丰台区莲怡园北路2号院2号楼14层1603</v>
      </c>
      <c r="H5" s="3526"/>
      <c r="I5" s="3529" t="str">
        <f>成交案例!A13</f>
        <v>莲怡园二区3号楼16层1607号</v>
      </c>
      <c r="J5" s="3526"/>
      <c r="K5" s="1745"/>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1745"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v>43100</v>
      </c>
      <c r="D7" s="355">
        <v>100</v>
      </c>
      <c r="E7" s="356" t="str">
        <f>成交!AW42</f>
        <v>2017年06月01日</v>
      </c>
      <c r="F7" s="357">
        <f>SUMIF(58:58,YEAR(E7)&amp;"-"&amp;MONTH(E7),59:59)</f>
        <v>103.8</v>
      </c>
      <c r="G7" s="356" t="str">
        <f>成交!AW43</f>
        <v>2017年06月07日</v>
      </c>
      <c r="H7" s="355">
        <f>SUMIF(58:58,YEAR(G7)&amp;"-"&amp;MONTH(G7),59:59)</f>
        <v>103.8</v>
      </c>
      <c r="I7" s="356">
        <f>成交案例!N13</f>
        <v>42840</v>
      </c>
      <c r="J7" s="355">
        <f>SUMIF(58:58,YEAR(I7)&amp;"-"&amp;MONTH(I7),59:59)</f>
        <v>100.9</v>
      </c>
      <c r="K7" s="1746"/>
      <c r="L7" s="2488"/>
      <c r="M7" s="2439"/>
      <c r="N7" s="2439"/>
      <c r="O7" s="2439"/>
      <c r="P7" s="3517" t="s">
        <v>1679</v>
      </c>
      <c r="Q7" s="3546"/>
      <c r="R7" s="664" t="s">
        <v>20</v>
      </c>
      <c r="S7" s="665">
        <f t="shared" ref="S7:S15" si="0">F7</f>
        <v>103.8</v>
      </c>
      <c r="T7" s="664" t="s">
        <v>20</v>
      </c>
      <c r="U7" s="665">
        <f t="shared" ref="U7:U15" si="1">H7</f>
        <v>103.8</v>
      </c>
      <c r="V7" s="664" t="s">
        <v>20</v>
      </c>
      <c r="W7" s="665">
        <f t="shared" ref="W7:W15" si="2">J7</f>
        <v>100.9</v>
      </c>
      <c r="X7" s="666"/>
      <c r="Y7" s="3517" t="s">
        <v>1679</v>
      </c>
      <c r="Z7" s="3518"/>
      <c r="AA7" s="50">
        <f>D7/F7</f>
        <v>0.96339113680154143</v>
      </c>
      <c r="AB7" s="50">
        <f>D7/H7</f>
        <v>0.96339113680154143</v>
      </c>
      <c r="AC7" s="50">
        <f>D7/J7</f>
        <v>0.99108027750247762</v>
      </c>
    </row>
    <row r="8" spans="1:29" s="102" customFormat="1" ht="15" thickBot="1">
      <c r="A8" s="352" t="s">
        <v>1680</v>
      </c>
      <c r="B8" s="353"/>
      <c r="C8" s="358" t="s">
        <v>3506</v>
      </c>
      <c r="D8" s="355">
        <v>100</v>
      </c>
      <c r="E8" s="1747" t="s">
        <v>3506</v>
      </c>
      <c r="F8" s="357">
        <f>SUMIF(61:61,E8,62:62)-SUMIF(61:61,C8,62:62)+100</f>
        <v>100</v>
      </c>
      <c r="G8" s="358" t="s">
        <v>3506</v>
      </c>
      <c r="H8" s="355">
        <f>SUMIF(61:61,G8,62:62)-SUMIF(61:61,C8,62:62)+100</f>
        <v>100</v>
      </c>
      <c r="I8" s="1747" t="s">
        <v>3506</v>
      </c>
      <c r="J8" s="355">
        <f>SUMIF(61:61,I8,62:62)-SUMIF(61:61,C8,62:62)+100</f>
        <v>100</v>
      </c>
      <c r="K8" s="1746"/>
      <c r="L8" s="2488"/>
      <c r="M8" s="2439"/>
      <c r="N8" s="2439"/>
      <c r="O8" s="2439"/>
      <c r="P8" s="3517" t="s">
        <v>1682</v>
      </c>
      <c r="Q8" s="3518"/>
      <c r="R8" s="664" t="s">
        <v>20</v>
      </c>
      <c r="S8" s="665">
        <f t="shared" si="0"/>
        <v>100</v>
      </c>
      <c r="T8" s="664" t="s">
        <v>20</v>
      </c>
      <c r="U8" s="665">
        <f t="shared" si="1"/>
        <v>100</v>
      </c>
      <c r="V8" s="664" t="s">
        <v>20</v>
      </c>
      <c r="W8" s="665">
        <f t="shared" si="2"/>
        <v>100</v>
      </c>
      <c r="X8" s="666"/>
      <c r="Y8" s="3517" t="s">
        <v>1682</v>
      </c>
      <c r="Z8" s="3518"/>
      <c r="AA8" s="50">
        <f t="shared" ref="AA8:AA19" si="3">D8/F8</f>
        <v>1</v>
      </c>
      <c r="AB8" s="50">
        <f t="shared" ref="AB8:AB19" si="4">D8/H8</f>
        <v>1</v>
      </c>
      <c r="AC8" s="50">
        <f t="shared" ref="AC8:AC19" si="5">D8/J8</f>
        <v>1</v>
      </c>
    </row>
    <row r="9" spans="1:29" s="102" customFormat="1" ht="15" thickBot="1">
      <c r="A9" s="359" t="s">
        <v>1683</v>
      </c>
      <c r="B9" s="60" t="s">
        <v>1684</v>
      </c>
      <c r="C9" s="3163" t="s">
        <v>3507</v>
      </c>
      <c r="D9" s="59">
        <v>100</v>
      </c>
      <c r="E9" s="361" t="s">
        <v>3386</v>
      </c>
      <c r="F9" s="60">
        <f>SUMIF(63:63,E9,64:64)-SUMIF(63:63,C9,64:64)+100</f>
        <v>100</v>
      </c>
      <c r="G9" s="361" t="s">
        <v>3386</v>
      </c>
      <c r="H9" s="59">
        <f>SUMIF(63:63,G9,64:64)-SUMIF(63:63,C9,64:64)+100</f>
        <v>100</v>
      </c>
      <c r="I9" s="361" t="s">
        <v>3386</v>
      </c>
      <c r="J9" s="59">
        <f>SUMIF(63:63,I9,64:64)-SUMIF(63:63,C9,64:64)+100</f>
        <v>100</v>
      </c>
      <c r="K9" s="1746"/>
      <c r="L9" s="2488"/>
      <c r="M9" s="2439"/>
      <c r="N9" s="2439"/>
      <c r="O9" s="2439"/>
      <c r="P9" s="3532"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9.4" hidden="1" thickBot="1">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32"/>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6" hidden="1" thickBot="1">
      <c r="A11" s="367"/>
      <c r="B11" s="364" t="s">
        <v>1688</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91"/>
      <c r="M11" s="2487"/>
      <c r="N11" s="2487"/>
      <c r="O11" s="2487"/>
      <c r="P11" s="3532"/>
      <c r="Q11" s="530" t="str">
        <f t="shared" si="6"/>
        <v>容积率</v>
      </c>
      <c r="R11" s="664" t="s">
        <v>18</v>
      </c>
      <c r="S11" s="665">
        <f t="shared" si="0"/>
        <v>100</v>
      </c>
      <c r="T11" s="664" t="s">
        <v>18</v>
      </c>
      <c r="U11" s="665">
        <f t="shared" si="1"/>
        <v>100</v>
      </c>
      <c r="V11" s="664" t="s">
        <v>18</v>
      </c>
      <c r="W11" s="665">
        <f t="shared" si="2"/>
        <v>100</v>
      </c>
      <c r="X11" s="666"/>
      <c r="Y11" s="3490"/>
      <c r="Z11" s="50" t="str">
        <f t="shared" si="7"/>
        <v>容积率</v>
      </c>
      <c r="AA11" s="50">
        <f t="shared" si="3"/>
        <v>1</v>
      </c>
      <c r="AB11" s="50">
        <f t="shared" si="4"/>
        <v>1</v>
      </c>
      <c r="AC11" s="50">
        <f t="shared" si="5"/>
        <v>1</v>
      </c>
    </row>
    <row r="12" spans="1:29" s="102" customFormat="1" ht="15.6" hidden="1" thickBot="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32"/>
      <c r="Q12" s="530">
        <f t="shared" si="6"/>
        <v>111</v>
      </c>
      <c r="R12" s="664" t="s">
        <v>18</v>
      </c>
      <c r="S12" s="665">
        <f t="shared" si="0"/>
        <v>100</v>
      </c>
      <c r="T12" s="664" t="s">
        <v>18</v>
      </c>
      <c r="U12" s="665">
        <f t="shared" si="1"/>
        <v>100</v>
      </c>
      <c r="V12" s="664" t="s">
        <v>18</v>
      </c>
      <c r="W12" s="665">
        <f t="shared" si="2"/>
        <v>100</v>
      </c>
      <c r="X12" s="666"/>
      <c r="Y12" s="3490"/>
      <c r="Z12" s="50">
        <f t="shared" si="7"/>
        <v>111</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32"/>
      <c r="Q13" s="530">
        <f t="shared" si="6"/>
        <v>111</v>
      </c>
      <c r="R13" s="664" t="s">
        <v>18</v>
      </c>
      <c r="S13" s="665">
        <f t="shared" si="0"/>
        <v>100</v>
      </c>
      <c r="T13" s="664" t="s">
        <v>18</v>
      </c>
      <c r="U13" s="665">
        <f t="shared" si="1"/>
        <v>100</v>
      </c>
      <c r="V13" s="664" t="s">
        <v>18</v>
      </c>
      <c r="W13" s="665">
        <f t="shared" si="2"/>
        <v>100</v>
      </c>
      <c r="X13" s="666"/>
      <c r="Y13" s="3490"/>
      <c r="Z13" s="50">
        <f t="shared" si="7"/>
        <v>111</v>
      </c>
      <c r="AA13" s="50">
        <f t="shared" si="3"/>
        <v>1</v>
      </c>
      <c r="AB13" s="50">
        <f t="shared" si="4"/>
        <v>1</v>
      </c>
      <c r="AC13" s="50">
        <f t="shared" si="5"/>
        <v>1</v>
      </c>
    </row>
    <row r="14" spans="1:29" ht="15.6"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32"/>
      <c r="Q14" s="530">
        <f t="shared" si="6"/>
        <v>111</v>
      </c>
      <c r="R14" s="664" t="s">
        <v>18</v>
      </c>
      <c r="S14" s="665">
        <f t="shared" si="0"/>
        <v>100</v>
      </c>
      <c r="T14" s="664" t="s">
        <v>18</v>
      </c>
      <c r="U14" s="665">
        <f t="shared" si="1"/>
        <v>100</v>
      </c>
      <c r="V14" s="664" t="s">
        <v>18</v>
      </c>
      <c r="W14" s="665">
        <f t="shared" si="2"/>
        <v>100</v>
      </c>
      <c r="X14" s="666"/>
      <c r="Y14" s="3490"/>
      <c r="Z14" s="50">
        <f t="shared" si="7"/>
        <v>111</v>
      </c>
      <c r="AA14" s="50">
        <f t="shared" si="3"/>
        <v>1</v>
      </c>
      <c r="AB14" s="50">
        <f t="shared" si="4"/>
        <v>1</v>
      </c>
      <c r="AC14" s="50">
        <f t="shared" si="5"/>
        <v>1</v>
      </c>
    </row>
    <row r="15" spans="1:29" ht="96.6">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558" t="s">
        <v>1690</v>
      </c>
      <c r="Q15" s="1263" t="str">
        <f t="shared" si="6"/>
        <v>居住社区成熟度</v>
      </c>
      <c r="R15" s="667" t="s">
        <v>18</v>
      </c>
      <c r="S15" s="668">
        <f t="shared" si="0"/>
        <v>100</v>
      </c>
      <c r="T15" s="667" t="s">
        <v>18</v>
      </c>
      <c r="U15" s="668">
        <f t="shared" si="1"/>
        <v>100</v>
      </c>
      <c r="V15" s="667" t="s">
        <v>18</v>
      </c>
      <c r="W15" s="668">
        <f t="shared" si="2"/>
        <v>100</v>
      </c>
      <c r="X15" s="1265"/>
      <c r="Y15" s="3551" t="s">
        <v>1690</v>
      </c>
      <c r="Z15" s="1264" t="str">
        <f t="shared" si="7"/>
        <v>居住社区成熟度</v>
      </c>
      <c r="AA15" s="1264">
        <f t="shared" si="3"/>
        <v>1</v>
      </c>
      <c r="AB15" s="1264">
        <f t="shared" si="4"/>
        <v>1</v>
      </c>
      <c r="AC15" s="1264">
        <f t="shared" si="5"/>
        <v>1</v>
      </c>
    </row>
    <row r="16" spans="1:29" ht="15">
      <c r="A16" s="367"/>
      <c r="B16" s="385"/>
      <c r="C16" s="386" t="s">
        <v>3600</v>
      </c>
      <c r="D16" s="387"/>
      <c r="E16" s="386" t="s">
        <v>3600</v>
      </c>
      <c r="F16" s="387"/>
      <c r="G16" s="386" t="s">
        <v>3600</v>
      </c>
      <c r="H16" s="389"/>
      <c r="I16" s="386" t="s">
        <v>3600</v>
      </c>
      <c r="J16" s="387"/>
      <c r="K16" s="1753"/>
      <c r="L16" s="2492"/>
      <c r="M16" s="2487"/>
      <c r="N16" s="2487"/>
      <c r="O16" s="2487"/>
      <c r="P16" s="3559"/>
      <c r="Q16" s="1263"/>
      <c r="R16" s="667"/>
      <c r="S16" s="668"/>
      <c r="T16" s="667"/>
      <c r="U16" s="668"/>
      <c r="V16" s="667"/>
      <c r="W16" s="668"/>
      <c r="X16" s="1265"/>
      <c r="Y16" s="3552"/>
      <c r="Z16" s="1264"/>
      <c r="AA16" s="1264">
        <v>1</v>
      </c>
      <c r="AB16" s="1264">
        <v>1</v>
      </c>
      <c r="AC16" s="1264">
        <v>1</v>
      </c>
    </row>
    <row r="17" spans="1:39" ht="82.8">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2"/>
      <c r="M17" s="2487"/>
      <c r="N17" s="2487"/>
      <c r="O17" s="2487"/>
      <c r="P17" s="3559"/>
      <c r="Q17" s="1263" t="str">
        <f>B17</f>
        <v>交通便捷度</v>
      </c>
      <c r="R17" s="667" t="s">
        <v>18</v>
      </c>
      <c r="S17" s="668">
        <f>F17</f>
        <v>100</v>
      </c>
      <c r="T17" s="667" t="s">
        <v>18</v>
      </c>
      <c r="U17" s="668">
        <f>H17</f>
        <v>100</v>
      </c>
      <c r="V17" s="667" t="s">
        <v>18</v>
      </c>
      <c r="W17" s="668">
        <f>J17</f>
        <v>100</v>
      </c>
      <c r="X17" s="1265"/>
      <c r="Y17" s="3552"/>
      <c r="Z17" s="1264" t="str">
        <f>Q17</f>
        <v>交通便捷度</v>
      </c>
      <c r="AA17" s="1264">
        <f t="shared" si="3"/>
        <v>1</v>
      </c>
      <c r="AB17" s="1264">
        <f t="shared" si="4"/>
        <v>1</v>
      </c>
      <c r="AC17" s="1264">
        <f t="shared" si="5"/>
        <v>1</v>
      </c>
    </row>
    <row r="18" spans="1:39" ht="15">
      <c r="A18" s="367"/>
      <c r="B18" s="395"/>
      <c r="C18" s="1755" t="s">
        <v>3600</v>
      </c>
      <c r="D18" s="389"/>
      <c r="E18" s="1755" t="s">
        <v>3600</v>
      </c>
      <c r="F18" s="389"/>
      <c r="G18" s="1755" t="s">
        <v>3600</v>
      </c>
      <c r="H18" s="387"/>
      <c r="I18" s="1755" t="s">
        <v>3600</v>
      </c>
      <c r="J18" s="387"/>
      <c r="K18" s="1753"/>
      <c r="L18" s="2492"/>
      <c r="M18" s="2487"/>
      <c r="N18" s="2487"/>
      <c r="O18" s="2487"/>
      <c r="P18" s="3559"/>
      <c r="Q18" s="1263"/>
      <c r="R18" s="667"/>
      <c r="S18" s="668"/>
      <c r="T18" s="667"/>
      <c r="U18" s="668"/>
      <c r="V18" s="667"/>
      <c r="W18" s="668"/>
      <c r="X18" s="1265"/>
      <c r="Y18" s="3552"/>
      <c r="Z18" s="1264"/>
      <c r="AA18" s="1264">
        <v>1</v>
      </c>
      <c r="AB18" s="1264">
        <v>1</v>
      </c>
      <c r="AC18" s="1264">
        <v>1</v>
      </c>
      <c r="AM18" s="347">
        <v>0</v>
      </c>
    </row>
    <row r="19" spans="1:3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2"/>
      <c r="M19" s="2487"/>
      <c r="N19" s="2487"/>
      <c r="O19" s="2487"/>
      <c r="P19" s="3559"/>
      <c r="Q19" s="1263" t="str">
        <f>B19</f>
        <v>公共配套设施</v>
      </c>
      <c r="R19" s="667" t="s">
        <v>18</v>
      </c>
      <c r="S19" s="668">
        <f>F19</f>
        <v>100</v>
      </c>
      <c r="T19" s="667" t="s">
        <v>18</v>
      </c>
      <c r="U19" s="668">
        <f>H19</f>
        <v>100</v>
      </c>
      <c r="V19" s="667" t="s">
        <v>18</v>
      </c>
      <c r="W19" s="668">
        <f>J19</f>
        <v>100</v>
      </c>
      <c r="X19" s="1265"/>
      <c r="Y19" s="3552"/>
      <c r="Z19" s="1264" t="str">
        <f>Q19</f>
        <v>公共配套设施</v>
      </c>
      <c r="AA19" s="1264">
        <f t="shared" si="3"/>
        <v>1</v>
      </c>
      <c r="AB19" s="1264">
        <f t="shared" si="4"/>
        <v>1</v>
      </c>
      <c r="AC19" s="1264">
        <f t="shared" si="5"/>
        <v>1</v>
      </c>
    </row>
    <row r="20" spans="1:39" ht="15">
      <c r="A20" s="367"/>
      <c r="B20" s="395"/>
      <c r="C20" s="386" t="s">
        <v>3600</v>
      </c>
      <c r="D20" s="387"/>
      <c r="E20" s="386" t="s">
        <v>3600</v>
      </c>
      <c r="F20" s="387"/>
      <c r="G20" s="386" t="s">
        <v>3600</v>
      </c>
      <c r="H20" s="387"/>
      <c r="I20" s="386" t="s">
        <v>3600</v>
      </c>
      <c r="J20" s="387"/>
      <c r="K20" s="1753"/>
      <c r="L20" s="2492"/>
      <c r="M20" s="2487"/>
      <c r="N20" s="2487"/>
      <c r="O20" s="2487"/>
      <c r="P20" s="3559"/>
      <c r="Q20" s="1263"/>
      <c r="R20" s="667"/>
      <c r="S20" s="668"/>
      <c r="T20" s="667"/>
      <c r="U20" s="668"/>
      <c r="V20" s="667"/>
      <c r="W20" s="668"/>
      <c r="X20" s="1265"/>
      <c r="Y20" s="3552"/>
      <c r="Z20" s="1264"/>
      <c r="AA20" s="1264">
        <v>1</v>
      </c>
      <c r="AB20" s="1264">
        <v>1</v>
      </c>
      <c r="AC20" s="1264">
        <v>1</v>
      </c>
    </row>
    <row r="21" spans="1:3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2"/>
      <c r="M21" s="2487"/>
      <c r="N21" s="2487"/>
      <c r="O21" s="2487"/>
      <c r="P21" s="3559"/>
      <c r="Q21" s="1263" t="str">
        <f>B21</f>
        <v>基础设施水平</v>
      </c>
      <c r="R21" s="667" t="s">
        <v>14</v>
      </c>
      <c r="S21" s="668">
        <f>F21</f>
        <v>100</v>
      </c>
      <c r="T21" s="667" t="s">
        <v>14</v>
      </c>
      <c r="U21" s="668">
        <f>H21</f>
        <v>100</v>
      </c>
      <c r="V21" s="667" t="s">
        <v>14</v>
      </c>
      <c r="W21" s="668">
        <f>J21</f>
        <v>100</v>
      </c>
      <c r="X21" s="1265"/>
      <c r="Y21" s="3552"/>
      <c r="Z21" s="1264" t="str">
        <f>Q21</f>
        <v>基础设施水平</v>
      </c>
      <c r="AA21" s="1264">
        <f t="shared" ref="AA21" si="8">D21/F21</f>
        <v>1</v>
      </c>
      <c r="AB21" s="1264">
        <f t="shared" ref="AB21" si="9">D21/H21</f>
        <v>1</v>
      </c>
      <c r="AC21" s="1264">
        <f t="shared" ref="AC21" si="10">D21/J21</f>
        <v>1</v>
      </c>
    </row>
    <row r="22" spans="1:39" ht="15">
      <c r="A22" s="367"/>
      <c r="B22" s="586"/>
      <c r="C22" s="1755" t="s">
        <v>3601</v>
      </c>
      <c r="D22" s="387"/>
      <c r="E22" s="1755" t="s">
        <v>3601</v>
      </c>
      <c r="F22" s="387"/>
      <c r="G22" s="1755" t="s">
        <v>3601</v>
      </c>
      <c r="H22" s="387"/>
      <c r="I22" s="1755" t="s">
        <v>3601</v>
      </c>
      <c r="J22" s="387"/>
      <c r="K22" s="1759"/>
      <c r="L22" s="2492"/>
      <c r="M22" s="2487"/>
      <c r="N22" s="2487"/>
      <c r="O22" s="2487"/>
      <c r="P22" s="3559"/>
      <c r="Q22" s="1263"/>
      <c r="R22" s="667"/>
      <c r="S22" s="668"/>
      <c r="T22" s="667"/>
      <c r="U22" s="668"/>
      <c r="V22" s="667"/>
      <c r="W22" s="668"/>
      <c r="X22" s="1265"/>
      <c r="Y22" s="3552"/>
      <c r="Z22" s="1264"/>
      <c r="AA22" s="1264">
        <v>1</v>
      </c>
      <c r="AB22" s="1264">
        <v>1</v>
      </c>
      <c r="AC22" s="1264">
        <v>1</v>
      </c>
    </row>
    <row r="23" spans="1:39" ht="55.2">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2"/>
      <c r="M23" s="2487"/>
      <c r="N23" s="2487"/>
      <c r="O23" s="2487"/>
      <c r="P23" s="3559"/>
      <c r="Q23" s="1263" t="str">
        <f>B23</f>
        <v>自然及人文环境</v>
      </c>
      <c r="R23" s="667" t="s">
        <v>18</v>
      </c>
      <c r="S23" s="668">
        <f>F23</f>
        <v>100</v>
      </c>
      <c r="T23" s="667" t="s">
        <v>18</v>
      </c>
      <c r="U23" s="668">
        <f>H23</f>
        <v>100</v>
      </c>
      <c r="V23" s="667" t="s">
        <v>18</v>
      </c>
      <c r="W23" s="668">
        <f>J23</f>
        <v>100</v>
      </c>
      <c r="X23" s="1265"/>
      <c r="Y23" s="3552"/>
      <c r="Z23" s="1264" t="str">
        <f>Q23</f>
        <v>自然及人文环境</v>
      </c>
      <c r="AA23" s="1264">
        <f>D23/F23</f>
        <v>1</v>
      </c>
      <c r="AB23" s="1264">
        <f>D23/H23</f>
        <v>1</v>
      </c>
      <c r="AC23" s="1264">
        <f>D23/J23</f>
        <v>1</v>
      </c>
    </row>
    <row r="24" spans="1:39" ht="15">
      <c r="A24" s="367"/>
      <c r="B24" s="395"/>
      <c r="C24" s="386" t="s">
        <v>3600</v>
      </c>
      <c r="D24" s="387"/>
      <c r="E24" s="386" t="s">
        <v>3600</v>
      </c>
      <c r="F24" s="387"/>
      <c r="G24" s="386" t="s">
        <v>3600</v>
      </c>
      <c r="H24" s="387"/>
      <c r="I24" s="386" t="s">
        <v>3600</v>
      </c>
      <c r="J24" s="387"/>
      <c r="K24" s="1753"/>
      <c r="L24" s="2492"/>
      <c r="M24" s="2487"/>
      <c r="N24" s="2487"/>
      <c r="O24" s="2487"/>
      <c r="P24" s="3559"/>
      <c r="Q24" s="1263"/>
      <c r="R24" s="667"/>
      <c r="S24" s="668"/>
      <c r="T24" s="667"/>
      <c r="U24" s="668"/>
      <c r="V24" s="667"/>
      <c r="W24" s="668"/>
      <c r="X24" s="1265"/>
      <c r="Y24" s="3552"/>
      <c r="Z24" s="1264"/>
      <c r="AA24" s="1264">
        <v>1</v>
      </c>
      <c r="AB24" s="1264">
        <v>1</v>
      </c>
      <c r="AC24" s="1264">
        <v>1</v>
      </c>
    </row>
    <row r="25" spans="1:39" ht="15" hidden="1">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2"/>
      <c r="Z25" s="1264" t="str">
        <f>Q25</f>
        <v>楼层-1</v>
      </c>
      <c r="AA25" s="1264">
        <f t="shared" ref="AA25:AA46" si="15">D25/F25</f>
        <v>1</v>
      </c>
      <c r="AB25" s="1264">
        <f t="shared" ref="AB25:AB46" si="16">D25/H25</f>
        <v>1</v>
      </c>
      <c r="AC25" s="1264">
        <f t="shared" ref="AC25:AC46" si="17">D25/J25</f>
        <v>1</v>
      </c>
    </row>
    <row r="26" spans="1:39" ht="15">
      <c r="A26" s="367"/>
      <c r="B26" s="364" t="s">
        <v>1692</v>
      </c>
      <c r="C26" s="399" t="s">
        <v>4273</v>
      </c>
      <c r="D26" s="374">
        <v>100</v>
      </c>
      <c r="E26" s="1760" t="s">
        <v>4267</v>
      </c>
      <c r="F26" s="374">
        <f>SUMIF(88:88,E26,89:89)-SUMIF(88:88,C26,89:89)+100</f>
        <v>99</v>
      </c>
      <c r="G26" s="1761" t="s">
        <v>4273</v>
      </c>
      <c r="H26" s="374">
        <f>SUMIF(88:88,G26,89:89)-SUMIF(88:88,C26,89:89)+100</f>
        <v>100</v>
      </c>
      <c r="I26" s="1761" t="s">
        <v>4292</v>
      </c>
      <c r="J26" s="374">
        <f>SUMIF(88:88,I26,89:89)-SUMIF(88:88,C26,89:89)+100</f>
        <v>99.5</v>
      </c>
      <c r="K26" s="365">
        <v>0.5</v>
      </c>
      <c r="L26" s="2492"/>
      <c r="M26" s="2487"/>
      <c r="N26" s="2487"/>
      <c r="O26" s="2487"/>
      <c r="P26" s="3559"/>
      <c r="Q26" s="1263" t="str">
        <f t="shared" si="11"/>
        <v>朝向</v>
      </c>
      <c r="R26" s="667" t="s">
        <v>18</v>
      </c>
      <c r="S26" s="668">
        <f t="shared" si="12"/>
        <v>99</v>
      </c>
      <c r="T26" s="667" t="s">
        <v>18</v>
      </c>
      <c r="U26" s="668">
        <f t="shared" si="13"/>
        <v>100</v>
      </c>
      <c r="V26" s="667" t="s">
        <v>18</v>
      </c>
      <c r="W26" s="668">
        <f t="shared" si="14"/>
        <v>99.5</v>
      </c>
      <c r="X26" s="1265"/>
      <c r="Y26" s="3552"/>
      <c r="Z26" s="1264" t="str">
        <f>Q26</f>
        <v>朝向</v>
      </c>
      <c r="AA26" s="1264">
        <f t="shared" si="15"/>
        <v>1.0101010101010102</v>
      </c>
      <c r="AB26" s="1264">
        <f t="shared" si="16"/>
        <v>1</v>
      </c>
      <c r="AC26" s="1264">
        <f t="shared" si="17"/>
        <v>1.0050251256281406</v>
      </c>
    </row>
    <row r="27" spans="1:39" s="102" customFormat="1" ht="15">
      <c r="A27" s="370"/>
      <c r="B27" s="3203" t="s">
        <v>4221</v>
      </c>
      <c r="C27" s="371" t="str">
        <f>C90</f>
        <v>9/16（中楼层）</v>
      </c>
      <c r="D27" s="401">
        <v>100</v>
      </c>
      <c r="E27" s="403" t="s">
        <v>4284</v>
      </c>
      <c r="F27" s="401">
        <f>SUMIF(90:90,E27,91:91)-SUMIF(90:90,C27,91:91)+100</f>
        <v>100</v>
      </c>
      <c r="G27" s="403" t="s">
        <v>4285</v>
      </c>
      <c r="H27" s="401">
        <f>SUMIF(90:90,G27,91:91)-SUMIF(90:90,C27,91:91)+100</f>
        <v>100</v>
      </c>
      <c r="I27" s="402" t="s">
        <v>4286</v>
      </c>
      <c r="J27" s="401">
        <f>SUMIF(90:90,I27,91:91)-SUMIF(90:90,C27,91:91)+100</f>
        <v>102</v>
      </c>
      <c r="K27" s="1748"/>
      <c r="L27" s="2488"/>
      <c r="M27" s="2439"/>
      <c r="N27" s="2439"/>
      <c r="O27" s="2439"/>
      <c r="P27" s="3559"/>
      <c r="Q27" s="530" t="str">
        <f t="shared" si="11"/>
        <v>楼层</v>
      </c>
      <c r="R27" s="664" t="s">
        <v>18</v>
      </c>
      <c r="S27" s="665">
        <f t="shared" si="12"/>
        <v>100</v>
      </c>
      <c r="T27" s="664" t="s">
        <v>18</v>
      </c>
      <c r="U27" s="665">
        <f t="shared" si="13"/>
        <v>100</v>
      </c>
      <c r="V27" s="664" t="s">
        <v>18</v>
      </c>
      <c r="W27" s="665">
        <f t="shared" si="14"/>
        <v>102</v>
      </c>
      <c r="X27" s="666"/>
      <c r="Y27" s="3552"/>
      <c r="Z27" s="50" t="str">
        <f>Q27</f>
        <v>楼层</v>
      </c>
      <c r="AA27" s="1264">
        <f t="shared" si="15"/>
        <v>1</v>
      </c>
      <c r="AB27" s="1264">
        <f t="shared" si="16"/>
        <v>1</v>
      </c>
      <c r="AC27" s="1264">
        <f t="shared" si="17"/>
        <v>0.98039215686274506</v>
      </c>
    </row>
    <row r="28" spans="1:39" ht="15.6" thickBot="1">
      <c r="A28" s="367"/>
      <c r="B28" s="3203" t="s">
        <v>4240</v>
      </c>
      <c r="C28" s="3222" t="s">
        <v>4271</v>
      </c>
      <c r="D28" s="374">
        <v>100</v>
      </c>
      <c r="E28" s="3223" t="s">
        <v>4283</v>
      </c>
      <c r="F28" s="374">
        <f>SUMIF(92:92,E28,93:93)-SUMIF(92:92,C28,93:93)+100</f>
        <v>102</v>
      </c>
      <c r="G28" s="3222" t="s">
        <v>4271</v>
      </c>
      <c r="H28" s="374">
        <f>SUMIF(92:92,G28,93:93)-SUMIF(92:92,C28,93:93)+100</f>
        <v>100</v>
      </c>
      <c r="I28" s="3222" t="s">
        <v>4271</v>
      </c>
      <c r="J28" s="374">
        <f>SUMIF(92:92,I28,93:93)-SUMIF(92:92,C28,93:93)+100</f>
        <v>100</v>
      </c>
      <c r="K28" s="1748"/>
      <c r="L28" s="2492"/>
      <c r="M28" s="2487"/>
      <c r="N28" s="2487"/>
      <c r="O28" s="2487"/>
      <c r="P28" s="3559"/>
      <c r="Q28" s="1263" t="str">
        <f t="shared" si="11"/>
        <v>道路</v>
      </c>
      <c r="R28" s="667" t="s">
        <v>18</v>
      </c>
      <c r="S28" s="668">
        <f t="shared" si="12"/>
        <v>102</v>
      </c>
      <c r="T28" s="667" t="s">
        <v>18</v>
      </c>
      <c r="U28" s="668">
        <f t="shared" si="13"/>
        <v>100</v>
      </c>
      <c r="V28" s="667" t="s">
        <v>18</v>
      </c>
      <c r="W28" s="668">
        <f t="shared" si="14"/>
        <v>100</v>
      </c>
      <c r="X28" s="1265"/>
      <c r="Y28" s="3552"/>
      <c r="Z28" s="1264" t="str">
        <f t="shared" ref="Z28:Z46" si="18">Q28</f>
        <v>道路</v>
      </c>
      <c r="AA28" s="1264">
        <f t="shared" si="15"/>
        <v>0.98039215686274506</v>
      </c>
      <c r="AB28" s="1264">
        <f t="shared" si="16"/>
        <v>1</v>
      </c>
      <c r="AC28" s="1264">
        <f t="shared" si="17"/>
        <v>1</v>
      </c>
    </row>
    <row r="29" spans="1:39" ht="15.6"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59"/>
      <c r="Q29" s="1263">
        <f t="shared" si="11"/>
        <v>111</v>
      </c>
      <c r="R29" s="667" t="s">
        <v>18</v>
      </c>
      <c r="S29" s="668">
        <f t="shared" si="12"/>
        <v>100</v>
      </c>
      <c r="T29" s="667" t="s">
        <v>18</v>
      </c>
      <c r="U29" s="668">
        <f t="shared" si="13"/>
        <v>100</v>
      </c>
      <c r="V29" s="667" t="s">
        <v>18</v>
      </c>
      <c r="W29" s="668">
        <f t="shared" si="14"/>
        <v>100</v>
      </c>
      <c r="X29" s="1265"/>
      <c r="Y29" s="3552"/>
      <c r="Z29" s="1264">
        <f t="shared" si="18"/>
        <v>111</v>
      </c>
      <c r="AA29" s="1264">
        <f t="shared" si="15"/>
        <v>1</v>
      </c>
      <c r="AB29" s="1264">
        <f t="shared" si="16"/>
        <v>1</v>
      </c>
      <c r="AC29" s="1264">
        <f t="shared" si="17"/>
        <v>1</v>
      </c>
    </row>
    <row r="30" spans="1:39" ht="15.6"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59"/>
      <c r="Q30" s="1263">
        <f t="shared" si="11"/>
        <v>111</v>
      </c>
      <c r="R30" s="667" t="s">
        <v>18</v>
      </c>
      <c r="S30" s="668">
        <f t="shared" si="12"/>
        <v>100</v>
      </c>
      <c r="T30" s="667" t="s">
        <v>18</v>
      </c>
      <c r="U30" s="668">
        <f t="shared" si="13"/>
        <v>100</v>
      </c>
      <c r="V30" s="667" t="s">
        <v>18</v>
      </c>
      <c r="W30" s="668">
        <f t="shared" si="14"/>
        <v>100</v>
      </c>
      <c r="X30" s="1265"/>
      <c r="Y30" s="3552"/>
      <c r="Z30" s="1264">
        <f t="shared" si="18"/>
        <v>111</v>
      </c>
      <c r="AA30" s="1264">
        <f t="shared" si="15"/>
        <v>1</v>
      </c>
      <c r="AB30" s="1264">
        <f t="shared" si="16"/>
        <v>1</v>
      </c>
      <c r="AC30" s="1264">
        <f t="shared" si="17"/>
        <v>1</v>
      </c>
    </row>
    <row r="31" spans="1:3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59"/>
      <c r="Q31" s="1263">
        <f t="shared" si="11"/>
        <v>111</v>
      </c>
      <c r="R31" s="667" t="s">
        <v>18</v>
      </c>
      <c r="S31" s="668">
        <f t="shared" si="12"/>
        <v>100</v>
      </c>
      <c r="T31" s="667" t="s">
        <v>18</v>
      </c>
      <c r="U31" s="668">
        <f t="shared" si="13"/>
        <v>100</v>
      </c>
      <c r="V31" s="667" t="s">
        <v>18</v>
      </c>
      <c r="W31" s="668">
        <f t="shared" si="14"/>
        <v>100</v>
      </c>
      <c r="X31" s="1265"/>
      <c r="Y31" s="3552"/>
      <c r="Z31" s="1264">
        <f t="shared" si="18"/>
        <v>111</v>
      </c>
      <c r="AA31" s="1264">
        <f t="shared" si="15"/>
        <v>1</v>
      </c>
      <c r="AB31" s="1264">
        <f t="shared" si="16"/>
        <v>1</v>
      </c>
      <c r="AC31" s="1264">
        <f t="shared" si="17"/>
        <v>1</v>
      </c>
    </row>
    <row r="32" spans="1:39" ht="15">
      <c r="A32" s="379" t="s">
        <v>1693</v>
      </c>
      <c r="B32" s="60" t="s">
        <v>1694</v>
      </c>
      <c r="C32" s="1764" t="s">
        <v>4232</v>
      </c>
      <c r="D32" s="405">
        <v>100</v>
      </c>
      <c r="E32" s="1765" t="s">
        <v>4234</v>
      </c>
      <c r="F32" s="400">
        <f>SUMIF(100:100,E32,101:101)-SUMIF(100:100,C32,101:101)+100</f>
        <v>94</v>
      </c>
      <c r="G32" s="1764" t="s">
        <v>4234</v>
      </c>
      <c r="H32" s="405">
        <f>SUMIF(100:100,G32,101:101)-SUMIF(100:100,C32,101:101)+100</f>
        <v>94</v>
      </c>
      <c r="I32" s="1765" t="s">
        <v>4234</v>
      </c>
      <c r="J32" s="374">
        <f>SUMIF(100:100,I32,101:101)-SUMIF(100:100,C32,101:101)+100</f>
        <v>94</v>
      </c>
      <c r="K32" s="365">
        <v>2</v>
      </c>
      <c r="L32" s="2492"/>
      <c r="M32" s="2487"/>
      <c r="N32" s="2487"/>
      <c r="O32" s="2487"/>
      <c r="P32" s="3553" t="s">
        <v>1695</v>
      </c>
      <c r="Q32" s="1263" t="str">
        <f t="shared" si="11"/>
        <v>建筑类型</v>
      </c>
      <c r="R32" s="667" t="s">
        <v>18</v>
      </c>
      <c r="S32" s="668">
        <f t="shared" si="12"/>
        <v>94</v>
      </c>
      <c r="T32" s="667" t="s">
        <v>18</v>
      </c>
      <c r="U32" s="668">
        <f t="shared" si="13"/>
        <v>94</v>
      </c>
      <c r="V32" s="667" t="s">
        <v>18</v>
      </c>
      <c r="W32" s="668">
        <f t="shared" si="14"/>
        <v>94</v>
      </c>
      <c r="X32" s="1265"/>
      <c r="Y32" s="3556" t="s">
        <v>1695</v>
      </c>
      <c r="Z32" s="1264" t="str">
        <f t="shared" si="18"/>
        <v>建筑类型</v>
      </c>
      <c r="AA32" s="1264">
        <f t="shared" si="15"/>
        <v>1.0638297872340425</v>
      </c>
      <c r="AB32" s="1264">
        <f t="shared" si="16"/>
        <v>1.0638297872340425</v>
      </c>
      <c r="AC32" s="1264">
        <f t="shared" si="17"/>
        <v>1.0638297872340425</v>
      </c>
    </row>
    <row r="33" spans="1:29" s="408" customFormat="1" ht="15">
      <c r="A33" s="406"/>
      <c r="B33" s="364" t="s">
        <v>1696</v>
      </c>
      <c r="C33" s="407">
        <f>'数据-汇总表'!E19</f>
        <v>293.87</v>
      </c>
      <c r="D33" s="119">
        <v>100</v>
      </c>
      <c r="E33" s="369">
        <f>成交!B42</f>
        <v>82.11</v>
      </c>
      <c r="F33" s="364">
        <f>LOOKUP(E33,103:103,104:104)-LOOKUP(C33,103:103,104:104)+100</f>
        <v>104</v>
      </c>
      <c r="G33" s="368">
        <f>成交!B43</f>
        <v>72.77</v>
      </c>
      <c r="H33" s="119">
        <f>LOOKUP(G33,103:103,104:104)-LOOKUP(C33,103:103,104:104)+100</f>
        <v>104</v>
      </c>
      <c r="I33" s="369">
        <f>成交案例!E13</f>
        <v>90.99</v>
      </c>
      <c r="J33" s="119">
        <f>LOOKUP(I33,103:103,104:104)-LOOKUP(C33,103:103,104:104)+100</f>
        <v>102</v>
      </c>
      <c r="K33" s="1748"/>
      <c r="L33" s="2491"/>
      <c r="M33" s="2493"/>
      <c r="N33" s="2493"/>
      <c r="O33" s="2493"/>
      <c r="P33" s="3554"/>
      <c r="Q33" s="531" t="str">
        <f t="shared" si="11"/>
        <v>项目建筑规模</v>
      </c>
      <c r="R33" s="669" t="s">
        <v>18</v>
      </c>
      <c r="S33" s="670">
        <f t="shared" si="12"/>
        <v>104</v>
      </c>
      <c r="T33" s="669" t="s">
        <v>18</v>
      </c>
      <c r="U33" s="670">
        <f t="shared" si="13"/>
        <v>104</v>
      </c>
      <c r="V33" s="669" t="s">
        <v>18</v>
      </c>
      <c r="W33" s="670">
        <f t="shared" si="14"/>
        <v>102</v>
      </c>
      <c r="X33" s="671"/>
      <c r="Y33" s="3556"/>
      <c r="Z33" s="672" t="str">
        <f t="shared" si="18"/>
        <v>项目建筑规模</v>
      </c>
      <c r="AA33" s="1264">
        <f t="shared" si="15"/>
        <v>0.96153846153846156</v>
      </c>
      <c r="AB33" s="1264">
        <f t="shared" si="16"/>
        <v>0.96153846153846156</v>
      </c>
      <c r="AC33" s="1264">
        <f t="shared" si="17"/>
        <v>0.98039215686274506</v>
      </c>
    </row>
    <row r="34" spans="1:29" ht="15">
      <c r="A34" s="409"/>
      <c r="B34" s="364" t="s">
        <v>1697</v>
      </c>
      <c r="C34" s="399" t="s">
        <v>3394</v>
      </c>
      <c r="D34" s="374">
        <v>100</v>
      </c>
      <c r="E34" s="399" t="s">
        <v>3394</v>
      </c>
      <c r="F34" s="400">
        <f>SUMIF(105:105,E34,106:106)-SUMIF(105:105,C34,106:106)+100</f>
        <v>100</v>
      </c>
      <c r="G34" s="399" t="s">
        <v>3394</v>
      </c>
      <c r="H34" s="374">
        <f>SUMIF(105:105,G34,106:106)-SUMIF(105:105,C34,106:106)+100</f>
        <v>100</v>
      </c>
      <c r="I34" s="399" t="s">
        <v>3394</v>
      </c>
      <c r="J34" s="374">
        <f>SUMIF(105:105,I34,106:106)-SUMIF(105:105,C34,106:106)+100</f>
        <v>100</v>
      </c>
      <c r="K34" s="365">
        <v>2</v>
      </c>
      <c r="L34" s="2492"/>
      <c r="M34" s="2487"/>
      <c r="N34" s="2487"/>
      <c r="O34" s="2487"/>
      <c r="P34" s="3554"/>
      <c r="Q34" s="1263" t="str">
        <f t="shared" si="11"/>
        <v>建筑结构</v>
      </c>
      <c r="R34" s="667" t="s">
        <v>18</v>
      </c>
      <c r="S34" s="668">
        <f t="shared" si="12"/>
        <v>100</v>
      </c>
      <c r="T34" s="667" t="s">
        <v>18</v>
      </c>
      <c r="U34" s="668">
        <f t="shared" si="13"/>
        <v>100</v>
      </c>
      <c r="V34" s="667" t="s">
        <v>18</v>
      </c>
      <c r="W34" s="668">
        <f t="shared" si="14"/>
        <v>100</v>
      </c>
      <c r="X34" s="1265"/>
      <c r="Y34" s="3556"/>
      <c r="Z34" s="1264" t="str">
        <f t="shared" si="18"/>
        <v>建筑结构</v>
      </c>
      <c r="AA34" s="1264">
        <f t="shared" si="15"/>
        <v>1</v>
      </c>
      <c r="AB34" s="1264">
        <f t="shared" si="16"/>
        <v>1</v>
      </c>
      <c r="AC34" s="1264">
        <f t="shared" si="17"/>
        <v>1</v>
      </c>
    </row>
    <row r="35" spans="1:29" ht="15">
      <c r="A35" s="409"/>
      <c r="B35" s="364" t="s">
        <v>1698</v>
      </c>
      <c r="C35" s="1760" t="s">
        <v>3600</v>
      </c>
      <c r="D35" s="374">
        <v>100</v>
      </c>
      <c r="E35" s="1760" t="s">
        <v>3600</v>
      </c>
      <c r="F35" s="400">
        <f>SUMIF(107:107,E35,108:108)-SUMIF(107:107,C35,108:108)+100</f>
        <v>100</v>
      </c>
      <c r="G35" s="1760" t="s">
        <v>3600</v>
      </c>
      <c r="H35" s="374">
        <f>SUMIF(107:107,G35,108:108)-SUMIF(107:107,C35,108:108)+100</f>
        <v>100</v>
      </c>
      <c r="I35" s="1760" t="s">
        <v>3600</v>
      </c>
      <c r="J35" s="374">
        <f>SUMIF(107:107,I35,108:108)-SUMIF(107:107,C35,108:108)+100</f>
        <v>100</v>
      </c>
      <c r="K35" s="365">
        <v>2</v>
      </c>
      <c r="L35" s="2492"/>
      <c r="M35" s="2487"/>
      <c r="N35" s="2487"/>
      <c r="O35" s="2487"/>
      <c r="P35" s="3554"/>
      <c r="Q35" s="1263" t="str">
        <f t="shared" si="11"/>
        <v>建筑品质</v>
      </c>
      <c r="R35" s="667" t="s">
        <v>18</v>
      </c>
      <c r="S35" s="668">
        <f t="shared" si="12"/>
        <v>100</v>
      </c>
      <c r="T35" s="667" t="s">
        <v>18</v>
      </c>
      <c r="U35" s="668">
        <f t="shared" si="13"/>
        <v>100</v>
      </c>
      <c r="V35" s="667" t="s">
        <v>18</v>
      </c>
      <c r="W35" s="668">
        <f t="shared" si="14"/>
        <v>100</v>
      </c>
      <c r="X35" s="1265"/>
      <c r="Y35" s="3556"/>
      <c r="Z35" s="1264" t="str">
        <f t="shared" si="18"/>
        <v>建筑品质</v>
      </c>
      <c r="AA35" s="1264">
        <f t="shared" si="15"/>
        <v>1</v>
      </c>
      <c r="AB35" s="1264">
        <f t="shared" si="16"/>
        <v>1</v>
      </c>
      <c r="AC35" s="1264">
        <f t="shared" si="17"/>
        <v>1</v>
      </c>
    </row>
    <row r="36" spans="1:29" ht="15">
      <c r="A36" s="409"/>
      <c r="B36" s="364" t="s">
        <v>1699</v>
      </c>
      <c r="C36" s="1760" t="s">
        <v>4228</v>
      </c>
      <c r="D36" s="374">
        <v>100</v>
      </c>
      <c r="E36" s="1760" t="s">
        <v>4228</v>
      </c>
      <c r="F36" s="400">
        <f>SUMIF(109:109,E36,110:110)-SUMIF(109:109,C36,110:110)+100</f>
        <v>100</v>
      </c>
      <c r="G36" s="1760" t="s">
        <v>4228</v>
      </c>
      <c r="H36" s="374">
        <f>SUMIF(109:109,G36,110:110)-SUMIF(109:109,C36,110:110)+100</f>
        <v>100</v>
      </c>
      <c r="I36" s="1761" t="s">
        <v>4228</v>
      </c>
      <c r="J36" s="374">
        <f>SUMIF(109:109,I36,110:110)-SUMIF(109:109,C36,110:110)+100</f>
        <v>100</v>
      </c>
      <c r="K36" s="365">
        <v>2</v>
      </c>
      <c r="L36" s="2492"/>
      <c r="M36" s="2487"/>
      <c r="N36" s="2487"/>
      <c r="O36" s="2487"/>
      <c r="P36" s="3554"/>
      <c r="Q36" s="1263" t="str">
        <f t="shared" si="11"/>
        <v>公共部分装修</v>
      </c>
      <c r="R36" s="667" t="s">
        <v>18</v>
      </c>
      <c r="S36" s="668">
        <f t="shared" si="12"/>
        <v>100</v>
      </c>
      <c r="T36" s="667" t="s">
        <v>18</v>
      </c>
      <c r="U36" s="668">
        <f t="shared" si="13"/>
        <v>100</v>
      </c>
      <c r="V36" s="667" t="s">
        <v>18</v>
      </c>
      <c r="W36" s="668">
        <f t="shared" si="14"/>
        <v>100</v>
      </c>
      <c r="X36" s="1265"/>
      <c r="Y36" s="3556"/>
      <c r="Z36" s="1264" t="str">
        <f t="shared" si="18"/>
        <v>公共部分装修</v>
      </c>
      <c r="AA36" s="1264">
        <f t="shared" si="15"/>
        <v>1</v>
      </c>
      <c r="AB36" s="1264">
        <f t="shared" si="16"/>
        <v>1</v>
      </c>
      <c r="AC36" s="1264">
        <f t="shared" si="17"/>
        <v>1</v>
      </c>
    </row>
    <row r="37" spans="1:29" s="102" customFormat="1" ht="15" hidden="1">
      <c r="A37" s="410"/>
      <c r="B37" s="364" t="s">
        <v>1700</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8"/>
      <c r="M37" s="2439"/>
      <c r="N37" s="2439"/>
      <c r="O37" s="2439"/>
      <c r="P37" s="3554"/>
      <c r="Q37" s="530" t="str">
        <f t="shared" si="11"/>
        <v>成新度</v>
      </c>
      <c r="R37" s="664" t="s">
        <v>18</v>
      </c>
      <c r="S37" s="665">
        <f t="shared" si="12"/>
        <v>100</v>
      </c>
      <c r="T37" s="664" t="s">
        <v>18</v>
      </c>
      <c r="U37" s="665">
        <f t="shared" si="13"/>
        <v>100</v>
      </c>
      <c r="V37" s="664" t="s">
        <v>18</v>
      </c>
      <c r="W37" s="665">
        <f t="shared" si="14"/>
        <v>100</v>
      </c>
      <c r="X37" s="666"/>
      <c r="Y37" s="3556"/>
      <c r="Z37" s="50" t="str">
        <f t="shared" si="18"/>
        <v>成新度</v>
      </c>
      <c r="AA37" s="50">
        <f t="shared" si="15"/>
        <v>1</v>
      </c>
      <c r="AB37" s="50">
        <f t="shared" si="16"/>
        <v>1</v>
      </c>
      <c r="AC37" s="50">
        <f t="shared" si="17"/>
        <v>1</v>
      </c>
    </row>
    <row r="38" spans="1:29" ht="15">
      <c r="A38" s="409"/>
      <c r="B38" s="364" t="s">
        <v>1701</v>
      </c>
      <c r="C38" s="1760" t="s">
        <v>4259</v>
      </c>
      <c r="D38" s="374">
        <v>100</v>
      </c>
      <c r="E38" s="1760" t="s">
        <v>4259</v>
      </c>
      <c r="F38" s="400">
        <f>SUMIF(114:114,E38,115:115)-SUMIF(114:114,C38,115:115)+100</f>
        <v>100</v>
      </c>
      <c r="G38" s="1760" t="s">
        <v>4259</v>
      </c>
      <c r="H38" s="374">
        <f>SUMIF(114:114,G38,115:115)-SUMIF(114:114,C38,115:115)+100</f>
        <v>100</v>
      </c>
      <c r="I38" s="1760" t="s">
        <v>4259</v>
      </c>
      <c r="J38" s="374">
        <f>SUMIF(114:114,I38,115:115)-SUMIF(114:114,C38,115:115)+100</f>
        <v>100</v>
      </c>
      <c r="K38" s="365">
        <v>2</v>
      </c>
      <c r="L38" s="2492"/>
      <c r="M38" s="2487"/>
      <c r="N38" s="2487"/>
      <c r="O38" s="2487"/>
      <c r="P38" s="3554" t="s">
        <v>1695</v>
      </c>
      <c r="Q38" s="1263" t="str">
        <f t="shared" si="11"/>
        <v>物业管理</v>
      </c>
      <c r="R38" s="667" t="s">
        <v>18</v>
      </c>
      <c r="S38" s="668">
        <f t="shared" si="12"/>
        <v>100</v>
      </c>
      <c r="T38" s="667" t="s">
        <v>18</v>
      </c>
      <c r="U38" s="668">
        <f t="shared" si="13"/>
        <v>100</v>
      </c>
      <c r="V38" s="667" t="s">
        <v>18</v>
      </c>
      <c r="W38" s="668">
        <f t="shared" si="14"/>
        <v>100</v>
      </c>
      <c r="X38" s="1265"/>
      <c r="Y38" s="3556" t="s">
        <v>1695</v>
      </c>
      <c r="Z38" s="1264" t="str">
        <f t="shared" si="18"/>
        <v>物业管理</v>
      </c>
      <c r="AA38" s="1264">
        <f t="shared" si="15"/>
        <v>1</v>
      </c>
      <c r="AB38" s="1264">
        <f t="shared" si="16"/>
        <v>1</v>
      </c>
      <c r="AC38" s="1264">
        <f t="shared" si="17"/>
        <v>1</v>
      </c>
    </row>
    <row r="39" spans="1:29" ht="15">
      <c r="A39" s="409"/>
      <c r="B39" s="364" t="s">
        <v>1702</v>
      </c>
      <c r="C39" s="1760" t="s">
        <v>3601</v>
      </c>
      <c r="D39" s="374">
        <v>100</v>
      </c>
      <c r="E39" s="1760" t="s">
        <v>3601</v>
      </c>
      <c r="F39" s="400">
        <f>SUMIF(116:116,E39,117:117)-SUMIF(116:116,C39,117:117)+100</f>
        <v>100</v>
      </c>
      <c r="G39" s="1760" t="s">
        <v>3601</v>
      </c>
      <c r="H39" s="374">
        <f>SUMIF(116:116,G39,117:117)-SUMIF(116:116,C39,117:117)+100</f>
        <v>100</v>
      </c>
      <c r="I39" s="1760" t="s">
        <v>3601</v>
      </c>
      <c r="J39" s="374">
        <f>SUMIF(116:116,I39,117:117)-SUMIF(116:116,C39,117:117)+100</f>
        <v>100</v>
      </c>
      <c r="K39" s="365">
        <v>1</v>
      </c>
      <c r="L39" s="2492"/>
      <c r="M39" s="2487"/>
      <c r="N39" s="2487"/>
      <c r="O39" s="2487"/>
      <c r="P39" s="3554"/>
      <c r="Q39" s="1263" t="str">
        <f t="shared" si="11"/>
        <v>市政基础设施</v>
      </c>
      <c r="R39" s="667" t="s">
        <v>18</v>
      </c>
      <c r="S39" s="668">
        <f t="shared" si="12"/>
        <v>100</v>
      </c>
      <c r="T39" s="667" t="s">
        <v>18</v>
      </c>
      <c r="U39" s="668">
        <f t="shared" si="13"/>
        <v>100</v>
      </c>
      <c r="V39" s="667" t="s">
        <v>18</v>
      </c>
      <c r="W39" s="668">
        <f t="shared" si="14"/>
        <v>100</v>
      </c>
      <c r="X39" s="1265"/>
      <c r="Y39" s="3556"/>
      <c r="Z39" s="1264" t="str">
        <f t="shared" si="18"/>
        <v>市政基础设施</v>
      </c>
      <c r="AA39" s="1264">
        <f t="shared" si="15"/>
        <v>1</v>
      </c>
      <c r="AB39" s="1264">
        <f t="shared" si="16"/>
        <v>1</v>
      </c>
      <c r="AC39" s="1264">
        <f t="shared" si="17"/>
        <v>1</v>
      </c>
    </row>
    <row r="40" spans="1:29" ht="15">
      <c r="A40" s="409"/>
      <c r="B40" s="364" t="s">
        <v>1703</v>
      </c>
      <c r="C40" s="1760" t="s">
        <v>3412</v>
      </c>
      <c r="D40" s="374">
        <v>100</v>
      </c>
      <c r="E40" s="1760" t="s">
        <v>3412</v>
      </c>
      <c r="F40" s="400">
        <f>SUMIF(118:118,E40,119:119)-SUMIF(118:118,C40,119:119)+100</f>
        <v>100</v>
      </c>
      <c r="G40" s="1760" t="s">
        <v>3412</v>
      </c>
      <c r="H40" s="374">
        <f>SUMIF(118:118,G40,119:119)-SUMIF(118:118,C40,119:119)+100</f>
        <v>100</v>
      </c>
      <c r="I40" s="1760" t="s">
        <v>3412</v>
      </c>
      <c r="J40" s="374">
        <f>SUMIF(118:118,I40,119:119)-SUMIF(118:118,C40,119:119)+100</f>
        <v>100</v>
      </c>
      <c r="K40" s="365">
        <v>1</v>
      </c>
      <c r="L40" s="2492"/>
      <c r="M40" s="2487"/>
      <c r="N40" s="2487"/>
      <c r="O40" s="2487"/>
      <c r="P40" s="3554"/>
      <c r="Q40" s="1263" t="str">
        <f t="shared" si="11"/>
        <v>房型</v>
      </c>
      <c r="R40" s="667" t="s">
        <v>18</v>
      </c>
      <c r="S40" s="668">
        <f t="shared" si="12"/>
        <v>100</v>
      </c>
      <c r="T40" s="667" t="s">
        <v>18</v>
      </c>
      <c r="U40" s="668">
        <f t="shared" si="13"/>
        <v>100</v>
      </c>
      <c r="V40" s="667" t="s">
        <v>18</v>
      </c>
      <c r="W40" s="668">
        <f t="shared" si="14"/>
        <v>100</v>
      </c>
      <c r="X40" s="1265"/>
      <c r="Y40" s="3556"/>
      <c r="Z40" s="1264" t="str">
        <f t="shared" si="18"/>
        <v>房型</v>
      </c>
      <c r="AA40" s="1264">
        <f t="shared" si="15"/>
        <v>1</v>
      </c>
      <c r="AB40" s="1264">
        <f t="shared" si="16"/>
        <v>1</v>
      </c>
      <c r="AC40" s="1264">
        <f t="shared" si="17"/>
        <v>1</v>
      </c>
    </row>
    <row r="41" spans="1:29" s="408" customFormat="1" ht="28.8" hidden="1">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54"/>
      <c r="Q41" s="531" t="str">
        <f t="shared" si="11"/>
        <v>单套/主力户型建筑面积</v>
      </c>
      <c r="R41" s="669" t="s">
        <v>18</v>
      </c>
      <c r="S41" s="670">
        <f t="shared" si="12"/>
        <v>100</v>
      </c>
      <c r="T41" s="669" t="s">
        <v>18</v>
      </c>
      <c r="U41" s="670">
        <f t="shared" si="13"/>
        <v>100</v>
      </c>
      <c r="V41" s="669" t="s">
        <v>18</v>
      </c>
      <c r="W41" s="670">
        <f t="shared" si="14"/>
        <v>100</v>
      </c>
      <c r="X41" s="671"/>
      <c r="Y41" s="3556"/>
      <c r="Z41" s="672" t="str">
        <f t="shared" si="18"/>
        <v>单套/主力户型建筑面积</v>
      </c>
      <c r="AA41" s="1264">
        <f t="shared" si="15"/>
        <v>1</v>
      </c>
      <c r="AB41" s="1264">
        <f t="shared" si="16"/>
        <v>1</v>
      </c>
      <c r="AC41" s="1264">
        <f t="shared" si="17"/>
        <v>1</v>
      </c>
    </row>
    <row r="42" spans="1:29" ht="15">
      <c r="A42" s="409"/>
      <c r="B42" s="364" t="s">
        <v>1705</v>
      </c>
      <c r="C42" s="1760" t="s">
        <v>4226</v>
      </c>
      <c r="D42" s="374">
        <v>100</v>
      </c>
      <c r="E42" s="1760" t="s">
        <v>4226</v>
      </c>
      <c r="F42" s="400">
        <f>SUMIF(122:122,E42,123:123)-SUMIF(122:122,C42,123:123)+100</f>
        <v>100</v>
      </c>
      <c r="G42" s="1760" t="s">
        <v>4226</v>
      </c>
      <c r="H42" s="374">
        <f>SUMIF(122:122,G42,123:123)-SUMIF(122:122,C42,123:123)+100</f>
        <v>100</v>
      </c>
      <c r="I42" s="1760" t="s">
        <v>4226</v>
      </c>
      <c r="J42" s="374">
        <f>SUMIF(122:122,I42,123:123)-SUMIF(122:122,C42,123:123)+100</f>
        <v>100</v>
      </c>
      <c r="K42" s="365">
        <v>2</v>
      </c>
      <c r="L42" s="2492"/>
      <c r="M42" s="2487"/>
      <c r="N42" s="2487"/>
      <c r="O42" s="2487"/>
      <c r="P42" s="3554"/>
      <c r="Q42" s="1263" t="str">
        <f t="shared" si="11"/>
        <v>内部装修</v>
      </c>
      <c r="R42" s="667" t="s">
        <v>18</v>
      </c>
      <c r="S42" s="668">
        <f t="shared" si="12"/>
        <v>100</v>
      </c>
      <c r="T42" s="667" t="s">
        <v>18</v>
      </c>
      <c r="U42" s="668">
        <f t="shared" si="13"/>
        <v>100</v>
      </c>
      <c r="V42" s="667" t="s">
        <v>18</v>
      </c>
      <c r="W42" s="668">
        <f t="shared" si="14"/>
        <v>100</v>
      </c>
      <c r="X42" s="1265"/>
      <c r="Y42" s="3556"/>
      <c r="Z42" s="1264" t="str">
        <f t="shared" si="18"/>
        <v>内部装修</v>
      </c>
      <c r="AA42" s="1264">
        <f t="shared" si="15"/>
        <v>1</v>
      </c>
      <c r="AB42" s="1264">
        <f t="shared" si="16"/>
        <v>1</v>
      </c>
      <c r="AC42" s="1264">
        <f t="shared" si="17"/>
        <v>1</v>
      </c>
    </row>
    <row r="43" spans="1:29" ht="28.8">
      <c r="A43" s="409"/>
      <c r="B43" s="364" t="s">
        <v>1706</v>
      </c>
      <c r="C43" s="1760" t="s">
        <v>4272</v>
      </c>
      <c r="D43" s="374">
        <v>100</v>
      </c>
      <c r="E43" s="1760" t="s">
        <v>4272</v>
      </c>
      <c r="F43" s="400">
        <f>SUMIF(124:124,E43,125:125)-SUMIF(124:124,C43,125:125)+100</f>
        <v>100</v>
      </c>
      <c r="G43" s="1760" t="s">
        <v>4272</v>
      </c>
      <c r="H43" s="374">
        <f>SUMIF(124:124,G43,125:125)-SUMIF(124:124,C43,125:125)+100</f>
        <v>100</v>
      </c>
      <c r="I43" s="1760" t="s">
        <v>4272</v>
      </c>
      <c r="J43" s="374">
        <f>SUMIF(124:124,I43,125:125)-SUMIF(124:124,C43,125:125)+100</f>
        <v>100</v>
      </c>
      <c r="K43" s="365">
        <v>2</v>
      </c>
      <c r="L43" s="2492"/>
      <c r="M43" s="2487"/>
      <c r="N43" s="2487"/>
      <c r="O43" s="2487"/>
      <c r="P43" s="3554"/>
      <c r="Q43" s="1263" t="str">
        <f t="shared" si="11"/>
        <v>内部装修维护情况</v>
      </c>
      <c r="R43" s="667" t="s">
        <v>18</v>
      </c>
      <c r="S43" s="668">
        <f t="shared" si="12"/>
        <v>100</v>
      </c>
      <c r="T43" s="667" t="s">
        <v>18</v>
      </c>
      <c r="U43" s="668">
        <f t="shared" si="13"/>
        <v>100</v>
      </c>
      <c r="V43" s="667" t="s">
        <v>18</v>
      </c>
      <c r="W43" s="668">
        <f t="shared" si="14"/>
        <v>100</v>
      </c>
      <c r="X43" s="1265"/>
      <c r="Y43" s="3556"/>
      <c r="Z43" s="1264" t="str">
        <f t="shared" si="18"/>
        <v>内部装修维护情况</v>
      </c>
      <c r="AA43" s="1264">
        <f t="shared" si="15"/>
        <v>1</v>
      </c>
      <c r="AB43" s="1264">
        <f t="shared" si="16"/>
        <v>1</v>
      </c>
      <c r="AC43" s="1264">
        <f t="shared" si="17"/>
        <v>1</v>
      </c>
    </row>
    <row r="44" spans="1:29" s="102" customFormat="1" ht="15.6" thickBot="1">
      <c r="A44" s="410"/>
      <c r="B44" s="3203" t="s">
        <v>4222</v>
      </c>
      <c r="C44" s="407">
        <v>1998</v>
      </c>
      <c r="D44" s="119">
        <v>100</v>
      </c>
      <c r="E44" s="407">
        <v>2000</v>
      </c>
      <c r="F44" s="364">
        <f>SUMIF(126:126,E44,127:127)-SUMIF(126:126,C44,127:127)+100</f>
        <v>100.2</v>
      </c>
      <c r="G44" s="407">
        <v>2011</v>
      </c>
      <c r="H44" s="119">
        <f>SUMIF(126:126,G44,127:127)-SUMIF(126:126,C44,127:127)+100</f>
        <v>101.3</v>
      </c>
      <c r="I44" s="407">
        <v>2005</v>
      </c>
      <c r="J44" s="119">
        <f>SUMIF(126:126,I44,127:127)-SUMIF(126:126,C44,127:127)+100</f>
        <v>100.7</v>
      </c>
      <c r="K44" s="1748"/>
      <c r="L44" s="2488"/>
      <c r="M44" s="2439"/>
      <c r="N44" s="2439"/>
      <c r="O44" s="2439"/>
      <c r="P44" s="3554"/>
      <c r="Q44" s="530" t="str">
        <f t="shared" si="11"/>
        <v>建成年份</v>
      </c>
      <c r="R44" s="664" t="s">
        <v>18</v>
      </c>
      <c r="S44" s="665">
        <f t="shared" si="12"/>
        <v>100.2</v>
      </c>
      <c r="T44" s="664" t="s">
        <v>18</v>
      </c>
      <c r="U44" s="665">
        <f t="shared" si="13"/>
        <v>101.3</v>
      </c>
      <c r="V44" s="664" t="s">
        <v>18</v>
      </c>
      <c r="W44" s="665">
        <f t="shared" si="14"/>
        <v>100.7</v>
      </c>
      <c r="X44" s="666"/>
      <c r="Y44" s="3556"/>
      <c r="Z44" s="50" t="str">
        <f t="shared" si="18"/>
        <v>建成年份</v>
      </c>
      <c r="AA44" s="50">
        <f t="shared" si="15"/>
        <v>0.99800399201596801</v>
      </c>
      <c r="AB44" s="50">
        <f t="shared" si="16"/>
        <v>0.98716683119447191</v>
      </c>
      <c r="AC44" s="50">
        <f t="shared" si="17"/>
        <v>0.99304865938430975</v>
      </c>
    </row>
    <row r="45" spans="1:29" ht="15.6"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54"/>
      <c r="Q45" s="1263">
        <f t="shared" si="11"/>
        <v>111</v>
      </c>
      <c r="R45" s="667" t="s">
        <v>18</v>
      </c>
      <c r="S45" s="668">
        <f t="shared" si="12"/>
        <v>100</v>
      </c>
      <c r="T45" s="667" t="s">
        <v>18</v>
      </c>
      <c r="U45" s="668">
        <f t="shared" si="13"/>
        <v>100</v>
      </c>
      <c r="V45" s="667" t="s">
        <v>18</v>
      </c>
      <c r="W45" s="668">
        <f t="shared" si="14"/>
        <v>100</v>
      </c>
      <c r="X45" s="1265"/>
      <c r="Y45" s="3556"/>
      <c r="Z45" s="1264">
        <f t="shared" si="18"/>
        <v>111</v>
      </c>
      <c r="AA45" s="1264">
        <f t="shared" si="15"/>
        <v>1</v>
      </c>
      <c r="AB45" s="1264">
        <f t="shared" si="16"/>
        <v>1</v>
      </c>
      <c r="AC45" s="1264">
        <f t="shared" si="17"/>
        <v>1</v>
      </c>
    </row>
    <row r="46" spans="1:29" ht="15.6"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55"/>
      <c r="Q46" s="1263">
        <f t="shared" si="11"/>
        <v>111</v>
      </c>
      <c r="R46" s="667" t="s">
        <v>17</v>
      </c>
      <c r="S46" s="668">
        <f t="shared" si="12"/>
        <v>100</v>
      </c>
      <c r="T46" s="667" t="s">
        <v>17</v>
      </c>
      <c r="U46" s="668">
        <f t="shared" si="13"/>
        <v>100</v>
      </c>
      <c r="V46" s="667" t="s">
        <v>17</v>
      </c>
      <c r="W46" s="668">
        <f t="shared" si="14"/>
        <v>100</v>
      </c>
      <c r="X46" s="1265"/>
      <c r="Y46" s="3557"/>
      <c r="Z46" s="1264">
        <f t="shared" si="18"/>
        <v>111</v>
      </c>
      <c r="AA46" s="1264">
        <f t="shared" si="15"/>
        <v>1</v>
      </c>
      <c r="AB46" s="1264">
        <f t="shared" si="16"/>
        <v>1</v>
      </c>
      <c r="AC46" s="1264">
        <f t="shared" si="17"/>
        <v>1</v>
      </c>
    </row>
    <row r="47" spans="1:29" ht="14.4">
      <c r="A47" s="416" t="s">
        <v>1707</v>
      </c>
      <c r="B47" s="417"/>
      <c r="C47" s="1081" t="s">
        <v>16</v>
      </c>
      <c r="D47" s="418"/>
      <c r="E47" s="3209">
        <v>72464</v>
      </c>
      <c r="F47" s="3204"/>
      <c r="G47" s="3210">
        <v>70771</v>
      </c>
      <c r="H47" s="3205"/>
      <c r="I47" s="3209">
        <v>65941</v>
      </c>
      <c r="J47" s="3205"/>
      <c r="K47" s="1766"/>
      <c r="L47" s="2494"/>
      <c r="M47" s="2487"/>
      <c r="N47" s="2487"/>
      <c r="O47" s="2487"/>
      <c r="P47" s="3550" t="str">
        <f>A47</f>
        <v>成交单价（元/平方米）</v>
      </c>
      <c r="Q47" s="3550"/>
      <c r="R47" s="3545">
        <f>E47</f>
        <v>72464</v>
      </c>
      <c r="S47" s="3545"/>
      <c r="T47" s="3545">
        <f>G47</f>
        <v>70771</v>
      </c>
      <c r="U47" s="3545"/>
      <c r="V47" s="3545">
        <f>I47</f>
        <v>65941</v>
      </c>
      <c r="W47" s="3545"/>
      <c r="X47" s="385"/>
      <c r="Y47" s="673"/>
      <c r="Z47" s="385"/>
      <c r="AA47" s="385"/>
      <c r="AB47" s="385"/>
      <c r="AC47" s="385"/>
    </row>
    <row r="48" spans="1:29" ht="15" thickBot="1">
      <c r="A48" s="423" t="s">
        <v>1708</v>
      </c>
      <c r="B48" s="424"/>
      <c r="C48" s="1082">
        <f>R49</f>
        <v>68706</v>
      </c>
      <c r="D48" s="2140" t="s">
        <v>2137</v>
      </c>
      <c r="E48" s="1083">
        <f>R48</f>
        <v>70577</v>
      </c>
      <c r="F48" s="2141"/>
      <c r="G48" s="1082">
        <f>T48</f>
        <v>68847</v>
      </c>
      <c r="H48" s="2141"/>
      <c r="I48" s="1083">
        <f>V48</f>
        <v>66694</v>
      </c>
      <c r="J48" s="2141"/>
      <c r="K48" s="2142">
        <f>F48+H48+J48</f>
        <v>0</v>
      </c>
      <c r="L48" s="2494"/>
      <c r="M48" s="2487"/>
      <c r="N48" s="2487"/>
      <c r="O48" s="2487"/>
      <c r="P48" s="3550" t="str">
        <f>A48</f>
        <v>比较价值（元/平方米）</v>
      </c>
      <c r="Q48" s="3550"/>
      <c r="R48" s="3545">
        <f>IF(F1="售价",ROUND(PRODUCT(R47,AA7:AA46),0),ROUND(PRODUCT(R47,AA7:AA46),1))</f>
        <v>70577</v>
      </c>
      <c r="S48" s="3545"/>
      <c r="T48" s="3545">
        <f>IF(F1="售价",ROUND(PRODUCT(T47,AB7:AB46),0),ROUND(PRODUCT(T47,AB7:AB46),1))</f>
        <v>68847</v>
      </c>
      <c r="U48" s="3545"/>
      <c r="V48" s="3545">
        <f>IF(F1="售价",ROUND(PRODUCT(V47,AC7:AC46),0),ROUND(PRODUCT(V47,AC7:AC46),1))</f>
        <v>66694</v>
      </c>
      <c r="W48" s="3545"/>
      <c r="X48" s="385"/>
      <c r="Y48" s="385"/>
      <c r="Z48" s="385"/>
      <c r="AA48" s="385"/>
      <c r="AB48" s="385"/>
      <c r="AC48" s="385"/>
    </row>
    <row r="49" spans="1:29" ht="15" thickBot="1">
      <c r="A49" s="427" t="s">
        <v>1709</v>
      </c>
      <c r="B49" s="428"/>
      <c r="C49" s="1084">
        <f>R49</f>
        <v>68706</v>
      </c>
      <c r="D49" s="351"/>
      <c r="E49" s="351"/>
      <c r="F49" s="351"/>
      <c r="G49" s="351"/>
      <c r="H49" s="351"/>
      <c r="I49" s="351"/>
      <c r="J49" s="351"/>
      <c r="K49" s="1767"/>
      <c r="L49" s="2494"/>
      <c r="M49" s="2487"/>
      <c r="N49" s="2487"/>
      <c r="O49" s="2487"/>
      <c r="P49" s="3547" t="str">
        <f>A49</f>
        <v>估价对象XX用房的比较价值（楼面单价，元/平方米）</v>
      </c>
      <c r="Q49" s="3548"/>
      <c r="R49" s="3549">
        <f>IF(F1="售价",ROUND(IF(D48="简单平均",AVERAGE(R48:V48),R48*F48+T48*H48+V48*J48),0),ROUND(IF(D48="简单平均",AVERAGE(R48:V48),R48*F48+T48*H48+V48*J48),1))</f>
        <v>68706</v>
      </c>
      <c r="S49" s="3549"/>
      <c r="T49" s="3549"/>
      <c r="U49" s="3549"/>
      <c r="V49" s="3549"/>
      <c r="W49" s="35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f>IF(E47&lt;E48,E48/E47-1,E47/E48-1)</f>
        <v>2.6736755600266449E-2</v>
      </c>
      <c r="F52" s="435" t="str">
        <f>IF(OR(E52&gt;=0.3,E52&lt;=-0.3),"超过30%","")</f>
        <v/>
      </c>
      <c r="G52" s="434">
        <f>IF(G47&lt;G48,G48/G47-1,G47/G48-1)</f>
        <v>2.7946025244382389E-2</v>
      </c>
      <c r="H52" s="435" t="str">
        <f>IF(OR(G52&gt;=0.3,G52&lt;=-0.3),"超过30%","")</f>
        <v/>
      </c>
      <c r="I52" s="434">
        <f>IF(I47&lt;I48,I48/I47-1,I47/I48-1)</f>
        <v>1.1419299070381195E-2</v>
      </c>
      <c r="J52" s="435" t="str">
        <f>IF(OR(I52&gt;=0.3,I52&lt;=-0.3),"超过30%","")</f>
        <v/>
      </c>
      <c r="K52" s="2499"/>
      <c r="L52" s="2495"/>
      <c r="M52" s="2487"/>
      <c r="N52" s="2487"/>
      <c r="O52" s="2487"/>
    </row>
    <row r="53" spans="1:29" ht="13.5" customHeight="1">
      <c r="A53" s="2487"/>
      <c r="B53" s="2487"/>
      <c r="C53" s="432" t="s">
        <v>1711</v>
      </c>
      <c r="D53" s="436"/>
      <c r="E53" s="434">
        <f>IF(E48&lt;G48,G48/E48-1,E48/G48-1)</f>
        <v>2.5128182782111042E-2</v>
      </c>
      <c r="F53" s="435" t="str">
        <f>IF(OR(E53&gt;=0.2,E53&lt;=-0.2),"超过20%","")</f>
        <v/>
      </c>
      <c r="G53" s="434">
        <f>IF(G48&lt;I48,I48/G48-1,G48/I48-1)</f>
        <v>3.2281764476564501E-2</v>
      </c>
      <c r="H53" s="435" t="str">
        <f>IF(OR(G53&gt;=0.2,G53&lt;=-0.2),"超过20%","")</f>
        <v/>
      </c>
      <c r="I53" s="434">
        <f>IF(I48&lt;E48,E48/I48-1,I48/E48-1)</f>
        <v>5.8221129336971877E-2</v>
      </c>
      <c r="J53" s="435" t="str">
        <f>IF(OR(I53&gt;=0.2,I53&lt;=-0.2),"超过20%","")</f>
        <v/>
      </c>
      <c r="K53" s="2499"/>
      <c r="L53" s="2495"/>
      <c r="M53" s="2487"/>
      <c r="N53" s="2487"/>
      <c r="O53" s="2487"/>
    </row>
    <row r="54" spans="1:29" s="437" customFormat="1" ht="13.5" customHeight="1">
      <c r="A54" s="2497"/>
      <c r="B54" s="2497"/>
      <c r="C54" s="432" t="s">
        <v>1712</v>
      </c>
      <c r="D54" s="436"/>
      <c r="E54" s="434">
        <f>IF(E47&lt;G47,G47/E47-1,E47/G47-1)</f>
        <v>2.3922228031255655E-2</v>
      </c>
      <c r="F54" s="435" t="str">
        <f>IF(OR(E54&gt;=0.3,E54&lt;=-0.3),"超过30%","")</f>
        <v/>
      </c>
      <c r="G54" s="434">
        <f>IF(G47&lt;I47,I47/G47-1,G47/I47-1)</f>
        <v>7.3247296825950547E-2</v>
      </c>
      <c r="H54" s="435" t="str">
        <f>IF(OR(G54&gt;=0.3,G54&lt;=-0.3),"超过30%","")</f>
        <v/>
      </c>
      <c r="I54" s="434">
        <f>IF(I47&lt;E47,E47/I47-1,I47/E47-1)</f>
        <v>9.8921763394549611E-2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1713</v>
      </c>
      <c r="B57" s="385"/>
      <c r="C57" s="659"/>
      <c r="D57" s="659"/>
      <c r="E57" s="659"/>
      <c r="F57" s="660"/>
      <c r="G57" s="660"/>
      <c r="H57" s="659"/>
      <c r="I57" s="659"/>
      <c r="J57" s="659"/>
      <c r="K57" s="887"/>
      <c r="L57" s="888"/>
      <c r="M57" s="886"/>
      <c r="N57" s="886"/>
      <c r="O57" s="886"/>
      <c r="P57" s="1770"/>
      <c r="Q57" s="439"/>
    </row>
    <row r="58" spans="1:29" s="442" customFormat="1" ht="14.4">
      <c r="A58" s="440" t="s">
        <v>1714</v>
      </c>
      <c r="B58" s="441"/>
      <c r="C58" s="1105" t="str">
        <f>YEAR(C7)&amp;"-"&amp;MONTH(C7)</f>
        <v>2017-12</v>
      </c>
      <c r="D58" s="1104">
        <f>EDATE(C58,-1)</f>
        <v>43040</v>
      </c>
      <c r="E58" s="1104">
        <f>EDATE(D58,-1)</f>
        <v>43009</v>
      </c>
      <c r="F58" s="1104">
        <f t="shared" ref="F58:O58" si="19">EDATE(E58,-1)</f>
        <v>42979</v>
      </c>
      <c r="G58" s="1104">
        <f t="shared" si="19"/>
        <v>42948</v>
      </c>
      <c r="H58" s="1104">
        <f t="shared" si="19"/>
        <v>42917</v>
      </c>
      <c r="I58" s="1104">
        <f t="shared" si="19"/>
        <v>42887</v>
      </c>
      <c r="J58" s="1104">
        <f t="shared" si="19"/>
        <v>42856</v>
      </c>
      <c r="K58" s="1104">
        <f t="shared" si="19"/>
        <v>42826</v>
      </c>
      <c r="L58" s="1104">
        <f t="shared" si="19"/>
        <v>42795</v>
      </c>
      <c r="M58" s="1104">
        <f t="shared" si="19"/>
        <v>42767</v>
      </c>
      <c r="N58" s="1104">
        <f t="shared" si="19"/>
        <v>42736</v>
      </c>
      <c r="O58" s="1104">
        <f t="shared" si="19"/>
        <v>42705</v>
      </c>
      <c r="P58" s="1100"/>
    </row>
    <row r="59" spans="1:29" s="102" customFormat="1">
      <c r="A59" s="443"/>
      <c r="B59" s="1771"/>
      <c r="C59" s="1102">
        <v>100</v>
      </c>
      <c r="D59" s="445">
        <f>价格指数!$B$15</f>
        <v>100.4</v>
      </c>
      <c r="E59" s="446">
        <f>价格指数!$C$15</f>
        <v>100.9</v>
      </c>
      <c r="F59" s="445">
        <f>价格指数!$D$15</f>
        <v>101.4</v>
      </c>
      <c r="G59" s="446">
        <f>价格指数!$E$15</f>
        <v>102</v>
      </c>
      <c r="H59" s="445">
        <f>价格指数!$F$15</f>
        <v>102.9</v>
      </c>
      <c r="I59" s="446">
        <f>价格指数!$G$15</f>
        <v>103.8</v>
      </c>
      <c r="J59" s="445">
        <f>价格指数!$B$15</f>
        <v>100.4</v>
      </c>
      <c r="K59" s="446">
        <f>价格指数!$C$15</f>
        <v>100.9</v>
      </c>
      <c r="L59" s="445">
        <f>价格指数!$D$15</f>
        <v>101.4</v>
      </c>
      <c r="M59" s="446">
        <f>价格指数!$E$15</f>
        <v>102</v>
      </c>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1718</v>
      </c>
      <c r="B63" s="460" t="s">
        <v>1684</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1687</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1688</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8"/>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4"/>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 thickTop="1">
      <c r="A86" s="370"/>
      <c r="B86" s="469" t="s">
        <v>1733</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1734</v>
      </c>
      <c r="C88" s="3215" t="s">
        <v>4241</v>
      </c>
      <c r="D88" s="3212" t="s">
        <v>4242</v>
      </c>
      <c r="E88" s="3212" t="s">
        <v>4243</v>
      </c>
      <c r="F88" s="3212" t="s">
        <v>4244</v>
      </c>
      <c r="G88" s="3212" t="s">
        <v>4245</v>
      </c>
      <c r="H88" s="3212" t="s">
        <v>4246</v>
      </c>
      <c r="I88" s="3216" t="s">
        <v>4247</v>
      </c>
      <c r="J88" s="3216" t="s">
        <v>4248</v>
      </c>
      <c r="K88" s="3212" t="s">
        <v>4249</v>
      </c>
      <c r="L88" s="3212" t="s">
        <v>4250</v>
      </c>
      <c r="M88" s="511"/>
      <c r="N88" s="878"/>
      <c r="O88" s="878"/>
      <c r="P88" s="1774"/>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 thickTop="1">
      <c r="A90" s="484"/>
      <c r="B90" s="469" t="str">
        <f>B27</f>
        <v>楼层</v>
      </c>
      <c r="C90" s="485" t="s">
        <v>4235</v>
      </c>
      <c r="D90" s="485" t="s">
        <v>4284</v>
      </c>
      <c r="E90" s="485" t="s">
        <v>4285</v>
      </c>
      <c r="F90" s="485" t="s">
        <v>4286</v>
      </c>
      <c r="G90" s="485"/>
      <c r="H90" s="486"/>
      <c r="I90" s="486"/>
      <c r="J90" s="486"/>
      <c r="K90" s="486"/>
      <c r="L90" s="487"/>
      <c r="M90" s="488"/>
      <c r="N90" s="881"/>
      <c r="O90" s="881"/>
      <c r="P90" s="1775"/>
      <c r="Q90" s="490"/>
    </row>
    <row r="91" spans="1:17" s="408" customFormat="1" ht="14.4" thickBot="1">
      <c r="A91" s="484"/>
      <c r="B91" s="474"/>
      <c r="C91" s="491">
        <v>100</v>
      </c>
      <c r="D91" s="491">
        <v>100</v>
      </c>
      <c r="E91" s="491">
        <v>100</v>
      </c>
      <c r="F91" s="491">
        <v>102</v>
      </c>
      <c r="G91" s="491"/>
      <c r="H91" s="493"/>
      <c r="I91" s="493"/>
      <c r="J91" s="493"/>
      <c r="K91" s="493"/>
      <c r="L91" s="493"/>
      <c r="M91" s="494"/>
      <c r="N91" s="881"/>
      <c r="O91" s="881"/>
      <c r="P91" s="1775"/>
      <c r="Q91" s="490"/>
    </row>
    <row r="92" spans="1:17" ht="15" thickTop="1">
      <c r="A92" s="367"/>
      <c r="B92" s="469" t="str">
        <f>B28</f>
        <v>道路</v>
      </c>
      <c r="C92" s="3214" t="s">
        <v>4236</v>
      </c>
      <c r="D92" s="3214" t="s">
        <v>4237</v>
      </c>
      <c r="E92" s="3214" t="s">
        <v>4238</v>
      </c>
      <c r="F92" s="3214" t="s">
        <v>4270</v>
      </c>
      <c r="G92" s="3214" t="s">
        <v>4239</v>
      </c>
      <c r="H92" s="513"/>
      <c r="I92" s="513"/>
      <c r="J92" s="513"/>
      <c r="K92" s="514"/>
      <c r="L92" s="515"/>
      <c r="M92" s="516"/>
      <c r="N92" s="879"/>
      <c r="O92" s="879"/>
      <c r="P92" s="1774"/>
      <c r="Q92" s="439"/>
    </row>
    <row r="93" spans="1:17" ht="14.4" thickBot="1">
      <c r="A93" s="367"/>
      <c r="B93" s="474"/>
      <c r="C93" s="491">
        <v>100</v>
      </c>
      <c r="D93" s="491">
        <v>98</v>
      </c>
      <c r="E93" s="491">
        <v>96</v>
      </c>
      <c r="F93" s="491">
        <v>94</v>
      </c>
      <c r="G93" s="491">
        <v>92</v>
      </c>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1693</v>
      </c>
      <c r="B100" s="460" t="s">
        <v>1735</v>
      </c>
      <c r="C100" s="3217" t="s">
        <v>4231</v>
      </c>
      <c r="D100" s="3213" t="s">
        <v>4251</v>
      </c>
      <c r="E100" s="3218" t="s">
        <v>4232</v>
      </c>
      <c r="F100" s="3219" t="s">
        <v>4252</v>
      </c>
      <c r="G100" s="3220" t="s">
        <v>4233</v>
      </c>
      <c r="H100" s="3220" t="s">
        <v>4234</v>
      </c>
      <c r="I100" s="462"/>
      <c r="J100" s="462"/>
      <c r="K100" s="463"/>
      <c r="L100" s="464"/>
      <c r="M100" s="465"/>
      <c r="N100" s="879"/>
      <c r="O100" s="879"/>
      <c r="P100" s="1774"/>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4"/>
      <c r="Q101" s="439"/>
    </row>
    <row r="102" spans="1:17" ht="15" thickTop="1">
      <c r="A102" s="367"/>
      <c r="B102" s="469" t="s">
        <v>1736</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60</v>
      </c>
      <c r="E103" s="6">
        <v>90</v>
      </c>
      <c r="F103" s="6">
        <v>120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1737</v>
      </c>
      <c r="C105" s="3214" t="s">
        <v>4253</v>
      </c>
      <c r="D105" s="3214" t="s">
        <v>3394</v>
      </c>
      <c r="E105" s="3221" t="s">
        <v>4254</v>
      </c>
      <c r="F105" s="3221" t="s">
        <v>4255</v>
      </c>
      <c r="G105" s="3212" t="s">
        <v>4256</v>
      </c>
      <c r="H105" s="513"/>
      <c r="I105" s="513"/>
      <c r="J105" s="513"/>
      <c r="K105" s="514"/>
      <c r="L105" s="515"/>
      <c r="M105" s="516"/>
      <c r="N105" s="879"/>
      <c r="O105" s="879"/>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1738</v>
      </c>
      <c r="C107" s="3212" t="s">
        <v>4257</v>
      </c>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4"/>
      <c r="Q108" s="439"/>
    </row>
    <row r="109" spans="1:17" ht="15" thickTop="1">
      <c r="A109" s="409"/>
      <c r="B109" s="469" t="s">
        <v>1739</v>
      </c>
      <c r="C109" s="3211" t="s">
        <v>4224</v>
      </c>
      <c r="D109" s="3211" t="s">
        <v>4225</v>
      </c>
      <c r="E109" s="3211" t="s">
        <v>4227</v>
      </c>
      <c r="F109" s="3212" t="s">
        <v>4229</v>
      </c>
      <c r="G109" s="513"/>
      <c r="H109" s="513"/>
      <c r="I109" s="513"/>
      <c r="J109" s="513"/>
      <c r="K109" s="514"/>
      <c r="L109" s="515"/>
      <c r="M109" s="516"/>
      <c r="N109" s="879"/>
      <c r="O109" s="879"/>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1740</v>
      </c>
      <c r="C114" s="3214" t="s">
        <v>4258</v>
      </c>
      <c r="D114" s="3214" t="s">
        <v>4259</v>
      </c>
      <c r="E114" s="3212" t="s">
        <v>4260</v>
      </c>
      <c r="F114" s="3212" t="s">
        <v>4261</v>
      </c>
      <c r="G114" s="513"/>
      <c r="H114" s="513"/>
      <c r="I114" s="513"/>
      <c r="J114" s="513"/>
      <c r="K114" s="514"/>
      <c r="L114" s="515"/>
      <c r="M114" s="516"/>
      <c r="N114" s="879"/>
      <c r="O114" s="879"/>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4"/>
      <c r="Q115" s="439"/>
    </row>
    <row r="116" spans="1:17" ht="15" thickTop="1">
      <c r="A116" s="409"/>
      <c r="B116" s="469" t="s">
        <v>1741</v>
      </c>
      <c r="C116" s="3214" t="s">
        <v>3601</v>
      </c>
      <c r="D116" s="3214" t="s">
        <v>4262</v>
      </c>
      <c r="E116" s="3214" t="s">
        <v>4263</v>
      </c>
      <c r="F116" s="3214" t="s">
        <v>4264</v>
      </c>
      <c r="G116" s="3214" t="s">
        <v>4265</v>
      </c>
      <c r="H116" s="513"/>
      <c r="I116" s="513"/>
      <c r="J116" s="513"/>
      <c r="K116" s="514"/>
      <c r="L116" s="515"/>
      <c r="M116" s="516"/>
      <c r="N116" s="879"/>
      <c r="O116" s="879"/>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1742</v>
      </c>
      <c r="C118" s="3212" t="s">
        <v>4230</v>
      </c>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4"/>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1743</v>
      </c>
      <c r="C122" s="3211" t="s">
        <v>4224</v>
      </c>
      <c r="D122" s="3211" t="s">
        <v>4225</v>
      </c>
      <c r="E122" s="3211" t="s">
        <v>4227</v>
      </c>
      <c r="F122" s="3212" t="s">
        <v>4229</v>
      </c>
      <c r="G122" s="513"/>
      <c r="H122" s="513"/>
      <c r="I122" s="513"/>
      <c r="J122" s="513"/>
      <c r="K122" s="514"/>
      <c r="L122" s="515"/>
      <c r="M122" s="516"/>
      <c r="N122" s="879"/>
      <c r="O122" s="879"/>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4.4" thickTop="1">
      <c r="A126" s="406"/>
      <c r="B126" s="469" t="str">
        <f>B44</f>
        <v>建成年份</v>
      </c>
      <c r="C126" s="485">
        <v>1998</v>
      </c>
      <c r="D126" s="485">
        <v>2000</v>
      </c>
      <c r="E126" s="485">
        <v>2005</v>
      </c>
      <c r="F126" s="485">
        <v>2011</v>
      </c>
      <c r="G126" s="485"/>
      <c r="H126" s="486"/>
      <c r="I126" s="486"/>
      <c r="J126" s="486"/>
      <c r="K126" s="486"/>
      <c r="L126" s="487"/>
      <c r="M126" s="488"/>
      <c r="N126" s="881"/>
      <c r="O126" s="881"/>
      <c r="P126" s="1775"/>
      <c r="Q126" s="490"/>
    </row>
    <row r="127" spans="1:17" s="408" customFormat="1" ht="14.4" thickBot="1">
      <c r="A127" s="484"/>
      <c r="B127" s="474"/>
      <c r="C127" s="491">
        <v>100</v>
      </c>
      <c r="D127" s="467">
        <v>100.2</v>
      </c>
      <c r="E127" s="467">
        <v>100.7</v>
      </c>
      <c r="F127" s="467">
        <v>101.3</v>
      </c>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4">
        <v>6</v>
      </c>
      <c r="C139" s="815">
        <v>96</v>
      </c>
      <c r="D139" s="1791" t="s">
        <v>1754</v>
      </c>
      <c r="E139" s="816">
        <v>100</v>
      </c>
      <c r="F139" s="817">
        <v>102.5</v>
      </c>
      <c r="G139" s="1791" t="s">
        <v>1754</v>
      </c>
      <c r="H139" s="818">
        <v>105</v>
      </c>
      <c r="I139" s="1792" t="s">
        <v>1755</v>
      </c>
      <c r="J139" s="815">
        <v>20</v>
      </c>
      <c r="K139" s="819">
        <f>C145/(J139-2)</f>
        <v>4.0555555555555553E-3</v>
      </c>
    </row>
    <row r="140" spans="1:17" ht="15">
      <c r="B140" s="820">
        <v>5</v>
      </c>
      <c r="C140" s="821">
        <v>100</v>
      </c>
      <c r="D140" s="821"/>
      <c r="E140" s="822"/>
      <c r="F140" s="823">
        <v>102</v>
      </c>
      <c r="G140" s="821"/>
      <c r="H140" s="824"/>
      <c r="I140" s="1793" t="s">
        <v>1756</v>
      </c>
      <c r="J140" s="263">
        <f>ROUNDUP((J139-1)/2,0)</f>
        <v>10</v>
      </c>
      <c r="K140" s="825">
        <v>100</v>
      </c>
    </row>
    <row r="141" spans="1:17" ht="15">
      <c r="B141" s="820">
        <v>4</v>
      </c>
      <c r="C141" s="821">
        <v>102</v>
      </c>
      <c r="D141" s="821"/>
      <c r="E141" s="822"/>
      <c r="F141" s="823">
        <v>101.5</v>
      </c>
      <c r="G141" s="821"/>
      <c r="H141" s="824"/>
      <c r="I141" s="1793" t="s">
        <v>1757</v>
      </c>
      <c r="J141" s="263">
        <v>1</v>
      </c>
      <c r="K141" s="826">
        <f>ROUND(100+(J141-J140)*K139*100,1)</f>
        <v>96.4</v>
      </c>
    </row>
    <row r="142" spans="1:17" ht="15">
      <c r="B142" s="820">
        <v>3</v>
      </c>
      <c r="C142" s="821">
        <v>103</v>
      </c>
      <c r="D142" s="821"/>
      <c r="E142" s="822"/>
      <c r="F142" s="823">
        <v>101</v>
      </c>
      <c r="G142" s="821"/>
      <c r="H142" s="824"/>
      <c r="I142" s="1793" t="s">
        <v>1758</v>
      </c>
      <c r="J142" s="263">
        <f>J139</f>
        <v>20</v>
      </c>
      <c r="K142" s="827">
        <v>95</v>
      </c>
    </row>
    <row r="143" spans="1:17" ht="15">
      <c r="B143" s="820">
        <v>2</v>
      </c>
      <c r="C143" s="821">
        <v>100</v>
      </c>
      <c r="D143" s="821"/>
      <c r="E143" s="822"/>
      <c r="F143" s="823">
        <v>100.5</v>
      </c>
      <c r="G143" s="821"/>
      <c r="H143" s="824"/>
      <c r="I143" s="1793" t="s">
        <v>1759</v>
      </c>
      <c r="J143" s="821">
        <v>15</v>
      </c>
      <c r="K143" s="826">
        <f>ROUND(100+(J143-J140)*K139*100,1)</f>
        <v>102</v>
      </c>
    </row>
    <row r="144" spans="1:17" ht="15">
      <c r="B144" s="820">
        <v>1</v>
      </c>
      <c r="C144" s="821">
        <v>98</v>
      </c>
      <c r="D144" s="1794" t="s">
        <v>1760</v>
      </c>
      <c r="E144" s="822">
        <v>102</v>
      </c>
      <c r="F144" s="828">
        <v>100</v>
      </c>
      <c r="G144" s="1794" t="s">
        <v>1760</v>
      </c>
      <c r="H144" s="824">
        <v>105</v>
      </c>
      <c r="I144" s="1793" t="s">
        <v>1759</v>
      </c>
      <c r="J144" s="821">
        <v>18</v>
      </c>
      <c r="K144" s="826">
        <f>ROUND(100+(J144-J140)*K139*100,1)</f>
        <v>103.2</v>
      </c>
    </row>
    <row r="145" spans="2:11" ht="16.2" thickBot="1">
      <c r="B145" s="1795" t="s">
        <v>1761</v>
      </c>
      <c r="C145" s="829">
        <f>ROUND(MAX(C139:C144)/MIN(C139:C144)-1,3)</f>
        <v>7.2999999999999995E-2</v>
      </c>
      <c r="D145" s="830"/>
      <c r="E145" s="830"/>
      <c r="F145" s="1796" t="s">
        <v>1762</v>
      </c>
      <c r="G145" s="1797"/>
      <c r="H145" s="1798"/>
      <c r="I145" s="1799" t="s">
        <v>1759</v>
      </c>
      <c r="J145" s="831">
        <v>8</v>
      </c>
      <c r="K145" s="832">
        <f>ROUND(100+(J145-J140)*K139*100,1)</f>
        <v>99.2</v>
      </c>
    </row>
    <row r="147" spans="2:11" ht="14.4">
      <c r="B147" s="1780" t="s">
        <v>1763</v>
      </c>
    </row>
    <row r="148" spans="2:11" ht="14.4">
      <c r="B148" s="1780"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E52">
    <cfRule type="expression" dxfId="125" priority="13"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4"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3">
        <f ca="1">ROUND(D2/10000,4)</f>
        <v>506.0086</v>
      </c>
      <c r="C2" s="1289" t="s">
        <v>805</v>
      </c>
      <c r="D2" s="1375">
        <f ca="1">C40+J29+L46</f>
        <v>5060086</v>
      </c>
      <c r="E2" s="1295" t="s">
        <v>880</v>
      </c>
      <c r="F2" s="1296"/>
      <c r="G2" s="2478"/>
      <c r="H2" s="2468"/>
      <c r="I2" s="2468"/>
      <c r="J2" s="2468"/>
      <c r="K2" s="2469"/>
      <c r="L2" s="2468"/>
      <c r="M2" s="2468"/>
    </row>
    <row r="3" spans="1:37" ht="18" customHeight="1" thickBot="1">
      <c r="A3" s="1297" t="s">
        <v>806</v>
      </c>
      <c r="B3" s="1298">
        <f ca="1">IF(ISERROR(D2/F43),0,ROUND(D2/F43,0))</f>
        <v>17219</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165857</v>
      </c>
      <c r="D5" s="1273" t="s">
        <v>693</v>
      </c>
      <c r="E5" s="1008"/>
      <c r="F5" s="1009"/>
      <c r="G5" s="1292"/>
      <c r="H5" s="291">
        <v>1</v>
      </c>
      <c r="I5" s="292" t="s">
        <v>692</v>
      </c>
      <c r="J5" s="1007">
        <f ca="1">J6+J10+J12</f>
        <v>0</v>
      </c>
      <c r="K5" s="1273" t="s">
        <v>693</v>
      </c>
      <c r="L5" s="1008"/>
      <c r="M5" s="1009"/>
    </row>
    <row r="6" spans="1:37" ht="18" customHeight="1">
      <c r="A6" s="1006" t="s">
        <v>398</v>
      </c>
      <c r="B6" s="3398" t="s">
        <v>694</v>
      </c>
      <c r="C6" s="1011">
        <f ca="1">ROUND(F6*F8*F7*(1-F9),0)</f>
        <v>165650</v>
      </c>
      <c r="D6" s="147" t="s">
        <v>2105</v>
      </c>
      <c r="E6" s="294" t="s">
        <v>696</v>
      </c>
      <c r="F6" s="3228">
        <f ca="1">ROUND(收益法1!F6*(1+2.25%),0)</f>
        <v>15338</v>
      </c>
      <c r="G6" s="1292"/>
      <c r="H6" s="1006" t="s">
        <v>398</v>
      </c>
      <c r="I6" s="3398" t="s">
        <v>694</v>
      </c>
      <c r="J6" s="293">
        <f ca="1">ROUND(M6*M8*M7*(1-M9),0)</f>
        <v>0</v>
      </c>
      <c r="K6" s="1284" t="s">
        <v>2106</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1</v>
      </c>
      <c r="G7" s="1292"/>
      <c r="H7" s="296"/>
      <c r="I7" s="3399"/>
      <c r="J7" s="298"/>
      <c r="K7" s="299"/>
      <c r="L7" s="294" t="s">
        <v>697</v>
      </c>
      <c r="M7" s="295">
        <f ca="1">F7</f>
        <v>1</v>
      </c>
    </row>
    <row r="8" spans="1:37" ht="18" customHeight="1">
      <c r="A8" s="296"/>
      <c r="B8" s="3399"/>
      <c r="C8" s="298"/>
      <c r="D8" s="299"/>
      <c r="E8" s="294" t="s">
        <v>698</v>
      </c>
      <c r="F8" s="295">
        <f ca="1">INDIRECT("'数据-取费表'!ai"&amp;$G$1)</f>
        <v>12</v>
      </c>
      <c r="G8" s="1292"/>
      <c r="H8" s="296"/>
      <c r="I8" s="3399"/>
      <c r="J8" s="298"/>
      <c r="K8" s="299"/>
      <c r="L8" s="294" t="s">
        <v>698</v>
      </c>
      <c r="M8" s="295">
        <f ca="1">INDIRECT("'数据-取费表'!ai"&amp;$G$1)</f>
        <v>12</v>
      </c>
    </row>
    <row r="9" spans="1:37" ht="18" customHeight="1">
      <c r="A9" s="296"/>
      <c r="B9" s="3400"/>
      <c r="C9" s="298"/>
      <c r="D9" s="299"/>
      <c r="E9" s="294" t="s">
        <v>699</v>
      </c>
      <c r="F9" s="304">
        <f ca="1">INDIRECT("'数据-取费表'!w"&amp;$G$1)</f>
        <v>0.1</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207</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13510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3944</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712</v>
      </c>
      <c r="F37" s="321">
        <f ca="1">INDIRECT("'数据-取费表'!Al"&amp;$G$1)</f>
        <v>1E-3</v>
      </c>
      <c r="G37" s="1292"/>
      <c r="H37" s="2473"/>
      <c r="I37" s="1305"/>
      <c r="J37" s="1306"/>
      <c r="K37" s="2330"/>
      <c r="L37" s="2473"/>
      <c r="M37" s="2473"/>
    </row>
    <row r="38" spans="1:18" ht="18" customHeight="1" thickBot="1">
      <c r="A38" s="1026" t="s">
        <v>683</v>
      </c>
      <c r="B38" s="1027" t="s">
        <v>728</v>
      </c>
      <c r="C38" s="1028">
        <f ca="1">ROUND(C5*F38,0)</f>
        <v>829</v>
      </c>
      <c r="D38" s="1029" t="s">
        <v>748</v>
      </c>
      <c r="E38" s="1027" t="s">
        <v>712</v>
      </c>
      <c r="F38" s="1023">
        <f ca="1">INDIRECT("'数据-取费表'!Am"&amp;$G$1)</f>
        <v>5.0000000000000001E-3</v>
      </c>
      <c r="G38" s="1292"/>
      <c r="H38" s="2473"/>
      <c r="I38" s="1305"/>
      <c r="J38" s="1306"/>
      <c r="K38" s="2471"/>
      <c r="L38" s="2473"/>
      <c r="M38" s="2473"/>
    </row>
    <row r="39" spans="1:18" ht="24.6" customHeight="1" thickTop="1">
      <c r="A39" s="1016" t="s">
        <v>394</v>
      </c>
      <c r="B39" s="1031" t="s">
        <v>752</v>
      </c>
      <c r="C39" s="302">
        <f ca="1">C5-C30</f>
        <v>152347</v>
      </c>
      <c r="D39" s="1032" t="s">
        <v>753</v>
      </c>
      <c r="E39" s="1033"/>
      <c r="F39" s="1034"/>
      <c r="G39" s="1292"/>
      <c r="H39" s="2473"/>
      <c r="I39" s="1305"/>
      <c r="J39" s="1306"/>
      <c r="K39" s="2471"/>
      <c r="L39" s="2473"/>
      <c r="M39" s="2473"/>
    </row>
    <row r="40" spans="1:18" ht="18" customHeight="1">
      <c r="A40" s="291" t="s">
        <v>395</v>
      </c>
      <c r="B40" s="292" t="s">
        <v>774</v>
      </c>
      <c r="C40" s="293">
        <f ca="1">ROUND(C39*(1-((1+F42)/(1+F40))^F41)/(F40-F42),0)</f>
        <v>5060086</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17219</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-525.44200000000001</v>
      </c>
      <c r="D45" s="3130" t="s">
        <v>3354</v>
      </c>
      <c r="E45" s="1307"/>
      <c r="F45" s="1307"/>
      <c r="O45" s="1310" t="s">
        <v>808</v>
      </c>
      <c r="P45" s="1366"/>
      <c r="Q45" s="1366"/>
      <c r="R45" s="1366"/>
    </row>
    <row r="46" spans="1:18" s="1292" customFormat="1" ht="13.8" thickBot="1">
      <c r="A46" s="1311" t="s">
        <v>809</v>
      </c>
      <c r="C46" s="1312">
        <f ca="1">ROUND(C45,0)</f>
        <v>-525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5060086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1496018</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1439491</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96" t="s">
        <v>837</v>
      </c>
      <c r="L53" s="3397"/>
      <c r="O53" s="1325" t="s">
        <v>409</v>
      </c>
      <c r="P53" s="1326" t="s">
        <v>838</v>
      </c>
      <c r="Q53" s="1327">
        <f ca="1">Q47+Q48</f>
        <v>5060086</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13.21</v>
      </c>
      <c r="O56" s="1325" t="s">
        <v>403</v>
      </c>
      <c r="P56" s="1326" t="s">
        <v>817</v>
      </c>
      <c r="Q56" s="1327">
        <f ca="1">C40+J29</f>
        <v>5060086</v>
      </c>
      <c r="R56" s="1327" t="s">
        <v>818</v>
      </c>
    </row>
    <row r="57" spans="1:18" s="1292" customFormat="1" ht="24.6"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1439491</v>
      </c>
      <c r="O57" s="1325" t="s">
        <v>404</v>
      </c>
      <c r="P57" s="1326" t="s">
        <v>846</v>
      </c>
      <c r="Q57" s="1327">
        <f ca="1">L60</f>
        <v>0</v>
      </c>
      <c r="R57" s="1327" t="s">
        <v>847</v>
      </c>
    </row>
    <row r="58" spans="1:18" s="1292" customFormat="1" ht="24.6"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0.90710000000000002</v>
      </c>
      <c r="M59" s="1289">
        <f ca="1">ROUND(POWER(1+L52,L47-(J51+'数据-取费表'!B24))*(POWER(1+L52,(J51+'数据-取费表'!B24))-1)/(POWER(1+L52,L47)-1),4)</f>
        <v>0.90710000000000002</v>
      </c>
      <c r="N59" s="1289">
        <f ca="1">ROUND(POWER(1+L52,L47-(J51+'数据-取费表'!B20))*(POWER(1+L52,(J51+'数据-取费表'!B20))-1)/(POWER(1+L52,L47)-1),4)</f>
        <v>0.91890000000000005</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3337</v>
      </c>
      <c r="E61" s="896" t="s">
        <v>712</v>
      </c>
      <c r="F61" s="314">
        <f t="shared" si="0"/>
        <v>0.12</v>
      </c>
      <c r="I61" s="1366"/>
      <c r="J61" s="1366"/>
      <c r="K61" s="1366"/>
      <c r="L61" s="1366"/>
      <c r="O61" s="1334" t="s">
        <v>408</v>
      </c>
      <c r="P61" s="1326" t="str">
        <f>K59</f>
        <v>建筑物剩余耐用年限下的土地年期修正系数Kn</v>
      </c>
      <c r="Q61" s="1327">
        <f ca="1">L59</f>
        <v>0.90710000000000002</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5060086</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7480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1257</v>
      </c>
      <c r="D65" s="910" t="s">
        <v>743</v>
      </c>
      <c r="E65" s="896" t="s">
        <v>712</v>
      </c>
      <c r="F65" s="321">
        <f t="shared" ca="1" si="0"/>
        <v>1E-3</v>
      </c>
      <c r="I65" s="1367" t="s">
        <v>867</v>
      </c>
      <c r="J65" s="610">
        <v>40</v>
      </c>
      <c r="K65" s="610">
        <v>30</v>
      </c>
      <c r="L65" s="610">
        <v>50</v>
      </c>
      <c r="M65" s="1369">
        <v>0.02</v>
      </c>
      <c r="O65" s="1325" t="s">
        <v>403</v>
      </c>
      <c r="P65" s="1326" t="s">
        <v>817</v>
      </c>
      <c r="Q65" s="1327">
        <f ca="1">C40+J29</f>
        <v>5060086</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-8737</v>
      </c>
      <c r="D67" s="909" t="s">
        <v>753</v>
      </c>
      <c r="E67" s="914"/>
      <c r="F67" s="915"/>
      <c r="O67" s="1334" t="s">
        <v>405</v>
      </c>
      <c r="P67" s="1326" t="s">
        <v>850</v>
      </c>
      <c r="Q67" s="1370">
        <f ca="1">L51</f>
        <v>1439491</v>
      </c>
      <c r="R67" s="1327" t="s">
        <v>870</v>
      </c>
    </row>
    <row r="68" spans="1:18" s="1292" customFormat="1" ht="16.2" thickBot="1">
      <c r="A68" s="893" t="s">
        <v>395</v>
      </c>
      <c r="B68" s="894" t="s">
        <v>774</v>
      </c>
      <c r="C68" s="293">
        <f ca="1">ROUND(C67*(1-((1+F70)/(1+F68))^F69)/(F68-F70),0)</f>
        <v>-194334</v>
      </c>
      <c r="D68" s="911" t="s">
        <v>758</v>
      </c>
      <c r="E68" s="896" t="s">
        <v>759</v>
      </c>
      <c r="F68" s="304">
        <f ca="1">F40</f>
        <v>0.04</v>
      </c>
      <c r="O68" s="1334" t="s">
        <v>406</v>
      </c>
      <c r="P68" s="1371" t="s">
        <v>871</v>
      </c>
      <c r="Q68" s="1327">
        <f ca="1">ROUND(Q69-Q70*Q71,0)</f>
        <v>70664</v>
      </c>
      <c r="R68" s="1327" t="s">
        <v>414</v>
      </c>
    </row>
    <row r="69" spans="1:18" s="1292" customFormat="1" ht="13.8" thickBot="1">
      <c r="A69" s="897"/>
      <c r="B69" s="898"/>
      <c r="C69" s="298"/>
      <c r="D69" s="916" t="s">
        <v>762</v>
      </c>
      <c r="E69" s="896" t="s">
        <v>763</v>
      </c>
      <c r="F69" s="324">
        <f ca="1">F41</f>
        <v>56.21</v>
      </c>
      <c r="O69" s="1334" t="s">
        <v>411</v>
      </c>
      <c r="P69" s="1371" t="s">
        <v>872</v>
      </c>
      <c r="Q69" s="1327">
        <f ca="1">C39</f>
        <v>152347</v>
      </c>
      <c r="R69" s="1327" t="s">
        <v>818</v>
      </c>
    </row>
    <row r="70" spans="1:18" s="1292" customFormat="1" ht="13.8" thickBot="1">
      <c r="A70" s="900"/>
      <c r="B70" s="901"/>
      <c r="C70" s="302"/>
      <c r="D70" s="912"/>
      <c r="E70" s="896" t="s">
        <v>766</v>
      </c>
      <c r="F70" s="991"/>
      <c r="O70" s="1334" t="s">
        <v>412</v>
      </c>
      <c r="P70" s="1371" t="s">
        <v>873</v>
      </c>
      <c r="Q70" s="1327">
        <f ca="1">C13</f>
        <v>1256655</v>
      </c>
      <c r="R70" s="1327" t="s">
        <v>818</v>
      </c>
    </row>
    <row r="71" spans="1:18" s="1292" customFormat="1" ht="13.8"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0.96740000000000004</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0.90710000000000002</v>
      </c>
      <c r="R74" s="1327" t="s">
        <v>857</v>
      </c>
    </row>
    <row r="75" spans="1:18" ht="13.8" thickBot="1">
      <c r="A75" s="1292"/>
      <c r="B75" s="331" t="s">
        <v>795</v>
      </c>
      <c r="C75" s="332">
        <f ca="1">ROUND(C13*C76,0)</f>
        <v>81683</v>
      </c>
      <c r="D75" s="1292"/>
      <c r="E75" s="1292"/>
      <c r="F75" s="1292"/>
      <c r="K75" s="1309"/>
      <c r="L75" s="1292"/>
      <c r="O75" s="1325" t="s">
        <v>409</v>
      </c>
      <c r="P75" s="1326" t="s">
        <v>838</v>
      </c>
      <c r="Q75" s="1327">
        <f ca="1">Q65+Q66</f>
        <v>5060086</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0.46399999999999997</v>
      </c>
    </row>
    <row r="80" spans="1:18">
      <c r="B80" s="331" t="s">
        <v>800</v>
      </c>
      <c r="C80" s="266">
        <f ca="1">ROUND(C75/C39,3)</f>
        <v>0.53600000000000003</v>
      </c>
    </row>
    <row r="81" spans="2:3">
      <c r="B81" s="262" t="s">
        <v>801</v>
      </c>
      <c r="C81" s="230"/>
    </row>
    <row r="82" spans="2:3">
      <c r="B82" s="265" t="s">
        <v>802</v>
      </c>
      <c r="C82" s="267">
        <f ca="1">1-C83</f>
        <v>0.752</v>
      </c>
    </row>
    <row r="83" spans="2:3">
      <c r="B83" s="265" t="s">
        <v>803</v>
      </c>
      <c r="C83" s="266">
        <f ca="1">ROUND(C13/C40,3)</f>
        <v>0.248</v>
      </c>
    </row>
  </sheetData>
  <sheetProtection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zoomScale="120" zoomScaleNormal="120" workbookViewId="0">
      <selection activeCell="A11" sqref="A11"/>
    </sheetView>
  </sheetViews>
  <sheetFormatPr defaultColWidth="8.88671875" defaultRowHeight="8.4"/>
  <cols>
    <col min="1" max="15" width="8.88671875" style="3285"/>
    <col min="16" max="16" width="14.6640625" style="3285" customWidth="1"/>
    <col min="17" max="17" width="3.6640625" style="3285" customWidth="1"/>
    <col min="18" max="16384" width="8.88671875" style="3285"/>
  </cols>
  <sheetData>
    <row r="1" spans="1:17" ht="12" thickBot="1">
      <c r="A1" s="3284" t="s">
        <v>3473</v>
      </c>
      <c r="B1" s="3284" t="s">
        <v>3474</v>
      </c>
      <c r="C1" s="3284" t="s">
        <v>3475</v>
      </c>
      <c r="D1" s="3284" t="s">
        <v>3476</v>
      </c>
      <c r="E1" s="3284" t="s">
        <v>3477</v>
      </c>
      <c r="F1" s="3284" t="s">
        <v>3478</v>
      </c>
      <c r="G1" s="3284" t="s">
        <v>3479</v>
      </c>
      <c r="H1" s="3284" t="s">
        <v>3480</v>
      </c>
      <c r="I1" s="3284" t="s">
        <v>3481</v>
      </c>
      <c r="J1" s="3284" t="s">
        <v>3482</v>
      </c>
      <c r="K1" s="3284" t="s">
        <v>3885</v>
      </c>
      <c r="L1" s="3284" t="s">
        <v>3886</v>
      </c>
      <c r="M1" s="3284" t="s">
        <v>3483</v>
      </c>
      <c r="N1" s="3284" t="s">
        <v>3484</v>
      </c>
      <c r="O1" s="3284" t="s">
        <v>3485</v>
      </c>
      <c r="P1" s="3284" t="s">
        <v>3486</v>
      </c>
    </row>
    <row r="2" spans="1:17" s="3294" customFormat="1" ht="34.799999999999997" thickBot="1">
      <c r="A2" s="3292" t="s">
        <v>4348</v>
      </c>
      <c r="B2" s="3292" t="s">
        <v>4404</v>
      </c>
      <c r="C2" s="3292" t="s">
        <v>4350</v>
      </c>
      <c r="D2" s="3292" t="s">
        <v>3498</v>
      </c>
      <c r="E2" s="3292">
        <v>92.08</v>
      </c>
      <c r="F2" s="3292" t="s">
        <v>3386</v>
      </c>
      <c r="G2" s="3292" t="s">
        <v>4351</v>
      </c>
      <c r="H2" s="3292">
        <v>5</v>
      </c>
      <c r="I2" s="3292" t="s">
        <v>633</v>
      </c>
      <c r="J2" s="3292">
        <v>2013</v>
      </c>
      <c r="K2" s="3292" t="s">
        <v>633</v>
      </c>
      <c r="L2" s="3292" t="s">
        <v>633</v>
      </c>
      <c r="M2" s="3292">
        <v>37793</v>
      </c>
      <c r="N2" s="3292">
        <v>37803</v>
      </c>
      <c r="O2" s="3292">
        <v>3480900</v>
      </c>
      <c r="P2" s="3293">
        <v>45554</v>
      </c>
      <c r="Q2" s="3294" t="s">
        <v>4377</v>
      </c>
    </row>
    <row r="3" spans="1:17" s="3294" customFormat="1" ht="34.799999999999997" thickBot="1">
      <c r="A3" s="3292" t="s">
        <v>4374</v>
      </c>
      <c r="B3" s="3292" t="s">
        <v>4375</v>
      </c>
      <c r="C3" s="3292" t="s">
        <v>4350</v>
      </c>
      <c r="D3" s="3292" t="s">
        <v>3498</v>
      </c>
      <c r="E3" s="3292">
        <v>102.19</v>
      </c>
      <c r="F3" s="3292" t="s">
        <v>3386</v>
      </c>
      <c r="G3" s="3292" t="s">
        <v>4352</v>
      </c>
      <c r="H3" s="3292">
        <v>7</v>
      </c>
      <c r="I3" s="3292" t="s">
        <v>633</v>
      </c>
      <c r="J3" s="3292">
        <v>2013</v>
      </c>
      <c r="K3" s="3292" t="s">
        <v>633</v>
      </c>
      <c r="L3" s="3292" t="s">
        <v>633</v>
      </c>
      <c r="M3" s="3292">
        <v>41981</v>
      </c>
      <c r="N3" s="3292">
        <v>39669</v>
      </c>
      <c r="O3" s="3292">
        <v>4053775</v>
      </c>
      <c r="P3" s="3293">
        <v>45519</v>
      </c>
    </row>
    <row r="4" spans="1:17" s="3290" customFormat="1" ht="34.799999999999997" thickBot="1">
      <c r="A4" s="3288" t="s">
        <v>4353</v>
      </c>
      <c r="B4" s="3288" t="s">
        <v>4349</v>
      </c>
      <c r="C4" s="3288" t="s">
        <v>4350</v>
      </c>
      <c r="D4" s="3288" t="s">
        <v>3498</v>
      </c>
      <c r="E4" s="3288">
        <v>92.08</v>
      </c>
      <c r="F4" s="3288" t="s">
        <v>3386</v>
      </c>
      <c r="G4" s="3288" t="s">
        <v>4351</v>
      </c>
      <c r="H4" s="3288">
        <v>9</v>
      </c>
      <c r="I4" s="3288" t="s">
        <v>633</v>
      </c>
      <c r="J4" s="3288">
        <v>2013</v>
      </c>
      <c r="K4" s="3288" t="s">
        <v>633</v>
      </c>
      <c r="L4" s="3288" t="s">
        <v>633</v>
      </c>
      <c r="M4" s="3288">
        <v>49739</v>
      </c>
      <c r="N4" s="3288">
        <v>45015</v>
      </c>
      <c r="O4" s="3288">
        <v>4144981</v>
      </c>
      <c r="P4" s="3289">
        <v>44995</v>
      </c>
    </row>
    <row r="5" spans="1:17" s="3290" customFormat="1" ht="34.799999999999997" thickBot="1">
      <c r="A5" s="3288" t="s">
        <v>4354</v>
      </c>
      <c r="B5" s="3288" t="s">
        <v>4349</v>
      </c>
      <c r="C5" s="3288" t="s">
        <v>4350</v>
      </c>
      <c r="D5" s="3288" t="s">
        <v>3498</v>
      </c>
      <c r="E5" s="3288">
        <v>96.12</v>
      </c>
      <c r="F5" s="3288" t="s">
        <v>3386</v>
      </c>
      <c r="G5" s="3288" t="s">
        <v>4352</v>
      </c>
      <c r="H5" s="3288">
        <v>5</v>
      </c>
      <c r="I5" s="3288" t="s">
        <v>633</v>
      </c>
      <c r="J5" s="3288">
        <v>2013</v>
      </c>
      <c r="K5" s="3288" t="s">
        <v>633</v>
      </c>
      <c r="L5" s="3288" t="s">
        <v>633</v>
      </c>
      <c r="M5" s="3288">
        <v>46296</v>
      </c>
      <c r="N5" s="3288">
        <v>43847</v>
      </c>
      <c r="O5" s="3288">
        <v>4214574</v>
      </c>
      <c r="P5" s="3289">
        <v>44971</v>
      </c>
    </row>
    <row r="6" spans="1:17" s="3290" customFormat="1" ht="34.799999999999997" thickBot="1">
      <c r="A6" s="3288" t="s">
        <v>4355</v>
      </c>
      <c r="B6" s="3288" t="s">
        <v>4349</v>
      </c>
      <c r="C6" s="3288" t="s">
        <v>4350</v>
      </c>
      <c r="D6" s="3288" t="s">
        <v>3498</v>
      </c>
      <c r="E6" s="3288">
        <v>68.72</v>
      </c>
      <c r="F6" s="3288" t="s">
        <v>3386</v>
      </c>
      <c r="G6" s="3288" t="s">
        <v>4351</v>
      </c>
      <c r="H6" s="3288">
        <v>1</v>
      </c>
      <c r="I6" s="3288" t="s">
        <v>633</v>
      </c>
      <c r="J6" s="3288">
        <v>2013</v>
      </c>
      <c r="K6" s="3288" t="s">
        <v>633</v>
      </c>
      <c r="L6" s="3288" t="s">
        <v>633</v>
      </c>
      <c r="M6" s="3288">
        <v>56752</v>
      </c>
      <c r="N6" s="3288">
        <v>56757</v>
      </c>
      <c r="O6" s="3288">
        <v>3900341</v>
      </c>
      <c r="P6" s="3289">
        <v>44666</v>
      </c>
    </row>
    <row r="7" spans="1:17" s="3290" customFormat="1" ht="34.799999999999997" thickBot="1">
      <c r="A7" s="3288" t="s">
        <v>4356</v>
      </c>
      <c r="B7" s="3288" t="s">
        <v>4349</v>
      </c>
      <c r="C7" s="3288" t="s">
        <v>4350</v>
      </c>
      <c r="D7" s="3288" t="s">
        <v>3498</v>
      </c>
      <c r="E7" s="3288">
        <v>236.12</v>
      </c>
      <c r="F7" s="3288" t="s">
        <v>3386</v>
      </c>
      <c r="G7" s="3288" t="s">
        <v>4357</v>
      </c>
      <c r="H7" s="3296">
        <v>45293</v>
      </c>
      <c r="I7" s="3288">
        <v>2012</v>
      </c>
      <c r="J7" s="3288" t="s">
        <v>43</v>
      </c>
      <c r="K7" s="3288"/>
      <c r="L7" s="3288" t="s">
        <v>43</v>
      </c>
      <c r="M7" s="3288">
        <v>0</v>
      </c>
      <c r="N7" s="3288">
        <v>48706</v>
      </c>
      <c r="O7" s="3288">
        <v>11500461</v>
      </c>
      <c r="P7" s="3289">
        <v>44940</v>
      </c>
    </row>
    <row r="8" spans="1:17" s="3290" customFormat="1" ht="34.799999999999997" thickBot="1">
      <c r="A8" s="3288" t="s">
        <v>4358</v>
      </c>
      <c r="B8" s="3288" t="s">
        <v>4349</v>
      </c>
      <c r="C8" s="3288" t="s">
        <v>4350</v>
      </c>
      <c r="D8" s="3288" t="s">
        <v>3498</v>
      </c>
      <c r="E8" s="3288">
        <v>236.12</v>
      </c>
      <c r="F8" s="3288" t="s">
        <v>3386</v>
      </c>
      <c r="G8" s="3288" t="s">
        <v>4357</v>
      </c>
      <c r="H8" s="3296">
        <v>45293</v>
      </c>
      <c r="I8" s="3288" t="s">
        <v>633</v>
      </c>
      <c r="J8" s="3288">
        <v>2013</v>
      </c>
      <c r="K8" s="3288" t="s">
        <v>633</v>
      </c>
      <c r="L8" s="3288" t="s">
        <v>633</v>
      </c>
      <c r="M8" s="3288">
        <v>0</v>
      </c>
      <c r="N8" s="3288">
        <v>53742</v>
      </c>
      <c r="O8" s="3288">
        <v>12689561</v>
      </c>
      <c r="P8" s="3289">
        <v>44342</v>
      </c>
    </row>
    <row r="9" spans="1:17" s="3290" customFormat="1" ht="34.799999999999997" thickBot="1">
      <c r="A9" s="3288" t="s">
        <v>4359</v>
      </c>
      <c r="B9" s="3288" t="s">
        <v>4349</v>
      </c>
      <c r="C9" s="3288" t="s">
        <v>4350</v>
      </c>
      <c r="D9" s="3288" t="s">
        <v>3498</v>
      </c>
      <c r="E9" s="3288">
        <v>236.12</v>
      </c>
      <c r="F9" s="3288" t="s">
        <v>3386</v>
      </c>
      <c r="G9" s="3288" t="s">
        <v>4360</v>
      </c>
      <c r="H9" s="3296">
        <v>45293</v>
      </c>
      <c r="I9" s="3288" t="s">
        <v>633</v>
      </c>
      <c r="J9" s="3288">
        <v>2013</v>
      </c>
      <c r="K9" s="3288" t="s">
        <v>633</v>
      </c>
      <c r="L9" s="3288" t="s">
        <v>633</v>
      </c>
      <c r="M9" s="3288">
        <v>0</v>
      </c>
      <c r="N9" s="3288">
        <v>53269</v>
      </c>
      <c r="O9" s="3288">
        <v>12577876</v>
      </c>
      <c r="P9" s="3289">
        <v>44067</v>
      </c>
    </row>
    <row r="10" spans="1:17" s="3290" customFormat="1" ht="34.799999999999997" thickBot="1">
      <c r="A10" s="3288" t="s">
        <v>4361</v>
      </c>
      <c r="B10" s="3288" t="s">
        <v>4362</v>
      </c>
      <c r="C10" s="3288" t="s">
        <v>4350</v>
      </c>
      <c r="D10" s="3288" t="s">
        <v>3498</v>
      </c>
      <c r="E10" s="3288">
        <v>139.68</v>
      </c>
      <c r="F10" s="3288" t="s">
        <v>3386</v>
      </c>
      <c r="G10" s="3288" t="s">
        <v>3909</v>
      </c>
      <c r="H10" s="3288">
        <v>4</v>
      </c>
      <c r="I10" s="3288">
        <v>2015</v>
      </c>
      <c r="J10" s="3288" t="s">
        <v>633</v>
      </c>
      <c r="K10" s="3288" t="s">
        <v>633</v>
      </c>
      <c r="L10" s="3288" t="s">
        <v>633</v>
      </c>
      <c r="M10" s="3288">
        <v>40808</v>
      </c>
      <c r="N10" s="3288">
        <v>40823</v>
      </c>
      <c r="O10" s="3288">
        <v>5702157</v>
      </c>
      <c r="P10" s="3289">
        <v>45598</v>
      </c>
    </row>
    <row r="11" spans="1:17" s="3294" customFormat="1" ht="34.799999999999997" thickBot="1">
      <c r="A11" s="3292" t="s">
        <v>4405</v>
      </c>
      <c r="B11" s="3292" t="s">
        <v>4403</v>
      </c>
      <c r="C11" s="3292" t="s">
        <v>4350</v>
      </c>
      <c r="D11" s="3292" t="s">
        <v>3498</v>
      </c>
      <c r="E11" s="3292">
        <v>139.37</v>
      </c>
      <c r="F11" s="3292" t="s">
        <v>3386</v>
      </c>
      <c r="G11" s="3292" t="s">
        <v>4363</v>
      </c>
      <c r="H11" s="3292">
        <v>2</v>
      </c>
      <c r="I11" s="3292">
        <v>2015</v>
      </c>
      <c r="J11" s="3292" t="s">
        <v>633</v>
      </c>
      <c r="K11" s="3292" t="s">
        <v>633</v>
      </c>
      <c r="L11" s="3292" t="s">
        <v>633</v>
      </c>
      <c r="M11" s="3292">
        <v>41472</v>
      </c>
      <c r="N11" s="3292">
        <v>41572</v>
      </c>
      <c r="O11" s="3292">
        <v>5793890</v>
      </c>
      <c r="P11" s="3293">
        <v>45421</v>
      </c>
    </row>
    <row r="12" spans="1:17" s="3290" customFormat="1" ht="34.799999999999997" thickBot="1">
      <c r="A12" s="3288" t="s">
        <v>4364</v>
      </c>
      <c r="B12" s="3288" t="s">
        <v>4362</v>
      </c>
      <c r="C12" s="3288" t="s">
        <v>4350</v>
      </c>
      <c r="D12" s="3288" t="s">
        <v>3498</v>
      </c>
      <c r="E12" s="3288">
        <v>123.65</v>
      </c>
      <c r="F12" s="3288" t="s">
        <v>3386</v>
      </c>
      <c r="G12" s="3288" t="s">
        <v>4363</v>
      </c>
      <c r="H12" s="3296">
        <v>45418</v>
      </c>
      <c r="I12" s="3288">
        <v>2015</v>
      </c>
      <c r="J12" s="3288" t="s">
        <v>633</v>
      </c>
      <c r="K12" s="3288" t="s">
        <v>633</v>
      </c>
      <c r="L12" s="3288" t="s">
        <v>633</v>
      </c>
      <c r="M12" s="3288">
        <v>51355</v>
      </c>
      <c r="N12" s="3288">
        <v>44945</v>
      </c>
      <c r="O12" s="3288">
        <v>5557449</v>
      </c>
      <c r="P12" s="3289">
        <v>45227</v>
      </c>
    </row>
    <row r="13" spans="1:17" ht="34.799999999999997" thickBot="1">
      <c r="A13" s="3286" t="s">
        <v>4365</v>
      </c>
      <c r="B13" s="3286" t="s">
        <v>4362</v>
      </c>
      <c r="C13" s="3286" t="s">
        <v>4350</v>
      </c>
      <c r="D13" s="3286" t="s">
        <v>3498</v>
      </c>
      <c r="E13" s="3286">
        <v>125.3</v>
      </c>
      <c r="F13" s="3286" t="s">
        <v>3386</v>
      </c>
      <c r="G13" s="3286" t="s">
        <v>4366</v>
      </c>
      <c r="H13" s="3291">
        <v>45355</v>
      </c>
      <c r="I13" s="3286" t="s">
        <v>633</v>
      </c>
      <c r="J13" s="3286">
        <v>2015</v>
      </c>
      <c r="K13" s="3286" t="s">
        <v>633</v>
      </c>
      <c r="L13" s="3286" t="s">
        <v>633</v>
      </c>
      <c r="M13" s="3286">
        <v>49322</v>
      </c>
      <c r="N13" s="3286">
        <v>44527</v>
      </c>
      <c r="O13" s="3286">
        <v>5579233</v>
      </c>
      <c r="P13" s="3287">
        <v>45072</v>
      </c>
    </row>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election activeCell="C30" sqref="C30"/>
    </sheetView>
  </sheetViews>
  <sheetFormatPr defaultRowHeight="14.4"/>
  <cols>
    <col min="2" max="2" width="45.33203125" customWidth="1"/>
    <col min="3" max="3" width="15.44140625" customWidth="1"/>
    <col min="6" max="6" width="11.6640625" bestFit="1" customWidth="1"/>
  </cols>
  <sheetData>
    <row r="2" spans="1:7">
      <c r="C2" s="1405" t="s">
        <v>4373</v>
      </c>
      <c r="D2" s="1405" t="s">
        <v>4371</v>
      </c>
      <c r="E2" s="1405"/>
      <c r="F2" s="1405" t="s">
        <v>4372</v>
      </c>
    </row>
    <row r="3" spans="1:7">
      <c r="B3" s="1405" t="s">
        <v>4370</v>
      </c>
      <c r="C3" s="1405">
        <v>178.64</v>
      </c>
      <c r="D3">
        <v>7210000</v>
      </c>
      <c r="E3">
        <f>D3/C3</f>
        <v>40360.501567398125</v>
      </c>
      <c r="F3">
        <v>10202359.33</v>
      </c>
      <c r="G3">
        <f>F3/C3</f>
        <v>57111.281515897899</v>
      </c>
    </row>
    <row r="4" spans="1:7">
      <c r="F4">
        <f>E3/G3</f>
        <v>0.70669928070451526</v>
      </c>
    </row>
    <row r="6" spans="1:7">
      <c r="A6" s="3295" t="s">
        <v>4369</v>
      </c>
    </row>
  </sheetData>
  <phoneticPr fontId="136" type="noConversion"/>
  <hyperlinks>
    <hyperlink ref="A6"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4312</v>
      </c>
      <c r="B1" s="3265" t="s">
        <v>4313</v>
      </c>
      <c r="C1" s="3265" t="s">
        <v>4314</v>
      </c>
      <c r="D1" s="3265" t="s">
        <v>4315</v>
      </c>
      <c r="E1" s="3265" t="s">
        <v>4316</v>
      </c>
      <c r="F1" s="3265" t="s">
        <v>4317</v>
      </c>
      <c r="G1" s="3265" t="s">
        <v>4318</v>
      </c>
      <c r="H1" s="3265" t="s">
        <v>4319</v>
      </c>
      <c r="I1" s="3266" t="s">
        <v>4320</v>
      </c>
      <c r="J1" s="3265" t="s">
        <v>4321</v>
      </c>
      <c r="K1" s="3265" t="s">
        <v>3480</v>
      </c>
      <c r="L1" s="3265" t="s">
        <v>4322</v>
      </c>
    </row>
    <row r="2" spans="1:12">
      <c r="A2" s="3267" t="s">
        <v>4323</v>
      </c>
      <c r="B2" s="3267" t="s">
        <v>3908</v>
      </c>
      <c r="C2" s="3267">
        <v>7800000</v>
      </c>
      <c r="D2" s="3267">
        <v>97.36</v>
      </c>
      <c r="E2" s="3267" t="s">
        <v>4324</v>
      </c>
      <c r="F2" s="3267" t="s">
        <v>4325</v>
      </c>
      <c r="G2" s="3267" t="s">
        <v>4273</v>
      </c>
      <c r="H2" s="3267">
        <v>20</v>
      </c>
      <c r="I2" s="3268">
        <v>42802</v>
      </c>
      <c r="J2" s="3267">
        <v>80116</v>
      </c>
      <c r="K2" s="3267" t="s">
        <v>4326</v>
      </c>
      <c r="L2" s="3267">
        <v>24</v>
      </c>
    </row>
    <row r="3" spans="1:12">
      <c r="A3" s="3269" t="s">
        <v>4323</v>
      </c>
      <c r="B3" s="3269" t="s">
        <v>3908</v>
      </c>
      <c r="C3" s="3269">
        <v>3450000</v>
      </c>
      <c r="D3" s="3269">
        <v>48.95</v>
      </c>
      <c r="E3" s="3269" t="s">
        <v>4324</v>
      </c>
      <c r="F3" s="3269" t="s">
        <v>4327</v>
      </c>
      <c r="G3" s="3269" t="s">
        <v>4274</v>
      </c>
      <c r="H3" s="3269">
        <v>12</v>
      </c>
      <c r="I3" s="3270">
        <v>42810</v>
      </c>
      <c r="J3" s="3269">
        <v>70481</v>
      </c>
      <c r="K3" s="3269" t="s">
        <v>4328</v>
      </c>
      <c r="L3" s="3269">
        <v>24</v>
      </c>
    </row>
    <row r="4" spans="1:12">
      <c r="A4" t="s">
        <v>4323</v>
      </c>
      <c r="B4" t="s">
        <v>4329</v>
      </c>
      <c r="C4">
        <v>6150000</v>
      </c>
      <c r="D4">
        <v>93</v>
      </c>
      <c r="E4" t="s">
        <v>4324</v>
      </c>
      <c r="F4" t="s">
        <v>4330</v>
      </c>
      <c r="G4" t="s">
        <v>4292</v>
      </c>
      <c r="H4">
        <v>20</v>
      </c>
      <c r="I4" s="3227">
        <v>42863</v>
      </c>
      <c r="J4">
        <v>66130</v>
      </c>
      <c r="K4" t="s">
        <v>4326</v>
      </c>
      <c r="L4">
        <v>24</v>
      </c>
    </row>
    <row r="5" spans="1:12">
      <c r="A5" s="3269" t="s">
        <v>4323</v>
      </c>
      <c r="B5" s="3269" t="s">
        <v>4329</v>
      </c>
      <c r="C5" s="3269">
        <v>5950000</v>
      </c>
      <c r="D5" s="3269">
        <v>82.11</v>
      </c>
      <c r="E5" s="3269" t="s">
        <v>4324</v>
      </c>
      <c r="F5" s="3269" t="s">
        <v>4330</v>
      </c>
      <c r="G5" s="3269" t="s">
        <v>4292</v>
      </c>
      <c r="H5" s="3269">
        <v>8</v>
      </c>
      <c r="I5" s="3270">
        <v>42797</v>
      </c>
      <c r="J5" s="3269">
        <v>72464</v>
      </c>
      <c r="K5" s="3269" t="s">
        <v>4328</v>
      </c>
      <c r="L5" s="3269">
        <v>16</v>
      </c>
    </row>
    <row r="6" spans="1:12">
      <c r="A6" t="s">
        <v>4323</v>
      </c>
      <c r="B6" t="s">
        <v>4329</v>
      </c>
      <c r="C6">
        <v>9700000</v>
      </c>
      <c r="D6">
        <v>185.55</v>
      </c>
      <c r="E6" t="s">
        <v>4324</v>
      </c>
      <c r="F6" t="s">
        <v>4331</v>
      </c>
      <c r="G6" t="s">
        <v>4310</v>
      </c>
      <c r="H6" t="s">
        <v>4332</v>
      </c>
      <c r="I6" s="3227">
        <v>42806</v>
      </c>
      <c r="J6">
        <v>52278</v>
      </c>
      <c r="K6" t="s">
        <v>4333</v>
      </c>
      <c r="L6">
        <v>6</v>
      </c>
    </row>
    <row r="7" spans="1:12">
      <c r="A7" t="s">
        <v>4323</v>
      </c>
      <c r="B7" t="s">
        <v>4329</v>
      </c>
      <c r="C7">
        <v>6900000</v>
      </c>
      <c r="D7">
        <v>82.11</v>
      </c>
      <c r="E7" t="s">
        <v>4324</v>
      </c>
      <c r="F7" t="s">
        <v>4330</v>
      </c>
      <c r="G7" t="s">
        <v>4267</v>
      </c>
      <c r="H7">
        <v>20</v>
      </c>
      <c r="I7" s="3227">
        <v>42815</v>
      </c>
      <c r="J7">
        <v>84034</v>
      </c>
      <c r="K7" t="s">
        <v>4326</v>
      </c>
      <c r="L7">
        <v>24</v>
      </c>
    </row>
    <row r="8" spans="1:12">
      <c r="A8" s="3267" t="s">
        <v>4323</v>
      </c>
      <c r="B8" s="3267" t="s">
        <v>4329</v>
      </c>
      <c r="C8" s="3267">
        <v>9380000</v>
      </c>
      <c r="D8" s="3267">
        <v>126.88</v>
      </c>
      <c r="E8" s="3267" t="s">
        <v>4324</v>
      </c>
      <c r="F8" s="3267" t="s">
        <v>4325</v>
      </c>
      <c r="G8" s="3267" t="s">
        <v>4292</v>
      </c>
      <c r="H8" s="3267">
        <v>4</v>
      </c>
      <c r="I8" s="3268">
        <v>42810</v>
      </c>
      <c r="J8" s="3267">
        <v>73929</v>
      </c>
      <c r="K8" s="3267" t="s">
        <v>4334</v>
      </c>
      <c r="L8" s="3267">
        <v>24</v>
      </c>
    </row>
    <row r="9" spans="1:12">
      <c r="A9" s="3271" t="s">
        <v>4323</v>
      </c>
      <c r="B9" s="3271" t="s">
        <v>4329</v>
      </c>
      <c r="C9" s="3271">
        <v>6120000</v>
      </c>
      <c r="D9" s="3271">
        <v>80.709999999999994</v>
      </c>
      <c r="E9" s="3271" t="s">
        <v>4324</v>
      </c>
      <c r="F9" s="3271" t="s">
        <v>4330</v>
      </c>
      <c r="G9" s="3271" t="s">
        <v>4310</v>
      </c>
      <c r="H9" s="3271">
        <v>3</v>
      </c>
      <c r="I9" s="3272">
        <v>42798</v>
      </c>
      <c r="J9" s="3271">
        <v>75828</v>
      </c>
      <c r="K9" s="3271" t="s">
        <v>4328</v>
      </c>
      <c r="L9" s="3271">
        <v>6</v>
      </c>
    </row>
    <row r="10" spans="1:12">
      <c r="A10" s="3269" t="s">
        <v>4323</v>
      </c>
      <c r="B10" s="3269" t="s">
        <v>4329</v>
      </c>
      <c r="C10" s="3269">
        <v>6100000</v>
      </c>
      <c r="D10" s="3269">
        <v>81.61</v>
      </c>
      <c r="E10" s="3269" t="s">
        <v>4324</v>
      </c>
      <c r="F10" s="3269" t="s">
        <v>4330</v>
      </c>
      <c r="G10" s="3269" t="s">
        <v>4267</v>
      </c>
      <c r="H10" s="3269">
        <v>3</v>
      </c>
      <c r="I10" s="3270">
        <v>42814</v>
      </c>
      <c r="J10" s="3269">
        <v>74746</v>
      </c>
      <c r="K10" s="3269" t="s">
        <v>4334</v>
      </c>
      <c r="L10" s="3269">
        <v>16</v>
      </c>
    </row>
    <row r="11" spans="1:12">
      <c r="A11" t="s">
        <v>4323</v>
      </c>
      <c r="B11" t="s">
        <v>4329</v>
      </c>
      <c r="C11">
        <v>5800000</v>
      </c>
      <c r="D11">
        <v>81.61</v>
      </c>
      <c r="E11" t="s">
        <v>4324</v>
      </c>
      <c r="F11" t="s">
        <v>4330</v>
      </c>
      <c r="G11" t="s">
        <v>4267</v>
      </c>
      <c r="H11">
        <v>20</v>
      </c>
      <c r="I11" s="3227">
        <v>42770</v>
      </c>
      <c r="J11">
        <v>71070</v>
      </c>
      <c r="K11" t="s">
        <v>4326</v>
      </c>
      <c r="L11">
        <v>24</v>
      </c>
    </row>
    <row r="12" spans="1:12">
      <c r="A12" t="s">
        <v>4323</v>
      </c>
      <c r="B12" t="s">
        <v>4329</v>
      </c>
      <c r="C12">
        <v>9200000</v>
      </c>
      <c r="D12">
        <v>139.16999999999999</v>
      </c>
      <c r="E12" t="s">
        <v>4324</v>
      </c>
      <c r="F12" t="s">
        <v>4335</v>
      </c>
      <c r="G12" t="s">
        <v>4267</v>
      </c>
      <c r="H12">
        <v>12</v>
      </c>
      <c r="I12" s="3227">
        <v>42821</v>
      </c>
      <c r="J12">
        <v>66107</v>
      </c>
      <c r="K12" t="s">
        <v>4328</v>
      </c>
      <c r="L12">
        <v>24</v>
      </c>
    </row>
    <row r="13" spans="1:12">
      <c r="A13" t="s">
        <v>4323</v>
      </c>
      <c r="B13" t="s">
        <v>4329</v>
      </c>
      <c r="C13">
        <v>6350000</v>
      </c>
      <c r="D13">
        <v>93.63</v>
      </c>
      <c r="E13" t="s">
        <v>4324</v>
      </c>
      <c r="F13" t="s">
        <v>4330</v>
      </c>
      <c r="G13" t="s">
        <v>4292</v>
      </c>
      <c r="H13">
        <v>12</v>
      </c>
      <c r="I13" s="3227">
        <v>42813</v>
      </c>
      <c r="J13">
        <v>67821</v>
      </c>
      <c r="K13" t="s">
        <v>4328</v>
      </c>
      <c r="L13">
        <v>24</v>
      </c>
    </row>
    <row r="14" spans="1:12">
      <c r="A14" t="s">
        <v>4323</v>
      </c>
      <c r="B14" t="s">
        <v>4329</v>
      </c>
      <c r="C14">
        <v>6000000</v>
      </c>
      <c r="D14">
        <v>80</v>
      </c>
      <c r="E14" t="s">
        <v>4324</v>
      </c>
      <c r="F14" t="s">
        <v>4330</v>
      </c>
      <c r="G14" t="s">
        <v>4310</v>
      </c>
      <c r="H14">
        <v>1</v>
      </c>
      <c r="I14" s="3227">
        <v>42801</v>
      </c>
      <c r="J14">
        <v>75000</v>
      </c>
      <c r="K14" t="s">
        <v>4334</v>
      </c>
      <c r="L14">
        <v>6</v>
      </c>
    </row>
    <row r="15" spans="1:12">
      <c r="A15" t="s">
        <v>4336</v>
      </c>
      <c r="B15" t="s">
        <v>4329</v>
      </c>
      <c r="C15">
        <v>5950000</v>
      </c>
      <c r="D15">
        <v>101.87</v>
      </c>
      <c r="E15" t="s">
        <v>4324</v>
      </c>
      <c r="F15" t="s">
        <v>4325</v>
      </c>
      <c r="G15" t="s">
        <v>4337</v>
      </c>
      <c r="H15">
        <v>4</v>
      </c>
      <c r="I15" s="3227">
        <v>42751</v>
      </c>
      <c r="J15">
        <v>58408</v>
      </c>
      <c r="K15" t="s">
        <v>4334</v>
      </c>
      <c r="L15">
        <v>21</v>
      </c>
    </row>
    <row r="16" spans="1:12">
      <c r="A16" t="s">
        <v>4323</v>
      </c>
      <c r="B16" t="s">
        <v>3493</v>
      </c>
      <c r="C16">
        <v>6250000</v>
      </c>
      <c r="D16">
        <v>104.67</v>
      </c>
      <c r="E16" t="s">
        <v>4324</v>
      </c>
      <c r="F16" t="s">
        <v>4325</v>
      </c>
      <c r="G16" t="s">
        <v>4310</v>
      </c>
      <c r="H16" t="s">
        <v>4332</v>
      </c>
      <c r="I16" s="3227">
        <v>42802</v>
      </c>
      <c r="J16">
        <v>59712</v>
      </c>
      <c r="K16" t="s">
        <v>4333</v>
      </c>
      <c r="L16">
        <v>6</v>
      </c>
    </row>
    <row r="17" spans="1:12">
      <c r="A17" t="s">
        <v>4323</v>
      </c>
      <c r="B17" t="s">
        <v>3493</v>
      </c>
      <c r="C17">
        <v>3530000</v>
      </c>
      <c r="D17">
        <v>41.86</v>
      </c>
      <c r="E17" t="s">
        <v>4324</v>
      </c>
      <c r="F17" t="s">
        <v>4327</v>
      </c>
      <c r="G17" t="s">
        <v>4310</v>
      </c>
      <c r="H17" t="s">
        <v>4338</v>
      </c>
      <c r="I17" s="3227">
        <v>42844</v>
      </c>
      <c r="J17">
        <v>84329</v>
      </c>
      <c r="K17" t="s">
        <v>4339</v>
      </c>
      <c r="L17">
        <v>6</v>
      </c>
    </row>
    <row r="18" spans="1:12">
      <c r="A18" t="s">
        <v>4323</v>
      </c>
      <c r="B18" t="s">
        <v>3493</v>
      </c>
      <c r="C18">
        <v>4200000</v>
      </c>
      <c r="D18">
        <v>59.47</v>
      </c>
      <c r="E18" t="s">
        <v>4324</v>
      </c>
      <c r="F18" t="s">
        <v>4330</v>
      </c>
      <c r="G18" t="s">
        <v>4310</v>
      </c>
      <c r="H18">
        <v>5</v>
      </c>
      <c r="I18" s="3227">
        <v>42793</v>
      </c>
      <c r="J18">
        <v>70624</v>
      </c>
      <c r="K18" t="s">
        <v>4326</v>
      </c>
      <c r="L18">
        <v>6</v>
      </c>
    </row>
    <row r="19" spans="1:12">
      <c r="A19" t="s">
        <v>4323</v>
      </c>
      <c r="B19" t="s">
        <v>3493</v>
      </c>
      <c r="C19">
        <v>3960000</v>
      </c>
      <c r="D19">
        <v>59.47</v>
      </c>
      <c r="E19" t="s">
        <v>4324</v>
      </c>
      <c r="F19" t="s">
        <v>4330</v>
      </c>
      <c r="G19" t="s">
        <v>4310</v>
      </c>
      <c r="H19">
        <v>3</v>
      </c>
      <c r="I19" s="3227">
        <v>42788</v>
      </c>
      <c r="J19">
        <v>66588</v>
      </c>
      <c r="K19" t="s">
        <v>4328</v>
      </c>
      <c r="L19">
        <v>6</v>
      </c>
    </row>
    <row r="20" spans="1:12">
      <c r="A20" t="s">
        <v>4323</v>
      </c>
      <c r="B20" t="s">
        <v>3493</v>
      </c>
      <c r="C20">
        <v>3810000</v>
      </c>
      <c r="D20">
        <v>59.47</v>
      </c>
      <c r="E20" t="s">
        <v>4324</v>
      </c>
      <c r="F20" t="s">
        <v>4330</v>
      </c>
      <c r="G20" t="s">
        <v>4310</v>
      </c>
      <c r="H20">
        <v>1</v>
      </c>
      <c r="I20" s="3227">
        <v>42746</v>
      </c>
      <c r="J20">
        <v>64066</v>
      </c>
      <c r="K20" t="s">
        <v>4334</v>
      </c>
      <c r="L20">
        <v>6</v>
      </c>
    </row>
    <row r="21" spans="1:12">
      <c r="A21" t="s">
        <v>4323</v>
      </c>
      <c r="B21" t="s">
        <v>3494</v>
      </c>
      <c r="C21">
        <v>6000000</v>
      </c>
      <c r="D21">
        <v>90.99</v>
      </c>
      <c r="E21" t="s">
        <v>4324</v>
      </c>
      <c r="F21" t="s">
        <v>4330</v>
      </c>
      <c r="G21" t="s">
        <v>4292</v>
      </c>
      <c r="H21">
        <v>17</v>
      </c>
      <c r="I21" s="3227">
        <v>42830</v>
      </c>
      <c r="J21">
        <v>65942</v>
      </c>
      <c r="K21" t="s">
        <v>4326</v>
      </c>
      <c r="L21">
        <v>20</v>
      </c>
    </row>
    <row r="22" spans="1:12">
      <c r="A22" t="s">
        <v>4323</v>
      </c>
      <c r="B22" t="s">
        <v>3494</v>
      </c>
      <c r="C22">
        <v>5490000</v>
      </c>
      <c r="D22">
        <v>90.5</v>
      </c>
      <c r="E22" t="s">
        <v>4324</v>
      </c>
      <c r="F22" t="s">
        <v>4330</v>
      </c>
      <c r="G22" t="s">
        <v>4292</v>
      </c>
      <c r="H22">
        <v>10</v>
      </c>
      <c r="I22" s="3227">
        <v>42987</v>
      </c>
      <c r="J22">
        <v>60663</v>
      </c>
      <c r="K22" t="s">
        <v>4328</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估价对象为北京市房地产,属开发建设的，该项目尚在开发建设中。根据《国有土地使用证》[]，估价对象（分摊）出让国有建设用地使用权面积为0平方米，规划建筑面积为293.87平方米。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2024年10月28日（评估专业人员实地查勘之日）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4" customWidth="1"/>
    <col min="2" max="3" width="0" style="3184" hidden="1" customWidth="1"/>
    <col min="4" max="4" width="3.33203125" style="3184" hidden="1" customWidth="1"/>
    <col min="5" max="5" width="9" style="3184"/>
    <col min="6" max="6" width="20.6640625" style="3184" customWidth="1"/>
    <col min="7" max="7" width="9" style="3184"/>
    <col min="8" max="8" width="0" style="3184" hidden="1" customWidth="1"/>
    <col min="9" max="9" width="9" style="3184"/>
    <col min="10" max="10" width="7.109375" style="3184" customWidth="1"/>
    <col min="11" max="11" width="9" style="3184"/>
    <col min="12" max="12" width="7.33203125" style="3184" customWidth="1"/>
    <col min="13" max="13" width="7.6640625" style="3184" customWidth="1"/>
    <col min="14" max="14" width="15.21875" style="3184" customWidth="1"/>
    <col min="15" max="15" width="7.77734375" style="3184" customWidth="1"/>
    <col min="16" max="17" width="0" style="3184" hidden="1" customWidth="1"/>
    <col min="18" max="18" width="8.109375" style="3184" customWidth="1"/>
    <col min="19" max="19" width="7.88671875" style="3184" customWidth="1"/>
    <col min="20" max="20" width="7.44140625" style="3184" customWidth="1"/>
    <col min="21" max="21" width="12.77734375" style="3184" customWidth="1"/>
    <col min="22" max="16384" width="9" style="3184"/>
  </cols>
  <sheetData>
    <row r="1" spans="1:21" ht="27" customHeight="1" thickBot="1">
      <c r="A1" s="3183" t="s">
        <v>4218</v>
      </c>
      <c r="B1" s="3183" t="s">
        <v>4219</v>
      </c>
      <c r="C1" s="3183" t="s">
        <v>3882</v>
      </c>
      <c r="D1" s="3183" t="s">
        <v>3883</v>
      </c>
      <c r="E1" s="3183" t="s">
        <v>3884</v>
      </c>
      <c r="F1" s="3183" t="s">
        <v>3473</v>
      </c>
      <c r="G1" s="3183" t="s">
        <v>3474</v>
      </c>
      <c r="H1" s="3183" t="s">
        <v>3475</v>
      </c>
      <c r="I1" s="3183" t="s">
        <v>3476</v>
      </c>
      <c r="J1" s="3183" t="s">
        <v>3477</v>
      </c>
      <c r="K1" s="3183" t="s">
        <v>3478</v>
      </c>
      <c r="L1" s="3183" t="s">
        <v>3479</v>
      </c>
      <c r="M1" s="3183" t="s">
        <v>3480</v>
      </c>
      <c r="N1" s="3183" t="s">
        <v>3481</v>
      </c>
      <c r="O1" s="3183" t="s">
        <v>3482</v>
      </c>
      <c r="P1" s="3183" t="s">
        <v>3885</v>
      </c>
      <c r="Q1" s="3183" t="s">
        <v>3886</v>
      </c>
      <c r="R1" s="3183" t="s">
        <v>3483</v>
      </c>
      <c r="S1" s="3183" t="s">
        <v>3484</v>
      </c>
      <c r="T1" s="3183" t="s">
        <v>3485</v>
      </c>
      <c r="U1" s="3183" t="s">
        <v>3486</v>
      </c>
    </row>
    <row r="2" spans="1:21" ht="27" hidden="1" customHeight="1" thickBot="1">
      <c r="A2" s="3185">
        <v>1</v>
      </c>
      <c r="B2" s="3186" t="s">
        <v>3887</v>
      </c>
      <c r="C2" s="3185" t="s">
        <v>3888</v>
      </c>
      <c r="D2" s="3185" t="s">
        <v>3889</v>
      </c>
      <c r="E2" s="3185" t="s">
        <v>3890</v>
      </c>
      <c r="F2" s="3185" t="s">
        <v>3891</v>
      </c>
      <c r="G2" s="3185" t="s">
        <v>3493</v>
      </c>
      <c r="H2" s="3185" t="s">
        <v>3489</v>
      </c>
      <c r="I2" s="3185" t="s">
        <v>3490</v>
      </c>
      <c r="J2" s="3185">
        <v>72.59</v>
      </c>
      <c r="K2" s="3185" t="s">
        <v>3386</v>
      </c>
      <c r="L2" s="3185">
        <v>7</v>
      </c>
      <c r="M2" s="3185">
        <v>4</v>
      </c>
      <c r="N2" s="3185">
        <v>1999</v>
      </c>
      <c r="O2" s="3185" t="s">
        <v>633</v>
      </c>
      <c r="P2" s="3185" t="s">
        <v>633</v>
      </c>
      <c r="Q2" s="3185" t="s">
        <v>633</v>
      </c>
      <c r="R2" s="3185">
        <v>46838</v>
      </c>
      <c r="S2" s="3185">
        <v>46887</v>
      </c>
      <c r="T2" s="3185">
        <v>3403527</v>
      </c>
      <c r="U2" s="3187">
        <v>45385</v>
      </c>
    </row>
    <row r="3" spans="1:21" ht="27" customHeight="1" thickBot="1">
      <c r="A3" s="3180">
        <v>2</v>
      </c>
      <c r="B3" s="3181" t="s">
        <v>3887</v>
      </c>
      <c r="C3" s="3180" t="s">
        <v>3892</v>
      </c>
      <c r="D3" s="3180" t="s">
        <v>3893</v>
      </c>
      <c r="E3" s="3180" t="s">
        <v>3890</v>
      </c>
      <c r="F3" s="3180" t="s">
        <v>3894</v>
      </c>
      <c r="G3" s="3180" t="s">
        <v>3494</v>
      </c>
      <c r="H3" s="3180" t="s">
        <v>3489</v>
      </c>
      <c r="I3" s="3180" t="s">
        <v>3498</v>
      </c>
      <c r="J3" s="3180">
        <v>76.66</v>
      </c>
      <c r="K3" s="3180" t="s">
        <v>3386</v>
      </c>
      <c r="L3" s="3180" t="s">
        <v>3499</v>
      </c>
      <c r="M3" s="3180">
        <v>1</v>
      </c>
      <c r="N3" s="3180">
        <v>2005</v>
      </c>
      <c r="O3" s="3180" t="s">
        <v>3895</v>
      </c>
      <c r="P3" s="3180" t="s">
        <v>633</v>
      </c>
      <c r="Q3" s="3180" t="s">
        <v>633</v>
      </c>
      <c r="R3" s="3180">
        <v>49309</v>
      </c>
      <c r="S3" s="3180">
        <v>48759</v>
      </c>
      <c r="T3" s="3180">
        <v>3737865</v>
      </c>
      <c r="U3" s="3182">
        <v>45370</v>
      </c>
    </row>
    <row r="4" spans="1:21" ht="27" hidden="1" customHeight="1" thickBot="1">
      <c r="A4" s="3185">
        <v>3</v>
      </c>
      <c r="B4" s="3186" t="s">
        <v>3887</v>
      </c>
      <c r="C4" s="3185" t="s">
        <v>3896</v>
      </c>
      <c r="D4" s="3185" t="s">
        <v>3897</v>
      </c>
      <c r="E4" s="3185" t="s">
        <v>3890</v>
      </c>
      <c r="F4" s="3185" t="s">
        <v>3898</v>
      </c>
      <c r="G4" s="3185" t="s">
        <v>3493</v>
      </c>
      <c r="H4" s="3185" t="s">
        <v>3489</v>
      </c>
      <c r="I4" s="3185" t="s">
        <v>3490</v>
      </c>
      <c r="J4" s="3185">
        <v>55.35</v>
      </c>
      <c r="K4" s="3185" t="s">
        <v>3386</v>
      </c>
      <c r="L4" s="3185">
        <v>6</v>
      </c>
      <c r="M4" s="3185">
        <v>6</v>
      </c>
      <c r="N4" s="3185" t="s">
        <v>633</v>
      </c>
      <c r="O4" s="3185">
        <v>1998</v>
      </c>
      <c r="P4" s="3185" t="s">
        <v>633</v>
      </c>
      <c r="Q4" s="3185" t="s">
        <v>633</v>
      </c>
      <c r="R4" s="3185">
        <v>60524</v>
      </c>
      <c r="S4" s="3185">
        <v>58230</v>
      </c>
      <c r="T4" s="3185">
        <v>3223031</v>
      </c>
      <c r="U4" s="3187">
        <v>45022</v>
      </c>
    </row>
    <row r="5" spans="1:21" ht="27" customHeight="1" thickBot="1">
      <c r="A5" s="3180">
        <v>4</v>
      </c>
      <c r="B5" s="3181" t="s">
        <v>3887</v>
      </c>
      <c r="C5" s="3180" t="s">
        <v>3899</v>
      </c>
      <c r="D5" s="3180" t="s">
        <v>3900</v>
      </c>
      <c r="E5" s="3180" t="s">
        <v>3890</v>
      </c>
      <c r="F5" s="3180" t="s">
        <v>3901</v>
      </c>
      <c r="G5" s="3180" t="s">
        <v>3494</v>
      </c>
      <c r="H5" s="3180" t="s">
        <v>3489</v>
      </c>
      <c r="I5" s="3180" t="s">
        <v>3495</v>
      </c>
      <c r="J5" s="3180">
        <v>88.43</v>
      </c>
      <c r="K5" s="3180" t="s">
        <v>3386</v>
      </c>
      <c r="L5" s="3180" t="s">
        <v>3499</v>
      </c>
      <c r="M5" s="3180">
        <v>10</v>
      </c>
      <c r="N5" s="3180">
        <v>2005</v>
      </c>
      <c r="O5" s="3180" t="s">
        <v>633</v>
      </c>
      <c r="P5" s="3180" t="s">
        <v>633</v>
      </c>
      <c r="Q5" s="3180" t="s">
        <v>633</v>
      </c>
      <c r="R5" s="3180">
        <v>61631</v>
      </c>
      <c r="S5" s="3180">
        <v>58819</v>
      </c>
      <c r="T5" s="3180">
        <v>5201364</v>
      </c>
      <c r="U5" s="3182">
        <v>45006</v>
      </c>
    </row>
    <row r="6" spans="1:21" ht="27" hidden="1" customHeight="1" thickBot="1">
      <c r="A6" s="3185">
        <v>5</v>
      </c>
      <c r="B6" s="3186" t="s">
        <v>3887</v>
      </c>
      <c r="C6" s="3185" t="s">
        <v>3902</v>
      </c>
      <c r="D6" s="3185" t="s">
        <v>3903</v>
      </c>
      <c r="E6" s="3185" t="s">
        <v>3890</v>
      </c>
      <c r="F6" s="3185" t="s">
        <v>3904</v>
      </c>
      <c r="G6" s="3185" t="s">
        <v>3502</v>
      </c>
      <c r="H6" s="3185" t="s">
        <v>3489</v>
      </c>
      <c r="I6" s="3185" t="s">
        <v>3498</v>
      </c>
      <c r="J6" s="3185">
        <v>68.790000000000006</v>
      </c>
      <c r="K6" s="3185" t="s">
        <v>3386</v>
      </c>
      <c r="L6" s="3185">
        <v>27</v>
      </c>
      <c r="M6" s="3185">
        <v>25</v>
      </c>
      <c r="N6" s="3185">
        <v>2011</v>
      </c>
      <c r="O6" s="3185" t="s">
        <v>633</v>
      </c>
      <c r="P6" s="3185" t="s">
        <v>633</v>
      </c>
      <c r="Q6" s="3185" t="s">
        <v>633</v>
      </c>
      <c r="R6" s="3185">
        <v>69632</v>
      </c>
      <c r="S6" s="3185">
        <v>64834</v>
      </c>
      <c r="T6" s="3185">
        <v>4459931</v>
      </c>
      <c r="U6" s="3187">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5">
        <v>7</v>
      </c>
      <c r="B8" s="3186" t="s">
        <v>3887</v>
      </c>
      <c r="C8" s="3185" t="s">
        <v>3910</v>
      </c>
      <c r="D8" s="3185" t="s">
        <v>3911</v>
      </c>
      <c r="E8" s="3185" t="s">
        <v>3890</v>
      </c>
      <c r="F8" s="3185" t="s">
        <v>3912</v>
      </c>
      <c r="G8" s="3185" t="s">
        <v>3493</v>
      </c>
      <c r="H8" s="3185" t="s">
        <v>3489</v>
      </c>
      <c r="I8" s="3185" t="s">
        <v>3498</v>
      </c>
      <c r="J8" s="3185">
        <v>59.47</v>
      </c>
      <c r="K8" s="3185" t="s">
        <v>3386</v>
      </c>
      <c r="L8" s="3185">
        <v>6</v>
      </c>
      <c r="M8" s="3185">
        <v>2</v>
      </c>
      <c r="N8" s="3185" t="s">
        <v>633</v>
      </c>
      <c r="O8" s="3185">
        <v>1998</v>
      </c>
      <c r="P8" s="3185" t="s">
        <v>633</v>
      </c>
      <c r="Q8" s="3185" t="s">
        <v>633</v>
      </c>
      <c r="R8" s="3185">
        <v>65579</v>
      </c>
      <c r="S8" s="3185">
        <v>61852</v>
      </c>
      <c r="T8" s="3185">
        <v>3678338</v>
      </c>
      <c r="U8" s="3187">
        <v>44979</v>
      </c>
    </row>
    <row r="9" spans="1:21" ht="27" customHeight="1" thickBot="1">
      <c r="A9" s="3180">
        <v>8</v>
      </c>
      <c r="B9" s="3181" t="s">
        <v>3887</v>
      </c>
      <c r="C9" s="3180" t="s">
        <v>3913</v>
      </c>
      <c r="D9" s="3180" t="s">
        <v>3914</v>
      </c>
      <c r="E9" s="3180" t="s">
        <v>3890</v>
      </c>
      <c r="F9" s="3180" t="s">
        <v>3915</v>
      </c>
      <c r="G9" s="3180" t="s">
        <v>3494</v>
      </c>
      <c r="H9" s="3180" t="s">
        <v>3489</v>
      </c>
      <c r="I9" s="3180" t="s">
        <v>3498</v>
      </c>
      <c r="J9" s="3180">
        <v>83.43</v>
      </c>
      <c r="K9" s="3180" t="s">
        <v>3386</v>
      </c>
      <c r="L9" s="3180" t="s">
        <v>3499</v>
      </c>
      <c r="M9" s="3180">
        <v>9</v>
      </c>
      <c r="N9" s="3180">
        <v>2005</v>
      </c>
      <c r="O9" s="3180" t="s">
        <v>633</v>
      </c>
      <c r="P9" s="3180" t="s">
        <v>633</v>
      </c>
      <c r="Q9" s="3180" t="s">
        <v>633</v>
      </c>
      <c r="R9" s="3180">
        <v>53698</v>
      </c>
      <c r="S9" s="3180">
        <v>52206</v>
      </c>
      <c r="T9" s="3180">
        <v>4355547</v>
      </c>
      <c r="U9" s="3182">
        <v>44976</v>
      </c>
    </row>
    <row r="10" spans="1:21" ht="27" hidden="1" customHeight="1" thickBot="1">
      <c r="A10" s="3185">
        <v>9</v>
      </c>
      <c r="B10" s="3186" t="s">
        <v>3887</v>
      </c>
      <c r="C10" s="3185" t="s">
        <v>3916</v>
      </c>
      <c r="D10" s="3185" t="s">
        <v>3917</v>
      </c>
      <c r="E10" s="3185" t="s">
        <v>3890</v>
      </c>
      <c r="F10" s="3185" t="s">
        <v>3918</v>
      </c>
      <c r="G10" s="3185" t="s">
        <v>3502</v>
      </c>
      <c r="H10" s="3185" t="s">
        <v>3919</v>
      </c>
      <c r="I10" s="3185" t="s">
        <v>3498</v>
      </c>
      <c r="J10" s="3185">
        <v>88.12</v>
      </c>
      <c r="K10" s="3185" t="s">
        <v>3386</v>
      </c>
      <c r="L10" s="3185" t="s">
        <v>3920</v>
      </c>
      <c r="M10" s="3185">
        <v>12</v>
      </c>
      <c r="N10" s="3185">
        <v>2011</v>
      </c>
      <c r="O10" s="3185" t="s">
        <v>633</v>
      </c>
      <c r="P10" s="3185" t="s">
        <v>633</v>
      </c>
      <c r="Q10" s="3185" t="s">
        <v>633</v>
      </c>
      <c r="R10" s="3185">
        <v>72061</v>
      </c>
      <c r="S10" s="3185">
        <v>67350</v>
      </c>
      <c r="T10" s="3185">
        <v>5934882</v>
      </c>
      <c r="U10" s="3187">
        <v>44959</v>
      </c>
    </row>
    <row r="11" spans="1:21" ht="27" hidden="1" customHeight="1" thickBot="1">
      <c r="A11" s="3185">
        <v>10</v>
      </c>
      <c r="B11" s="3186" t="s">
        <v>3887</v>
      </c>
      <c r="C11" s="3185" t="s">
        <v>3921</v>
      </c>
      <c r="D11" s="3185" t="s">
        <v>3922</v>
      </c>
      <c r="E11" s="3185" t="s">
        <v>3890</v>
      </c>
      <c r="F11" s="3185" t="s">
        <v>3923</v>
      </c>
      <c r="G11" s="3185" t="s">
        <v>3502</v>
      </c>
      <c r="H11" s="3185" t="s">
        <v>3489</v>
      </c>
      <c r="I11" s="3185" t="s">
        <v>3498</v>
      </c>
      <c r="J11" s="3185">
        <v>68.790000000000006</v>
      </c>
      <c r="K11" s="3185" t="s">
        <v>3386</v>
      </c>
      <c r="L11" s="3185" t="s">
        <v>3503</v>
      </c>
      <c r="M11" s="3185">
        <v>18</v>
      </c>
      <c r="N11" s="3185" t="s">
        <v>633</v>
      </c>
      <c r="O11" s="3185">
        <v>2011</v>
      </c>
      <c r="P11" s="3185" t="s">
        <v>633</v>
      </c>
      <c r="Q11" s="3185" t="s">
        <v>633</v>
      </c>
      <c r="R11" s="3185">
        <v>69487</v>
      </c>
      <c r="S11" s="3185">
        <v>66899</v>
      </c>
      <c r="T11" s="3185">
        <v>4601982</v>
      </c>
      <c r="U11" s="3187">
        <v>44929</v>
      </c>
    </row>
    <row r="12" spans="1:21" ht="27" hidden="1" customHeight="1" thickBot="1">
      <c r="A12" s="3185">
        <v>11</v>
      </c>
      <c r="B12" s="3186" t="s">
        <v>3887</v>
      </c>
      <c r="C12" s="3185" t="s">
        <v>3924</v>
      </c>
      <c r="D12" s="3185" t="s">
        <v>3925</v>
      </c>
      <c r="E12" s="3185" t="s">
        <v>3890</v>
      </c>
      <c r="F12" s="3185" t="s">
        <v>3926</v>
      </c>
      <c r="G12" s="3185" t="s">
        <v>3493</v>
      </c>
      <c r="H12" s="3185" t="s">
        <v>3489</v>
      </c>
      <c r="I12" s="3185" t="s">
        <v>3490</v>
      </c>
      <c r="J12" s="3185">
        <v>149.15</v>
      </c>
      <c r="K12" s="3185" t="s">
        <v>3386</v>
      </c>
      <c r="L12" s="3185">
        <v>7</v>
      </c>
      <c r="M12" s="3188">
        <v>45450</v>
      </c>
      <c r="N12" s="3185">
        <v>1996</v>
      </c>
      <c r="O12" s="3185" t="s">
        <v>633</v>
      </c>
      <c r="P12" s="3185" t="s">
        <v>633</v>
      </c>
      <c r="Q12" s="3185" t="s">
        <v>633</v>
      </c>
      <c r="R12" s="3185">
        <v>43580</v>
      </c>
      <c r="S12" s="3185">
        <v>41497</v>
      </c>
      <c r="T12" s="3185">
        <v>6189278</v>
      </c>
      <c r="U12" s="3187">
        <v>44904</v>
      </c>
    </row>
    <row r="13" spans="1:21" ht="27" hidden="1" customHeight="1" thickBot="1">
      <c r="A13" s="3185">
        <v>12</v>
      </c>
      <c r="B13" s="3186" t="s">
        <v>3887</v>
      </c>
      <c r="C13" s="3185" t="s">
        <v>3927</v>
      </c>
      <c r="D13" s="3185" t="s">
        <v>3928</v>
      </c>
      <c r="E13" s="3185" t="s">
        <v>3890</v>
      </c>
      <c r="F13" s="3185" t="s">
        <v>3929</v>
      </c>
      <c r="G13" s="3185" t="s">
        <v>3493</v>
      </c>
      <c r="H13" s="3185" t="s">
        <v>3489</v>
      </c>
      <c r="I13" s="3185" t="s">
        <v>3490</v>
      </c>
      <c r="J13" s="3185">
        <v>97.76</v>
      </c>
      <c r="K13" s="3185" t="s">
        <v>3386</v>
      </c>
      <c r="L13" s="3185">
        <v>7</v>
      </c>
      <c r="M13" s="3185">
        <v>3</v>
      </c>
      <c r="N13" s="3185">
        <v>1996</v>
      </c>
      <c r="O13" s="3185" t="s">
        <v>633</v>
      </c>
      <c r="P13" s="3185" t="s">
        <v>633</v>
      </c>
      <c r="Q13" s="3185" t="s">
        <v>633</v>
      </c>
      <c r="R13" s="3185">
        <v>58920</v>
      </c>
      <c r="S13" s="3185">
        <v>57864</v>
      </c>
      <c r="T13" s="3185">
        <v>5656785</v>
      </c>
      <c r="U13" s="3187">
        <v>44850</v>
      </c>
    </row>
    <row r="14" spans="1:21" ht="27" hidden="1" customHeight="1" thickBot="1">
      <c r="A14" s="3185">
        <v>13</v>
      </c>
      <c r="B14" s="3186" t="s">
        <v>3887</v>
      </c>
      <c r="C14" s="3185" t="s">
        <v>3930</v>
      </c>
      <c r="D14" s="3185" t="s">
        <v>3931</v>
      </c>
      <c r="E14" s="3185" t="s">
        <v>3890</v>
      </c>
      <c r="F14" s="3185" t="s">
        <v>3932</v>
      </c>
      <c r="G14" s="3185" t="s">
        <v>3502</v>
      </c>
      <c r="H14" s="3185" t="s">
        <v>3489</v>
      </c>
      <c r="I14" s="3185" t="s">
        <v>3498</v>
      </c>
      <c r="J14" s="3185">
        <v>95.41</v>
      </c>
      <c r="K14" s="3185" t="s">
        <v>3386</v>
      </c>
      <c r="L14" s="3185" t="s">
        <v>3933</v>
      </c>
      <c r="M14" s="3185">
        <v>14</v>
      </c>
      <c r="N14" s="3185">
        <v>2011</v>
      </c>
      <c r="O14" s="3185" t="s">
        <v>633</v>
      </c>
      <c r="P14" s="3185" t="s">
        <v>633</v>
      </c>
      <c r="Q14" s="3185" t="s">
        <v>633</v>
      </c>
      <c r="R14" s="3185">
        <v>72319</v>
      </c>
      <c r="S14" s="3185">
        <v>68651</v>
      </c>
      <c r="T14" s="3185">
        <v>6549992</v>
      </c>
      <c r="U14" s="3187">
        <v>44790</v>
      </c>
    </row>
    <row r="15" spans="1:21" ht="27" hidden="1" customHeight="1" thickBot="1">
      <c r="A15" s="3185">
        <v>14</v>
      </c>
      <c r="B15" s="3186" t="s">
        <v>3887</v>
      </c>
      <c r="C15" s="3185" t="s">
        <v>3934</v>
      </c>
      <c r="D15" s="3185" t="s">
        <v>3935</v>
      </c>
      <c r="E15" s="3185" t="s">
        <v>3890</v>
      </c>
      <c r="F15" s="3185" t="s">
        <v>3936</v>
      </c>
      <c r="G15" s="3185" t="s">
        <v>3502</v>
      </c>
      <c r="H15" s="3185" t="s">
        <v>3489</v>
      </c>
      <c r="I15" s="3185" t="s">
        <v>3498</v>
      </c>
      <c r="J15" s="3185">
        <v>76.67</v>
      </c>
      <c r="K15" s="3185" t="s">
        <v>3386</v>
      </c>
      <c r="L15" s="3185" t="s">
        <v>3933</v>
      </c>
      <c r="M15" s="3185">
        <v>23</v>
      </c>
      <c r="N15" s="3185">
        <v>2011</v>
      </c>
      <c r="O15" s="3185" t="s">
        <v>633</v>
      </c>
      <c r="P15" s="3185" t="s">
        <v>633</v>
      </c>
      <c r="Q15" s="3185" t="s">
        <v>633</v>
      </c>
      <c r="R15" s="3185">
        <v>68736</v>
      </c>
      <c r="S15" s="3185">
        <v>64943</v>
      </c>
      <c r="T15" s="3185">
        <v>4979180</v>
      </c>
      <c r="U15" s="3187">
        <v>44770</v>
      </c>
    </row>
    <row r="16" spans="1:21" ht="27" hidden="1" customHeight="1" thickBot="1">
      <c r="A16" s="3185">
        <v>15</v>
      </c>
      <c r="B16" s="3186" t="s">
        <v>3887</v>
      </c>
      <c r="C16" s="3185" t="s">
        <v>3937</v>
      </c>
      <c r="D16" s="3185" t="s">
        <v>3938</v>
      </c>
      <c r="E16" s="3185" t="s">
        <v>3890</v>
      </c>
      <c r="F16" s="3185" t="s">
        <v>3939</v>
      </c>
      <c r="G16" s="3185" t="s">
        <v>3502</v>
      </c>
      <c r="H16" s="3185" t="s">
        <v>3489</v>
      </c>
      <c r="I16" s="3185" t="s">
        <v>3498</v>
      </c>
      <c r="J16" s="3185">
        <v>68.790000000000006</v>
      </c>
      <c r="K16" s="3185" t="s">
        <v>3386</v>
      </c>
      <c r="L16" s="3185" t="s">
        <v>3940</v>
      </c>
      <c r="M16" s="3185">
        <v>6</v>
      </c>
      <c r="N16" s="3185" t="s">
        <v>633</v>
      </c>
      <c r="O16" s="3185">
        <v>2011</v>
      </c>
      <c r="P16" s="3185" t="s">
        <v>633</v>
      </c>
      <c r="Q16" s="3185" t="s">
        <v>633</v>
      </c>
      <c r="R16" s="3185">
        <v>69312</v>
      </c>
      <c r="S16" s="3185">
        <v>63698</v>
      </c>
      <c r="T16" s="3185">
        <v>4381785</v>
      </c>
      <c r="U16" s="3187">
        <v>44801</v>
      </c>
    </row>
    <row r="17" spans="1:21" ht="27" hidden="1" customHeight="1" thickBot="1">
      <c r="A17" s="3189">
        <v>16</v>
      </c>
      <c r="B17" s="3190" t="s">
        <v>3887</v>
      </c>
      <c r="C17" s="3189" t="s">
        <v>3941</v>
      </c>
      <c r="D17" s="3189" t="s">
        <v>3942</v>
      </c>
      <c r="E17" s="3189" t="s">
        <v>3890</v>
      </c>
      <c r="F17" s="3189" t="s">
        <v>3943</v>
      </c>
      <c r="G17" s="3189" t="s">
        <v>3502</v>
      </c>
      <c r="H17" s="3189" t="s">
        <v>3489</v>
      </c>
      <c r="I17" s="3189" t="s">
        <v>3498</v>
      </c>
      <c r="J17" s="3189">
        <v>93.69</v>
      </c>
      <c r="K17" s="3189" t="s">
        <v>3386</v>
      </c>
      <c r="L17" s="3189" t="s">
        <v>3503</v>
      </c>
      <c r="M17" s="3189">
        <v>21</v>
      </c>
      <c r="N17" s="3189" t="s">
        <v>633</v>
      </c>
      <c r="O17" s="3189">
        <v>2011</v>
      </c>
      <c r="P17" s="3189" t="s">
        <v>633</v>
      </c>
      <c r="Q17" s="3189" t="s">
        <v>633</v>
      </c>
      <c r="R17" s="3189">
        <v>67883</v>
      </c>
      <c r="S17" s="3189">
        <v>64315</v>
      </c>
      <c r="T17" s="3189">
        <v>6025672</v>
      </c>
      <c r="U17" s="3191">
        <v>44768</v>
      </c>
    </row>
    <row r="18" spans="1:21" ht="27" hidden="1" customHeight="1" thickBot="1">
      <c r="A18" s="3185">
        <v>17</v>
      </c>
      <c r="B18" s="3186" t="s">
        <v>3887</v>
      </c>
      <c r="C18" s="3185" t="s">
        <v>3944</v>
      </c>
      <c r="D18" s="3185" t="s">
        <v>3945</v>
      </c>
      <c r="E18" s="3185" t="s">
        <v>3890</v>
      </c>
      <c r="F18" s="3185" t="s">
        <v>3946</v>
      </c>
      <c r="G18" s="3185" t="s">
        <v>3502</v>
      </c>
      <c r="H18" s="3185" t="s">
        <v>3489</v>
      </c>
      <c r="I18" s="3185" t="s">
        <v>3498</v>
      </c>
      <c r="J18" s="3185">
        <v>68.790000000000006</v>
      </c>
      <c r="K18" s="3185" t="s">
        <v>3386</v>
      </c>
      <c r="L18" s="3185" t="s">
        <v>3503</v>
      </c>
      <c r="M18" s="3185">
        <v>12</v>
      </c>
      <c r="N18" s="3185" t="s">
        <v>633</v>
      </c>
      <c r="O18" s="3185">
        <v>2011</v>
      </c>
      <c r="P18" s="3185" t="s">
        <v>633</v>
      </c>
      <c r="Q18" s="3185" t="s">
        <v>633</v>
      </c>
      <c r="R18" s="3185">
        <v>73485</v>
      </c>
      <c r="S18" s="3185">
        <v>73452</v>
      </c>
      <c r="T18" s="3185">
        <v>5052763</v>
      </c>
      <c r="U18" s="3187">
        <v>44764</v>
      </c>
    </row>
    <row r="19" spans="1:21" ht="27" customHeight="1" thickBot="1">
      <c r="A19" s="3180">
        <v>18</v>
      </c>
      <c r="B19" s="3181" t="s">
        <v>3887</v>
      </c>
      <c r="C19" s="3180" t="s">
        <v>3947</v>
      </c>
      <c r="D19" s="3180" t="s">
        <v>3948</v>
      </c>
      <c r="E19" s="3180" t="s">
        <v>3890</v>
      </c>
      <c r="F19" s="3180" t="s">
        <v>3949</v>
      </c>
      <c r="G19" s="3180" t="s">
        <v>3494</v>
      </c>
      <c r="H19" s="3180" t="s">
        <v>3489</v>
      </c>
      <c r="I19" s="3180" t="s">
        <v>3495</v>
      </c>
      <c r="J19" s="3180">
        <v>89.19</v>
      </c>
      <c r="K19" s="3180" t="s">
        <v>3386</v>
      </c>
      <c r="L19" s="3180" t="s">
        <v>3496</v>
      </c>
      <c r="M19" s="3180">
        <v>16</v>
      </c>
      <c r="N19" s="3180" t="s">
        <v>633</v>
      </c>
      <c r="O19" s="3180">
        <v>2006</v>
      </c>
      <c r="P19" s="3180" t="s">
        <v>633</v>
      </c>
      <c r="Q19" s="3180" t="s">
        <v>633</v>
      </c>
      <c r="R19" s="3180">
        <v>59087</v>
      </c>
      <c r="S19" s="3180">
        <v>55407</v>
      </c>
      <c r="T19" s="3180">
        <v>4941750</v>
      </c>
      <c r="U19" s="3182">
        <v>44761</v>
      </c>
    </row>
    <row r="20" spans="1:21" s="3198"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5">
        <v>25</v>
      </c>
      <c r="B26" s="3186" t="s">
        <v>3887</v>
      </c>
      <c r="C26" s="3185" t="s">
        <v>3970</v>
      </c>
      <c r="D26" s="3185" t="s">
        <v>3971</v>
      </c>
      <c r="E26" s="3185" t="s">
        <v>3890</v>
      </c>
      <c r="F26" s="3185" t="s">
        <v>3972</v>
      </c>
      <c r="G26" s="3185" t="s">
        <v>3502</v>
      </c>
      <c r="H26" s="3185" t="s">
        <v>3489</v>
      </c>
      <c r="I26" s="3185" t="s">
        <v>3498</v>
      </c>
      <c r="J26" s="3185">
        <v>77.58</v>
      </c>
      <c r="K26" s="3185" t="s">
        <v>3386</v>
      </c>
      <c r="L26" s="3185" t="s">
        <v>3933</v>
      </c>
      <c r="M26" s="3185">
        <v>11</v>
      </c>
      <c r="N26" s="3185">
        <v>2011</v>
      </c>
      <c r="O26" s="3185" t="s">
        <v>633</v>
      </c>
      <c r="P26" s="3185" t="s">
        <v>633</v>
      </c>
      <c r="Q26" s="3185" t="s">
        <v>633</v>
      </c>
      <c r="R26" s="3185">
        <v>71926</v>
      </c>
      <c r="S26" s="3185">
        <v>65319</v>
      </c>
      <c r="T26" s="3185">
        <v>5067448</v>
      </c>
      <c r="U26" s="3187">
        <v>44674</v>
      </c>
    </row>
    <row r="27" spans="1:21" ht="27" hidden="1" customHeight="1" thickBot="1">
      <c r="A27" s="3185">
        <v>26</v>
      </c>
      <c r="B27" s="3186" t="s">
        <v>3887</v>
      </c>
      <c r="C27" s="3185" t="s">
        <v>3973</v>
      </c>
      <c r="D27" s="3185" t="s">
        <v>3974</v>
      </c>
      <c r="E27" s="3185" t="s">
        <v>3890</v>
      </c>
      <c r="F27" s="3185" t="s">
        <v>3975</v>
      </c>
      <c r="G27" s="3185" t="s">
        <v>3493</v>
      </c>
      <c r="H27" s="3185" t="s">
        <v>3489</v>
      </c>
      <c r="I27" s="3185" t="s">
        <v>3490</v>
      </c>
      <c r="J27" s="3185">
        <v>72.59</v>
      </c>
      <c r="K27" s="3185" t="s">
        <v>3386</v>
      </c>
      <c r="L27" s="3185">
        <v>7</v>
      </c>
      <c r="M27" s="3185">
        <v>3</v>
      </c>
      <c r="N27" s="3185">
        <v>1999</v>
      </c>
      <c r="O27" s="3185" t="s">
        <v>633</v>
      </c>
      <c r="P27" s="3185" t="s">
        <v>633</v>
      </c>
      <c r="Q27" s="3185" t="s">
        <v>633</v>
      </c>
      <c r="R27" s="3185">
        <v>57859</v>
      </c>
      <c r="S27" s="3185">
        <v>55210</v>
      </c>
      <c r="T27" s="3185">
        <v>4007694</v>
      </c>
      <c r="U27" s="3187">
        <v>44642</v>
      </c>
    </row>
    <row r="28" spans="1:21" ht="27" customHeight="1" thickBot="1">
      <c r="A28" s="3180">
        <v>27</v>
      </c>
      <c r="B28" s="3181" t="s">
        <v>3887</v>
      </c>
      <c r="C28" s="3180" t="s">
        <v>3976</v>
      </c>
      <c r="D28" s="3180" t="s">
        <v>3977</v>
      </c>
      <c r="E28" s="3180" t="s">
        <v>3890</v>
      </c>
      <c r="F28" s="3180" t="s">
        <v>3978</v>
      </c>
      <c r="G28" s="3180" t="s">
        <v>3494</v>
      </c>
      <c r="H28" s="3180" t="s">
        <v>3489</v>
      </c>
      <c r="I28" s="3180" t="s">
        <v>3498</v>
      </c>
      <c r="J28" s="3180">
        <v>83.43</v>
      </c>
      <c r="K28" s="3180" t="s">
        <v>3386</v>
      </c>
      <c r="L28" s="3180" t="s">
        <v>3499</v>
      </c>
      <c r="M28" s="3180">
        <v>14</v>
      </c>
      <c r="N28" s="3180">
        <v>2005</v>
      </c>
      <c r="O28" s="3180" t="s">
        <v>633</v>
      </c>
      <c r="P28" s="3180" t="s">
        <v>633</v>
      </c>
      <c r="Q28" s="3180" t="s">
        <v>633</v>
      </c>
      <c r="R28" s="3180">
        <v>56095</v>
      </c>
      <c r="S28" s="3180">
        <v>56110</v>
      </c>
      <c r="T28" s="3180">
        <v>4681257</v>
      </c>
      <c r="U28" s="3182">
        <v>44653</v>
      </c>
    </row>
    <row r="29" spans="1:21" ht="27" customHeight="1" thickBot="1">
      <c r="A29" s="3180">
        <v>28</v>
      </c>
      <c r="B29" s="3181" t="s">
        <v>3887</v>
      </c>
      <c r="C29" s="3180" t="s">
        <v>3979</v>
      </c>
      <c r="D29" s="3180" t="s">
        <v>3980</v>
      </c>
      <c r="E29" s="3180" t="s">
        <v>3890</v>
      </c>
      <c r="F29" s="3180" t="s">
        <v>3981</v>
      </c>
      <c r="G29" s="3180" t="s">
        <v>3494</v>
      </c>
      <c r="H29" s="3180" t="s">
        <v>3489</v>
      </c>
      <c r="I29" s="3180" t="s">
        <v>3498</v>
      </c>
      <c r="J29" s="3180">
        <v>88.43</v>
      </c>
      <c r="K29" s="3180" t="s">
        <v>3386</v>
      </c>
      <c r="L29" s="3180">
        <v>22</v>
      </c>
      <c r="M29" s="3180">
        <v>2</v>
      </c>
      <c r="N29" s="3180">
        <v>2005</v>
      </c>
      <c r="O29" s="3180" t="s">
        <v>633</v>
      </c>
      <c r="P29" s="3180" t="s">
        <v>633</v>
      </c>
      <c r="Q29" s="3180" t="s">
        <v>633</v>
      </c>
      <c r="R29" s="3180">
        <v>0</v>
      </c>
      <c r="S29" s="3180">
        <v>52421</v>
      </c>
      <c r="T29" s="3180">
        <v>4635589</v>
      </c>
      <c r="U29" s="3182">
        <v>44631</v>
      </c>
    </row>
    <row r="30" spans="1:21" ht="27" customHeight="1" thickBot="1">
      <c r="A30" s="3180">
        <v>29</v>
      </c>
      <c r="B30" s="3181" t="s">
        <v>3887</v>
      </c>
      <c r="C30" s="3180" t="s">
        <v>3982</v>
      </c>
      <c r="D30" s="3180" t="s">
        <v>3983</v>
      </c>
      <c r="E30" s="3180" t="s">
        <v>3890</v>
      </c>
      <c r="F30" s="3180" t="s">
        <v>3984</v>
      </c>
      <c r="G30" s="3180" t="s">
        <v>3494</v>
      </c>
      <c r="H30" s="3180" t="s">
        <v>3489</v>
      </c>
      <c r="I30" s="3180" t="s">
        <v>3495</v>
      </c>
      <c r="J30" s="3180">
        <v>101.82</v>
      </c>
      <c r="K30" s="3180" t="s">
        <v>3386</v>
      </c>
      <c r="L30" s="3180" t="s">
        <v>3985</v>
      </c>
      <c r="M30" s="3180">
        <v>8</v>
      </c>
      <c r="N30" s="3180">
        <v>2006</v>
      </c>
      <c r="O30" s="3180" t="s">
        <v>633</v>
      </c>
      <c r="P30" s="3180" t="s">
        <v>633</v>
      </c>
      <c r="Q30" s="3180" t="s">
        <v>633</v>
      </c>
      <c r="R30" s="3180">
        <v>54852</v>
      </c>
      <c r="S30" s="3180">
        <v>52272</v>
      </c>
      <c r="T30" s="3180">
        <v>5322335</v>
      </c>
      <c r="U30" s="3182">
        <v>44623</v>
      </c>
    </row>
    <row r="31" spans="1:21" ht="27" hidden="1" customHeight="1" thickBot="1">
      <c r="A31" s="3185">
        <v>30</v>
      </c>
      <c r="B31" s="3186" t="s">
        <v>3887</v>
      </c>
      <c r="C31" s="3185" t="s">
        <v>3986</v>
      </c>
      <c r="D31" s="3185" t="s">
        <v>3987</v>
      </c>
      <c r="E31" s="3185" t="s">
        <v>3890</v>
      </c>
      <c r="F31" s="3185" t="s">
        <v>3988</v>
      </c>
      <c r="G31" s="3185" t="s">
        <v>3502</v>
      </c>
      <c r="H31" s="3185" t="s">
        <v>3489</v>
      </c>
      <c r="I31" s="3185" t="s">
        <v>3498</v>
      </c>
      <c r="J31" s="3185">
        <v>92.2</v>
      </c>
      <c r="K31" s="3185" t="s">
        <v>3386</v>
      </c>
      <c r="L31" s="3185" t="s">
        <v>3503</v>
      </c>
      <c r="M31" s="3185">
        <v>23</v>
      </c>
      <c r="N31" s="3185" t="s">
        <v>633</v>
      </c>
      <c r="O31" s="3185">
        <v>2011</v>
      </c>
      <c r="P31" s="3185" t="s">
        <v>633</v>
      </c>
      <c r="Q31" s="3185" t="s">
        <v>633</v>
      </c>
      <c r="R31" s="3185">
        <v>71800</v>
      </c>
      <c r="S31" s="3185">
        <v>66557</v>
      </c>
      <c r="T31" s="3185">
        <v>6136555</v>
      </c>
      <c r="U31" s="3187">
        <v>44616</v>
      </c>
    </row>
    <row r="32" spans="1:21" ht="27" customHeight="1" thickBot="1">
      <c r="A32" s="3195">
        <v>31</v>
      </c>
      <c r="B32" s="3196" t="s">
        <v>3887</v>
      </c>
      <c r="C32" s="3195" t="s">
        <v>3989</v>
      </c>
      <c r="D32" s="3195" t="s">
        <v>3990</v>
      </c>
      <c r="E32" s="3195" t="s">
        <v>3890</v>
      </c>
      <c r="F32" s="3195" t="s">
        <v>3991</v>
      </c>
      <c r="G32" s="3195" t="s">
        <v>3494</v>
      </c>
      <c r="H32" s="3195" t="s">
        <v>3992</v>
      </c>
      <c r="I32" s="3195" t="s">
        <v>3498</v>
      </c>
      <c r="J32" s="3195">
        <v>89.5</v>
      </c>
      <c r="K32" s="3195" t="s">
        <v>3386</v>
      </c>
      <c r="L32" s="3195" t="s">
        <v>3499</v>
      </c>
      <c r="M32" s="3195">
        <v>13</v>
      </c>
      <c r="N32" s="3195">
        <v>2005</v>
      </c>
      <c r="O32" s="3195" t="s">
        <v>633</v>
      </c>
      <c r="P32" s="3195" t="s">
        <v>633</v>
      </c>
      <c r="Q32" s="3195" t="s">
        <v>633</v>
      </c>
      <c r="R32" s="3195">
        <v>55028</v>
      </c>
      <c r="S32" s="3195">
        <v>52510</v>
      </c>
      <c r="T32" s="3195">
        <v>4699645</v>
      </c>
      <c r="U32" s="3197">
        <v>44610</v>
      </c>
    </row>
    <row r="33" spans="1:21" ht="27" hidden="1" customHeight="1" thickBot="1">
      <c r="A33" s="3185">
        <v>32</v>
      </c>
      <c r="B33" s="3186" t="s">
        <v>3887</v>
      </c>
      <c r="C33" s="3185" t="s">
        <v>3993</v>
      </c>
      <c r="D33" s="3185" t="s">
        <v>3994</v>
      </c>
      <c r="E33" s="3185" t="s">
        <v>3890</v>
      </c>
      <c r="F33" s="3185" t="s">
        <v>3995</v>
      </c>
      <c r="G33" s="3185" t="s">
        <v>3493</v>
      </c>
      <c r="H33" s="3185" t="s">
        <v>3489</v>
      </c>
      <c r="I33" s="3185" t="s">
        <v>3490</v>
      </c>
      <c r="J33" s="3185">
        <v>101.95</v>
      </c>
      <c r="K33" s="3185" t="s">
        <v>3386</v>
      </c>
      <c r="L33" s="3185">
        <v>7</v>
      </c>
      <c r="M33" s="3188">
        <v>45450</v>
      </c>
      <c r="N33" s="3185">
        <v>1999</v>
      </c>
      <c r="O33" s="3185" t="s">
        <v>633</v>
      </c>
      <c r="P33" s="3185" t="s">
        <v>633</v>
      </c>
      <c r="Q33" s="3185" t="s">
        <v>633</v>
      </c>
      <c r="R33" s="3185">
        <v>43355</v>
      </c>
      <c r="S33" s="3185">
        <v>43353</v>
      </c>
      <c r="T33" s="3185">
        <v>4419838</v>
      </c>
      <c r="U33" s="3187">
        <v>44568</v>
      </c>
    </row>
    <row r="34" spans="1:21" ht="27" customHeight="1" thickBot="1">
      <c r="A34" s="3180">
        <v>33</v>
      </c>
      <c r="B34" s="3181" t="s">
        <v>3887</v>
      </c>
      <c r="C34" s="3180" t="s">
        <v>3996</v>
      </c>
      <c r="D34" s="3180" t="s">
        <v>3997</v>
      </c>
      <c r="E34" s="3180" t="s">
        <v>3890</v>
      </c>
      <c r="F34" s="3180" t="s">
        <v>3998</v>
      </c>
      <c r="G34" s="3180" t="s">
        <v>3494</v>
      </c>
      <c r="H34" s="3180" t="s">
        <v>3489</v>
      </c>
      <c r="I34" s="3180" t="s">
        <v>3495</v>
      </c>
      <c r="J34" s="3180">
        <v>102.08</v>
      </c>
      <c r="K34" s="3180" t="s">
        <v>3386</v>
      </c>
      <c r="L34" s="3180">
        <v>14</v>
      </c>
      <c r="M34" s="3180">
        <v>6</v>
      </c>
      <c r="N34" s="3180">
        <v>2006</v>
      </c>
      <c r="O34" s="3180" t="s">
        <v>633</v>
      </c>
      <c r="P34" s="3180" t="s">
        <v>633</v>
      </c>
      <c r="Q34" s="3180" t="s">
        <v>633</v>
      </c>
      <c r="R34" s="3180">
        <v>53536</v>
      </c>
      <c r="S34" s="3180">
        <v>52484</v>
      </c>
      <c r="T34" s="3180">
        <v>5357567</v>
      </c>
      <c r="U34" s="3182">
        <v>44540</v>
      </c>
    </row>
    <row r="35" spans="1:21" s="3198"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8"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8"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80">
        <v>37</v>
      </c>
      <c r="B38" s="3181" t="s">
        <v>3887</v>
      </c>
      <c r="C38" s="3180" t="s">
        <v>4008</v>
      </c>
      <c r="D38" s="3180" t="s">
        <v>3980</v>
      </c>
      <c r="E38" s="3180" t="s">
        <v>3890</v>
      </c>
      <c r="F38" s="3180" t="s">
        <v>4009</v>
      </c>
      <c r="G38" s="3180" t="s">
        <v>3494</v>
      </c>
      <c r="H38" s="3180" t="s">
        <v>3489</v>
      </c>
      <c r="I38" s="3180" t="s">
        <v>3495</v>
      </c>
      <c r="J38" s="3180">
        <v>83.29</v>
      </c>
      <c r="K38" s="3180" t="s">
        <v>3386</v>
      </c>
      <c r="L38" s="3180" t="s">
        <v>3499</v>
      </c>
      <c r="M38" s="3180">
        <v>1</v>
      </c>
      <c r="N38" s="3180">
        <v>2006</v>
      </c>
      <c r="O38" s="3180" t="s">
        <v>633</v>
      </c>
      <c r="P38" s="3180" t="s">
        <v>633</v>
      </c>
      <c r="Q38" s="3180" t="s">
        <v>633</v>
      </c>
      <c r="R38" s="3180">
        <v>0</v>
      </c>
      <c r="S38" s="3180">
        <v>52971</v>
      </c>
      <c r="T38" s="3180">
        <v>4411955</v>
      </c>
      <c r="U38" s="3182">
        <v>44419</v>
      </c>
    </row>
    <row r="39" spans="1:21" ht="27" hidden="1" customHeight="1" thickBot="1">
      <c r="A39" s="3185">
        <v>38</v>
      </c>
      <c r="B39" s="3186" t="s">
        <v>3887</v>
      </c>
      <c r="C39" s="3185" t="s">
        <v>4010</v>
      </c>
      <c r="D39" s="3185" t="s">
        <v>4011</v>
      </c>
      <c r="E39" s="3185" t="s">
        <v>3890</v>
      </c>
      <c r="F39" s="3185" t="s">
        <v>4012</v>
      </c>
      <c r="G39" s="3185" t="s">
        <v>3502</v>
      </c>
      <c r="H39" s="3185" t="s">
        <v>3919</v>
      </c>
      <c r="I39" s="3185" t="s">
        <v>3498</v>
      </c>
      <c r="J39" s="3185">
        <v>93.69</v>
      </c>
      <c r="K39" s="3185" t="s">
        <v>3386</v>
      </c>
      <c r="L39" s="3185" t="s">
        <v>3503</v>
      </c>
      <c r="M39" s="3185">
        <v>19</v>
      </c>
      <c r="N39" s="3185" t="s">
        <v>633</v>
      </c>
      <c r="O39" s="3185">
        <v>2011</v>
      </c>
      <c r="P39" s="3185" t="s">
        <v>633</v>
      </c>
      <c r="Q39" s="3185" t="s">
        <v>633</v>
      </c>
      <c r="R39" s="3185">
        <v>70445</v>
      </c>
      <c r="S39" s="3185">
        <v>61804</v>
      </c>
      <c r="T39" s="3185">
        <v>5790417</v>
      </c>
      <c r="U39" s="3187">
        <v>44405</v>
      </c>
    </row>
    <row r="40" spans="1:21" ht="27" hidden="1" customHeight="1" thickBot="1">
      <c r="A40" s="3185">
        <v>39</v>
      </c>
      <c r="B40" s="3186" t="s">
        <v>3887</v>
      </c>
      <c r="C40" s="3185" t="s">
        <v>4013</v>
      </c>
      <c r="D40" s="3185" t="s">
        <v>4014</v>
      </c>
      <c r="E40" s="3185" t="s">
        <v>3890</v>
      </c>
      <c r="F40" s="3185" t="s">
        <v>4015</v>
      </c>
      <c r="G40" s="3185" t="s">
        <v>3493</v>
      </c>
      <c r="H40" s="3185" t="s">
        <v>3489</v>
      </c>
      <c r="I40" s="3185" t="s">
        <v>3490</v>
      </c>
      <c r="J40" s="3185">
        <v>101.95</v>
      </c>
      <c r="K40" s="3185" t="s">
        <v>3386</v>
      </c>
      <c r="L40" s="3185">
        <v>7</v>
      </c>
      <c r="M40" s="3188">
        <v>45450</v>
      </c>
      <c r="N40" s="3185">
        <v>1999</v>
      </c>
      <c r="O40" s="3185" t="s">
        <v>633</v>
      </c>
      <c r="P40" s="3185" t="s">
        <v>633</v>
      </c>
      <c r="Q40" s="3185" t="s">
        <v>633</v>
      </c>
      <c r="R40" s="3185">
        <v>45120</v>
      </c>
      <c r="S40" s="3185">
        <v>45014</v>
      </c>
      <c r="T40" s="3185">
        <v>4589177</v>
      </c>
      <c r="U40" s="3187">
        <v>44378</v>
      </c>
    </row>
    <row r="41" spans="1:21" ht="27" customHeight="1" thickBot="1">
      <c r="A41" s="3180">
        <v>40</v>
      </c>
      <c r="B41" s="3181" t="s">
        <v>3887</v>
      </c>
      <c r="C41" s="3180" t="s">
        <v>4016</v>
      </c>
      <c r="D41" s="3180" t="s">
        <v>4017</v>
      </c>
      <c r="E41" s="3180" t="s">
        <v>3890</v>
      </c>
      <c r="F41" s="3180" t="s">
        <v>4018</v>
      </c>
      <c r="G41" s="3180" t="s">
        <v>3494</v>
      </c>
      <c r="H41" s="3180" t="s">
        <v>3489</v>
      </c>
      <c r="I41" s="3180" t="s">
        <v>3495</v>
      </c>
      <c r="J41" s="3180">
        <v>101.08</v>
      </c>
      <c r="K41" s="3180" t="s">
        <v>3386</v>
      </c>
      <c r="L41" s="3180" t="s">
        <v>3985</v>
      </c>
      <c r="M41" s="3180">
        <v>5</v>
      </c>
      <c r="N41" s="3180">
        <v>2006</v>
      </c>
      <c r="O41" s="3180" t="s">
        <v>633</v>
      </c>
      <c r="P41" s="3180" t="s">
        <v>633</v>
      </c>
      <c r="Q41" s="3180" t="s">
        <v>633</v>
      </c>
      <c r="R41" s="3180">
        <v>50455</v>
      </c>
      <c r="S41" s="3180">
        <v>47961</v>
      </c>
      <c r="T41" s="3180">
        <v>4847898</v>
      </c>
      <c r="U41" s="3182">
        <v>44370</v>
      </c>
    </row>
    <row r="42" spans="1:21" ht="27" customHeight="1" thickBot="1">
      <c r="A42" s="3180">
        <v>41</v>
      </c>
      <c r="B42" s="3181" t="s">
        <v>3887</v>
      </c>
      <c r="C42" s="3180" t="s">
        <v>4019</v>
      </c>
      <c r="D42" s="3180" t="s">
        <v>4020</v>
      </c>
      <c r="E42" s="3180" t="s">
        <v>3890</v>
      </c>
      <c r="F42" s="3180" t="s">
        <v>4021</v>
      </c>
      <c r="G42" s="3180" t="s">
        <v>3494</v>
      </c>
      <c r="H42" s="3180" t="s">
        <v>3489</v>
      </c>
      <c r="I42" s="3180" t="s">
        <v>3495</v>
      </c>
      <c r="J42" s="3180">
        <v>103.3</v>
      </c>
      <c r="K42" s="3180" t="s">
        <v>3386</v>
      </c>
      <c r="L42" s="3180" t="s">
        <v>3496</v>
      </c>
      <c r="M42" s="3180">
        <v>5</v>
      </c>
      <c r="N42" s="3180" t="s">
        <v>633</v>
      </c>
      <c r="O42" s="3180">
        <v>2005</v>
      </c>
      <c r="P42" s="3180" t="s">
        <v>633</v>
      </c>
      <c r="Q42" s="3180" t="s">
        <v>633</v>
      </c>
      <c r="R42" s="3180">
        <v>51016</v>
      </c>
      <c r="S42" s="3180">
        <v>50487</v>
      </c>
      <c r="T42" s="3180">
        <v>5215307</v>
      </c>
      <c r="U42" s="3182">
        <v>44363</v>
      </c>
    </row>
    <row r="43" spans="1:21" s="3198"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80">
        <v>43</v>
      </c>
      <c r="B44" s="3181" t="s">
        <v>3887</v>
      </c>
      <c r="C44" s="3180" t="s">
        <v>4025</v>
      </c>
      <c r="D44" s="3180" t="s">
        <v>4026</v>
      </c>
      <c r="E44" s="3180" t="s">
        <v>3890</v>
      </c>
      <c r="F44" s="3180" t="s">
        <v>4027</v>
      </c>
      <c r="G44" s="3180" t="s">
        <v>3494</v>
      </c>
      <c r="H44" s="3180" t="s">
        <v>3489</v>
      </c>
      <c r="I44" s="3180" t="s">
        <v>3495</v>
      </c>
      <c r="J44" s="3180">
        <v>88.68</v>
      </c>
      <c r="K44" s="3180" t="s">
        <v>3386</v>
      </c>
      <c r="L44" s="3180" t="s">
        <v>3499</v>
      </c>
      <c r="M44" s="3180">
        <v>3</v>
      </c>
      <c r="N44" s="3180">
        <v>2005</v>
      </c>
      <c r="O44" s="3180" t="s">
        <v>633</v>
      </c>
      <c r="P44" s="3180" t="s">
        <v>633</v>
      </c>
      <c r="Q44" s="3180" t="s">
        <v>633</v>
      </c>
      <c r="R44" s="3180">
        <v>56270</v>
      </c>
      <c r="S44" s="3180">
        <v>47830</v>
      </c>
      <c r="T44" s="3180">
        <v>4241564</v>
      </c>
      <c r="U44" s="3182">
        <v>44330</v>
      </c>
    </row>
    <row r="45" spans="1:21" ht="27" customHeight="1" thickBot="1">
      <c r="A45" s="3180">
        <v>44</v>
      </c>
      <c r="B45" s="3181" t="s">
        <v>3887</v>
      </c>
      <c r="C45" s="3180" t="s">
        <v>4028</v>
      </c>
      <c r="D45" s="3180" t="s">
        <v>4029</v>
      </c>
      <c r="E45" s="3180" t="s">
        <v>3890</v>
      </c>
      <c r="F45" s="3180" t="s">
        <v>4030</v>
      </c>
      <c r="G45" s="3180" t="s">
        <v>3494</v>
      </c>
      <c r="H45" s="3180" t="s">
        <v>3489</v>
      </c>
      <c r="I45" s="3180" t="s">
        <v>3498</v>
      </c>
      <c r="J45" s="3180">
        <v>100.82</v>
      </c>
      <c r="K45" s="3180" t="s">
        <v>3386</v>
      </c>
      <c r="L45" s="3180" t="s">
        <v>4031</v>
      </c>
      <c r="M45" s="3180">
        <v>3</v>
      </c>
      <c r="N45" s="3180">
        <v>2006</v>
      </c>
      <c r="O45" s="3180" t="s">
        <v>633</v>
      </c>
      <c r="P45" s="3180" t="s">
        <v>633</v>
      </c>
      <c r="Q45" s="3180" t="s">
        <v>633</v>
      </c>
      <c r="R45" s="3180">
        <v>54553</v>
      </c>
      <c r="S45" s="3180">
        <v>48770</v>
      </c>
      <c r="T45" s="3180">
        <v>4916991</v>
      </c>
      <c r="U45" s="3182">
        <v>44307</v>
      </c>
    </row>
    <row r="46" spans="1:21" ht="27" hidden="1" customHeight="1" thickBot="1">
      <c r="A46" s="3185">
        <v>45</v>
      </c>
      <c r="B46" s="3186" t="s">
        <v>3887</v>
      </c>
      <c r="C46" s="3185" t="s">
        <v>4032</v>
      </c>
      <c r="D46" s="3185" t="s">
        <v>4033</v>
      </c>
      <c r="E46" s="3185" t="s">
        <v>3890</v>
      </c>
      <c r="F46" s="3185" t="s">
        <v>4034</v>
      </c>
      <c r="G46" s="3185" t="s">
        <v>3493</v>
      </c>
      <c r="H46" s="3185" t="s">
        <v>3489</v>
      </c>
      <c r="I46" s="3185" t="s">
        <v>3490</v>
      </c>
      <c r="J46" s="3185">
        <v>82.04</v>
      </c>
      <c r="K46" s="3185" t="s">
        <v>3386</v>
      </c>
      <c r="L46" s="3185" t="s">
        <v>4035</v>
      </c>
      <c r="M46" s="3185">
        <v>2</v>
      </c>
      <c r="N46" s="3185">
        <v>1998</v>
      </c>
      <c r="O46" s="3185" t="s">
        <v>633</v>
      </c>
      <c r="P46" s="3185" t="s">
        <v>633</v>
      </c>
      <c r="Q46" s="3185" t="s">
        <v>633</v>
      </c>
      <c r="R46" s="3185">
        <v>58508</v>
      </c>
      <c r="S46" s="3185">
        <v>54838</v>
      </c>
      <c r="T46" s="3185">
        <v>4498910</v>
      </c>
      <c r="U46" s="3187">
        <v>44287</v>
      </c>
    </row>
    <row r="47" spans="1:21" ht="27" hidden="1" customHeight="1" thickBot="1">
      <c r="A47" s="3189">
        <v>46</v>
      </c>
      <c r="B47" s="3190" t="s">
        <v>3887</v>
      </c>
      <c r="C47" s="3189" t="s">
        <v>4036</v>
      </c>
      <c r="D47" s="3189" t="s">
        <v>4037</v>
      </c>
      <c r="E47" s="3189" t="s">
        <v>3890</v>
      </c>
      <c r="F47" s="3189" t="s">
        <v>4038</v>
      </c>
      <c r="G47" s="3189" t="s">
        <v>3493</v>
      </c>
      <c r="H47" s="3189" t="s">
        <v>3489</v>
      </c>
      <c r="I47" s="3189" t="s">
        <v>3490</v>
      </c>
      <c r="J47" s="3189">
        <v>45.66</v>
      </c>
      <c r="K47" s="3189" t="s">
        <v>3386</v>
      </c>
      <c r="L47" s="3189">
        <v>6</v>
      </c>
      <c r="M47" s="3189">
        <v>5</v>
      </c>
      <c r="N47" s="3189" t="s">
        <v>633</v>
      </c>
      <c r="O47" s="3189">
        <v>1995</v>
      </c>
      <c r="P47" s="3189" t="s">
        <v>633</v>
      </c>
      <c r="Q47" s="3189" t="s">
        <v>633</v>
      </c>
      <c r="R47" s="3189">
        <v>58038</v>
      </c>
      <c r="S47" s="3189">
        <v>54901</v>
      </c>
      <c r="T47" s="3189">
        <v>2506780</v>
      </c>
      <c r="U47" s="3191">
        <v>44278</v>
      </c>
    </row>
    <row r="48" spans="1:21" ht="27" hidden="1" customHeight="1" thickBot="1">
      <c r="A48" s="3185">
        <v>47</v>
      </c>
      <c r="B48" s="3186" t="s">
        <v>3887</v>
      </c>
      <c r="C48" s="3185" t="s">
        <v>4039</v>
      </c>
      <c r="D48" s="3185" t="s">
        <v>4040</v>
      </c>
      <c r="E48" s="3185" t="s">
        <v>3890</v>
      </c>
      <c r="F48" s="3185" t="s">
        <v>4041</v>
      </c>
      <c r="G48" s="3185" t="s">
        <v>3493</v>
      </c>
      <c r="H48" s="3185" t="s">
        <v>3489</v>
      </c>
      <c r="I48" s="3185" t="s">
        <v>3498</v>
      </c>
      <c r="J48" s="3185">
        <v>59.47</v>
      </c>
      <c r="K48" s="3185" t="s">
        <v>3386</v>
      </c>
      <c r="L48" s="3185">
        <v>6</v>
      </c>
      <c r="M48" s="3185">
        <v>5</v>
      </c>
      <c r="N48" s="3185" t="s">
        <v>633</v>
      </c>
      <c r="O48" s="3185">
        <v>1998</v>
      </c>
      <c r="P48" s="3185" t="s">
        <v>633</v>
      </c>
      <c r="Q48" s="3185" t="s">
        <v>633</v>
      </c>
      <c r="R48" s="3185">
        <v>57004</v>
      </c>
      <c r="S48" s="3185">
        <v>55810</v>
      </c>
      <c r="T48" s="3185">
        <v>3319021</v>
      </c>
      <c r="U48" s="3187">
        <v>44274</v>
      </c>
    </row>
    <row r="49" spans="1:21" ht="27" customHeight="1" thickBot="1">
      <c r="A49" s="3180">
        <v>48</v>
      </c>
      <c r="B49" s="3181" t="s">
        <v>3887</v>
      </c>
      <c r="C49" s="3180" t="s">
        <v>4042</v>
      </c>
      <c r="D49" s="3180" t="s">
        <v>3980</v>
      </c>
      <c r="E49" s="3180" t="s">
        <v>3890</v>
      </c>
      <c r="F49" s="3180" t="s">
        <v>4043</v>
      </c>
      <c r="G49" s="3180" t="s">
        <v>3494</v>
      </c>
      <c r="H49" s="3180" t="s">
        <v>3489</v>
      </c>
      <c r="I49" s="3180" t="s">
        <v>3495</v>
      </c>
      <c r="J49" s="3180">
        <v>101.48</v>
      </c>
      <c r="K49" s="3180" t="s">
        <v>3386</v>
      </c>
      <c r="L49" s="3180" t="s">
        <v>4044</v>
      </c>
      <c r="M49" s="3180">
        <v>10</v>
      </c>
      <c r="N49" s="3180">
        <v>2005</v>
      </c>
      <c r="O49" s="3180" t="s">
        <v>633</v>
      </c>
      <c r="P49" s="3180" t="s">
        <v>633</v>
      </c>
      <c r="Q49" s="3180" t="s">
        <v>633</v>
      </c>
      <c r="R49" s="3180">
        <v>44639</v>
      </c>
      <c r="S49" s="3180">
        <v>48163</v>
      </c>
      <c r="T49" s="3180">
        <v>4887581</v>
      </c>
      <c r="U49" s="3182">
        <v>44227</v>
      </c>
    </row>
    <row r="50" spans="1:21" ht="27" customHeight="1" thickBot="1">
      <c r="A50" s="3180">
        <v>49</v>
      </c>
      <c r="B50" s="3181" t="s">
        <v>3887</v>
      </c>
      <c r="C50" s="3180" t="s">
        <v>4045</v>
      </c>
      <c r="D50" s="3180" t="s">
        <v>4046</v>
      </c>
      <c r="E50" s="3180" t="s">
        <v>3890</v>
      </c>
      <c r="F50" s="3180" t="s">
        <v>4047</v>
      </c>
      <c r="G50" s="3180" t="s">
        <v>3494</v>
      </c>
      <c r="H50" s="3180" t="s">
        <v>3489</v>
      </c>
      <c r="I50" s="3180" t="s">
        <v>3495</v>
      </c>
      <c r="J50" s="3180">
        <v>94.37</v>
      </c>
      <c r="K50" s="3180" t="s">
        <v>3386</v>
      </c>
      <c r="L50" s="3180" t="s">
        <v>4048</v>
      </c>
      <c r="M50" s="3180">
        <v>11</v>
      </c>
      <c r="N50" s="3180" t="s">
        <v>633</v>
      </c>
      <c r="O50" s="3180">
        <v>2005</v>
      </c>
      <c r="P50" s="3180" t="s">
        <v>633</v>
      </c>
      <c r="Q50" s="3180" t="s">
        <v>633</v>
      </c>
      <c r="R50" s="3180">
        <v>0</v>
      </c>
      <c r="S50" s="3180">
        <v>49593</v>
      </c>
      <c r="T50" s="3180">
        <v>4680091</v>
      </c>
      <c r="U50" s="3182">
        <v>44168</v>
      </c>
    </row>
    <row r="51" spans="1:21" ht="27" customHeight="1" thickBot="1">
      <c r="A51" s="3180">
        <v>50</v>
      </c>
      <c r="B51" s="3181" t="s">
        <v>3887</v>
      </c>
      <c r="C51" s="3180" t="s">
        <v>4049</v>
      </c>
      <c r="D51" s="3180" t="s">
        <v>4050</v>
      </c>
      <c r="E51" s="3180" t="s">
        <v>3890</v>
      </c>
      <c r="F51" s="3180" t="s">
        <v>4051</v>
      </c>
      <c r="G51" s="3180" t="s">
        <v>3494</v>
      </c>
      <c r="H51" s="3180" t="s">
        <v>3489</v>
      </c>
      <c r="I51" s="3180" t="s">
        <v>3495</v>
      </c>
      <c r="J51" s="3180">
        <v>127.22</v>
      </c>
      <c r="K51" s="3180" t="s">
        <v>3386</v>
      </c>
      <c r="L51" s="3180" t="s">
        <v>4052</v>
      </c>
      <c r="M51" s="3180">
        <v>15</v>
      </c>
      <c r="N51" s="3180">
        <v>2006</v>
      </c>
      <c r="O51" s="3180" t="s">
        <v>633</v>
      </c>
      <c r="P51" s="3180" t="s">
        <v>633</v>
      </c>
      <c r="Q51" s="3180" t="s">
        <v>633</v>
      </c>
      <c r="R51" s="3180">
        <v>0</v>
      </c>
      <c r="S51" s="3180">
        <v>50656</v>
      </c>
      <c r="T51" s="3180">
        <v>6444456</v>
      </c>
      <c r="U51" s="3182">
        <v>44168</v>
      </c>
    </row>
    <row r="52" spans="1:21" ht="27" customHeight="1" thickBot="1">
      <c r="A52" s="3180">
        <v>51</v>
      </c>
      <c r="B52" s="3181" t="s">
        <v>3887</v>
      </c>
      <c r="C52" s="3180" t="s">
        <v>4053</v>
      </c>
      <c r="D52" s="3180" t="s">
        <v>4054</v>
      </c>
      <c r="E52" s="3180" t="s">
        <v>3890</v>
      </c>
      <c r="F52" s="3180" t="s">
        <v>4055</v>
      </c>
      <c r="G52" s="3180" t="s">
        <v>3494</v>
      </c>
      <c r="H52" s="3180" t="s">
        <v>3489</v>
      </c>
      <c r="I52" s="3180" t="s">
        <v>3498</v>
      </c>
      <c r="J52" s="3180">
        <v>125.02</v>
      </c>
      <c r="K52" s="3180" t="s">
        <v>3386</v>
      </c>
      <c r="L52" s="3180" t="s">
        <v>4031</v>
      </c>
      <c r="M52" s="3180">
        <v>11</v>
      </c>
      <c r="N52" s="3180">
        <v>2006</v>
      </c>
      <c r="O52" s="3180" t="s">
        <v>633</v>
      </c>
      <c r="P52" s="3180" t="s">
        <v>633</v>
      </c>
      <c r="Q52" s="3180" t="s">
        <v>633</v>
      </c>
      <c r="R52" s="3180">
        <v>0</v>
      </c>
      <c r="S52" s="3180">
        <v>46445</v>
      </c>
      <c r="T52" s="3180">
        <v>5806554</v>
      </c>
      <c r="U52" s="3182">
        <v>44159</v>
      </c>
    </row>
    <row r="53" spans="1:21" ht="27" customHeight="1" thickBot="1">
      <c r="A53" s="3180">
        <v>52</v>
      </c>
      <c r="B53" s="3181" t="s">
        <v>3887</v>
      </c>
      <c r="C53" s="3180" t="s">
        <v>4056</v>
      </c>
      <c r="D53" s="3180" t="s">
        <v>4057</v>
      </c>
      <c r="E53" s="3180" t="s">
        <v>3890</v>
      </c>
      <c r="F53" s="3180" t="s">
        <v>4058</v>
      </c>
      <c r="G53" s="3180" t="s">
        <v>3494</v>
      </c>
      <c r="H53" s="3180" t="s">
        <v>4059</v>
      </c>
      <c r="I53" s="3180" t="s">
        <v>3498</v>
      </c>
      <c r="J53" s="3180">
        <v>89.19</v>
      </c>
      <c r="K53" s="3180" t="s">
        <v>3386</v>
      </c>
      <c r="L53" s="3180" t="s">
        <v>3496</v>
      </c>
      <c r="M53" s="3180">
        <v>7</v>
      </c>
      <c r="N53" s="3180" t="s">
        <v>633</v>
      </c>
      <c r="O53" s="3180">
        <v>2005</v>
      </c>
      <c r="P53" s="3180" t="s">
        <v>633</v>
      </c>
      <c r="Q53" s="3180" t="s">
        <v>633</v>
      </c>
      <c r="R53" s="3180">
        <v>53593</v>
      </c>
      <c r="S53" s="3180">
        <v>45182</v>
      </c>
      <c r="T53" s="3180">
        <v>4029783</v>
      </c>
      <c r="U53" s="3182">
        <v>44078</v>
      </c>
    </row>
    <row r="54" spans="1:21" s="3198"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8" customFormat="1" ht="27" customHeight="1" thickBot="1">
      <c r="A55" s="3180">
        <v>54</v>
      </c>
      <c r="B55" s="3186" t="s">
        <v>3887</v>
      </c>
      <c r="C55" s="3185" t="s">
        <v>4062</v>
      </c>
      <c r="D55" s="3185" t="s">
        <v>4063</v>
      </c>
      <c r="E55" s="3180" t="s">
        <v>3890</v>
      </c>
      <c r="F55" s="3180" t="s">
        <v>4064</v>
      </c>
      <c r="G55" s="3180" t="s">
        <v>3494</v>
      </c>
      <c r="H55" s="3185" t="s">
        <v>3489</v>
      </c>
      <c r="I55" s="3180" t="s">
        <v>3495</v>
      </c>
      <c r="J55" s="3180">
        <v>96.85</v>
      </c>
      <c r="K55" s="3180" t="s">
        <v>3386</v>
      </c>
      <c r="L55" s="3180" t="s">
        <v>4052</v>
      </c>
      <c r="M55" s="3180">
        <v>6</v>
      </c>
      <c r="N55" s="3180" t="s">
        <v>633</v>
      </c>
      <c r="O55" s="3180">
        <v>2006</v>
      </c>
      <c r="P55" s="3185" t="s">
        <v>633</v>
      </c>
      <c r="Q55" s="3185" t="s">
        <v>633</v>
      </c>
      <c r="R55" s="3180">
        <v>52555</v>
      </c>
      <c r="S55" s="3180">
        <v>49865</v>
      </c>
      <c r="T55" s="3180">
        <v>4829425</v>
      </c>
      <c r="U55" s="3182">
        <v>44033</v>
      </c>
    </row>
    <row r="56" spans="1:21" ht="27" hidden="1" customHeight="1" thickBot="1">
      <c r="A56" s="3185">
        <v>55</v>
      </c>
      <c r="B56" s="3186" t="s">
        <v>3887</v>
      </c>
      <c r="C56" s="3185" t="s">
        <v>4065</v>
      </c>
      <c r="D56" s="3185" t="s">
        <v>4066</v>
      </c>
      <c r="E56" s="3185" t="s">
        <v>3890</v>
      </c>
      <c r="F56" s="3185" t="s">
        <v>4067</v>
      </c>
      <c r="G56" s="3185" t="s">
        <v>3493</v>
      </c>
      <c r="H56" s="3185" t="s">
        <v>3489</v>
      </c>
      <c r="I56" s="3185" t="s">
        <v>3490</v>
      </c>
      <c r="J56" s="3185">
        <v>78.22</v>
      </c>
      <c r="K56" s="3185" t="s">
        <v>3386</v>
      </c>
      <c r="L56" s="3185">
        <v>7</v>
      </c>
      <c r="M56" s="3185">
        <v>2</v>
      </c>
      <c r="N56" s="3185">
        <v>1999</v>
      </c>
      <c r="O56" s="3185" t="s">
        <v>633</v>
      </c>
      <c r="P56" s="3185" t="s">
        <v>633</v>
      </c>
      <c r="Q56" s="3185" t="s">
        <v>633</v>
      </c>
      <c r="R56" s="3185">
        <v>0</v>
      </c>
      <c r="S56" s="3185">
        <v>43074</v>
      </c>
      <c r="T56" s="3185">
        <v>3369248</v>
      </c>
      <c r="U56" s="3187">
        <v>43999</v>
      </c>
    </row>
    <row r="57" spans="1:21" s="3198" customFormat="1" ht="27" customHeight="1" thickBot="1">
      <c r="A57" s="3180">
        <v>56</v>
      </c>
      <c r="B57" s="3181" t="s">
        <v>3887</v>
      </c>
      <c r="C57" s="3180" t="s">
        <v>4068</v>
      </c>
      <c r="D57" s="3180" t="s">
        <v>4069</v>
      </c>
      <c r="E57" s="3180" t="s">
        <v>3890</v>
      </c>
      <c r="F57" s="3180" t="s">
        <v>4070</v>
      </c>
      <c r="G57" s="3180" t="s">
        <v>3494</v>
      </c>
      <c r="H57" s="3180" t="s">
        <v>3489</v>
      </c>
      <c r="I57" s="3180" t="s">
        <v>3495</v>
      </c>
      <c r="J57" s="3180">
        <v>76.87</v>
      </c>
      <c r="K57" s="3180" t="s">
        <v>3386</v>
      </c>
      <c r="L57" s="3180" t="s">
        <v>3499</v>
      </c>
      <c r="M57" s="3180">
        <v>1</v>
      </c>
      <c r="N57" s="3180">
        <v>2005</v>
      </c>
      <c r="O57" s="3180" t="s">
        <v>633</v>
      </c>
      <c r="P57" s="3180" t="s">
        <v>633</v>
      </c>
      <c r="Q57" s="3180" t="s">
        <v>633</v>
      </c>
      <c r="R57" s="3180">
        <v>44621</v>
      </c>
      <c r="S57" s="3180">
        <v>41854</v>
      </c>
      <c r="T57" s="3180">
        <v>3217317</v>
      </c>
      <c r="U57" s="3182">
        <v>43960</v>
      </c>
    </row>
    <row r="58" spans="1:21" ht="27" hidden="1" customHeight="1" thickBot="1">
      <c r="A58" s="3185">
        <v>57</v>
      </c>
      <c r="B58" s="3186" t="s">
        <v>3887</v>
      </c>
      <c r="C58" s="3185" t="s">
        <v>4071</v>
      </c>
      <c r="D58" s="3185" t="s">
        <v>4072</v>
      </c>
      <c r="E58" s="3185" t="s">
        <v>3890</v>
      </c>
      <c r="F58" s="3185" t="s">
        <v>4073</v>
      </c>
      <c r="G58" s="3185" t="s">
        <v>3493</v>
      </c>
      <c r="H58" s="3185" t="s">
        <v>3489</v>
      </c>
      <c r="I58" s="3185" t="s">
        <v>3490</v>
      </c>
      <c r="J58" s="3185">
        <v>78.22</v>
      </c>
      <c r="K58" s="3185" t="s">
        <v>3386</v>
      </c>
      <c r="L58" s="3185">
        <v>7</v>
      </c>
      <c r="M58" s="3185">
        <v>4</v>
      </c>
      <c r="N58" s="3185">
        <v>1999</v>
      </c>
      <c r="O58" s="3185" t="s">
        <v>633</v>
      </c>
      <c r="P58" s="3185" t="s">
        <v>633</v>
      </c>
      <c r="Q58" s="3185" t="s">
        <v>633</v>
      </c>
      <c r="R58" s="3185">
        <v>44746</v>
      </c>
      <c r="S58" s="3185">
        <v>44068</v>
      </c>
      <c r="T58" s="3185">
        <v>3446999</v>
      </c>
      <c r="U58" s="3187">
        <v>43838</v>
      </c>
    </row>
    <row r="59" spans="1:21" s="3198" customFormat="1" ht="27" customHeight="1" thickBot="1">
      <c r="A59" s="3180">
        <v>58</v>
      </c>
      <c r="B59" s="3181" t="s">
        <v>3887</v>
      </c>
      <c r="C59" s="3180" t="s">
        <v>4074</v>
      </c>
      <c r="D59" s="3180" t="s">
        <v>4075</v>
      </c>
      <c r="E59" s="3180" t="s">
        <v>3890</v>
      </c>
      <c r="F59" s="3180" t="s">
        <v>4076</v>
      </c>
      <c r="G59" s="3180" t="s">
        <v>3494</v>
      </c>
      <c r="H59" s="3180" t="s">
        <v>3489</v>
      </c>
      <c r="I59" s="3180" t="s">
        <v>3498</v>
      </c>
      <c r="J59" s="3180">
        <v>88.43</v>
      </c>
      <c r="K59" s="3180" t="s">
        <v>3386</v>
      </c>
      <c r="L59" s="3180">
        <v>22</v>
      </c>
      <c r="M59" s="3180">
        <v>1</v>
      </c>
      <c r="N59" s="3180">
        <v>2005</v>
      </c>
      <c r="O59" s="3180" t="s">
        <v>633</v>
      </c>
      <c r="P59" s="3180" t="s">
        <v>633</v>
      </c>
      <c r="Q59" s="3180" t="s">
        <v>633</v>
      </c>
      <c r="R59" s="3180">
        <v>54619</v>
      </c>
      <c r="S59" s="3180">
        <v>51208</v>
      </c>
      <c r="T59" s="3180">
        <v>4528323</v>
      </c>
      <c r="U59" s="3182">
        <v>43817</v>
      </c>
    </row>
    <row r="60" spans="1:21" s="3198" customFormat="1" ht="27" customHeight="1" thickBot="1">
      <c r="A60" s="3180">
        <v>59</v>
      </c>
      <c r="B60" s="3181" t="s">
        <v>3887</v>
      </c>
      <c r="C60" s="3180" t="s">
        <v>4077</v>
      </c>
      <c r="D60" s="3180" t="s">
        <v>4078</v>
      </c>
      <c r="E60" s="3180" t="s">
        <v>3890</v>
      </c>
      <c r="F60" s="3180" t="s">
        <v>4079</v>
      </c>
      <c r="G60" s="3180" t="s">
        <v>3494</v>
      </c>
      <c r="H60" s="3180" t="s">
        <v>3489</v>
      </c>
      <c r="I60" s="3180" t="s">
        <v>3495</v>
      </c>
      <c r="J60" s="3180">
        <v>101.48</v>
      </c>
      <c r="K60" s="3180" t="s">
        <v>3386</v>
      </c>
      <c r="L60" s="3180" t="s">
        <v>4048</v>
      </c>
      <c r="M60" s="3180">
        <v>3</v>
      </c>
      <c r="N60" s="3180" t="s">
        <v>633</v>
      </c>
      <c r="O60" s="3180">
        <v>2005</v>
      </c>
      <c r="P60" s="3180" t="s">
        <v>633</v>
      </c>
      <c r="Q60" s="3180" t="s">
        <v>633</v>
      </c>
      <c r="R60" s="3180">
        <v>51045</v>
      </c>
      <c r="S60" s="3180">
        <v>48261</v>
      </c>
      <c r="T60" s="3180">
        <v>4897526</v>
      </c>
      <c r="U60" s="3182">
        <v>43792</v>
      </c>
    </row>
    <row r="61" spans="1:21" ht="27" hidden="1" customHeight="1" thickBot="1">
      <c r="A61" s="3185">
        <v>60</v>
      </c>
      <c r="B61" s="3186" t="s">
        <v>3887</v>
      </c>
      <c r="C61" s="3185" t="s">
        <v>4080</v>
      </c>
      <c r="D61" s="3185" t="s">
        <v>4081</v>
      </c>
      <c r="E61" s="3185" t="s">
        <v>3890</v>
      </c>
      <c r="F61" s="3185" t="s">
        <v>4082</v>
      </c>
      <c r="G61" s="3185" t="s">
        <v>3502</v>
      </c>
      <c r="H61" s="3185" t="s">
        <v>3489</v>
      </c>
      <c r="I61" s="3185" t="s">
        <v>3498</v>
      </c>
      <c r="J61" s="3185">
        <v>72.77</v>
      </c>
      <c r="K61" s="3185" t="s">
        <v>3386</v>
      </c>
      <c r="L61" s="3185" t="s">
        <v>3503</v>
      </c>
      <c r="M61" s="3185">
        <v>9</v>
      </c>
      <c r="N61" s="3185" t="s">
        <v>633</v>
      </c>
      <c r="O61" s="3185">
        <v>2011</v>
      </c>
      <c r="P61" s="3185" t="s">
        <v>633</v>
      </c>
      <c r="Q61" s="3185" t="s">
        <v>633</v>
      </c>
      <c r="R61" s="3185">
        <v>0</v>
      </c>
      <c r="S61" s="3185">
        <v>58049</v>
      </c>
      <c r="T61" s="3185">
        <v>4224226</v>
      </c>
      <c r="U61" s="3187">
        <v>43778</v>
      </c>
    </row>
    <row r="62" spans="1:21" ht="27" hidden="1" customHeight="1" thickBot="1">
      <c r="A62" s="3189">
        <v>61</v>
      </c>
      <c r="B62" s="3190" t="s">
        <v>3887</v>
      </c>
      <c r="C62" s="3189" t="s">
        <v>4083</v>
      </c>
      <c r="D62" s="3189" t="s">
        <v>4084</v>
      </c>
      <c r="E62" s="3189" t="s">
        <v>3890</v>
      </c>
      <c r="F62" s="3189" t="s">
        <v>4085</v>
      </c>
      <c r="G62" s="3189" t="s">
        <v>3493</v>
      </c>
      <c r="H62" s="3189" t="s">
        <v>3489</v>
      </c>
      <c r="I62" s="3189" t="s">
        <v>3490</v>
      </c>
      <c r="J62" s="3189">
        <v>97.76</v>
      </c>
      <c r="K62" s="3189" t="s">
        <v>3386</v>
      </c>
      <c r="L62" s="3189">
        <v>7</v>
      </c>
      <c r="M62" s="3189">
        <v>5</v>
      </c>
      <c r="N62" s="3189">
        <v>1996</v>
      </c>
      <c r="O62" s="3189" t="s">
        <v>633</v>
      </c>
      <c r="P62" s="3189" t="s">
        <v>633</v>
      </c>
      <c r="Q62" s="3189" t="s">
        <v>633</v>
      </c>
      <c r="R62" s="3189">
        <v>51299</v>
      </c>
      <c r="S62" s="3189">
        <v>48196</v>
      </c>
      <c r="T62" s="3189">
        <v>4711641</v>
      </c>
      <c r="U62" s="3191">
        <v>43770</v>
      </c>
    </row>
    <row r="63" spans="1:21" ht="27" hidden="1" customHeight="1" thickBot="1">
      <c r="A63" s="3185">
        <v>62</v>
      </c>
      <c r="B63" s="3186" t="s">
        <v>3887</v>
      </c>
      <c r="C63" s="3185" t="s">
        <v>4086</v>
      </c>
      <c r="D63" s="3185" t="s">
        <v>4087</v>
      </c>
      <c r="E63" s="3185" t="s">
        <v>3890</v>
      </c>
      <c r="F63" s="3185" t="s">
        <v>4088</v>
      </c>
      <c r="G63" s="3185" t="s">
        <v>3502</v>
      </c>
      <c r="H63" s="3185" t="s">
        <v>3489</v>
      </c>
      <c r="I63" s="3185" t="s">
        <v>3498</v>
      </c>
      <c r="J63" s="3185">
        <v>72.77</v>
      </c>
      <c r="K63" s="3185" t="s">
        <v>3386</v>
      </c>
      <c r="L63" s="3185" t="s">
        <v>3503</v>
      </c>
      <c r="M63" s="3185">
        <v>5</v>
      </c>
      <c r="N63" s="3185" t="s">
        <v>633</v>
      </c>
      <c r="O63" s="3185">
        <v>2011</v>
      </c>
      <c r="P63" s="3185" t="s">
        <v>633</v>
      </c>
      <c r="Q63" s="3185" t="s">
        <v>633</v>
      </c>
      <c r="R63" s="3185">
        <v>0</v>
      </c>
      <c r="S63" s="3185">
        <v>58629</v>
      </c>
      <c r="T63" s="3185">
        <v>4266432</v>
      </c>
      <c r="U63" s="3187">
        <v>43686</v>
      </c>
    </row>
    <row r="64" spans="1:21" ht="27" hidden="1" customHeight="1" thickBot="1">
      <c r="A64" s="3185">
        <v>63</v>
      </c>
      <c r="B64" s="3186" t="s">
        <v>3887</v>
      </c>
      <c r="C64" s="3185" t="s">
        <v>4089</v>
      </c>
      <c r="D64" s="3185" t="s">
        <v>4090</v>
      </c>
      <c r="E64" s="3185" t="s">
        <v>3890</v>
      </c>
      <c r="F64" s="3185" t="s">
        <v>4091</v>
      </c>
      <c r="G64" s="3185" t="s">
        <v>3493</v>
      </c>
      <c r="H64" s="3185" t="s">
        <v>3489</v>
      </c>
      <c r="I64" s="3185" t="s">
        <v>3490</v>
      </c>
      <c r="J64" s="3185">
        <v>72.59</v>
      </c>
      <c r="K64" s="3185" t="s">
        <v>3386</v>
      </c>
      <c r="L64" s="3185">
        <v>7</v>
      </c>
      <c r="M64" s="3185">
        <v>5</v>
      </c>
      <c r="N64" s="3185">
        <v>1999</v>
      </c>
      <c r="O64" s="3185" t="s">
        <v>633</v>
      </c>
      <c r="P64" s="3185" t="s">
        <v>633</v>
      </c>
      <c r="Q64" s="3185" t="s">
        <v>633</v>
      </c>
      <c r="R64" s="3185">
        <v>51247</v>
      </c>
      <c r="S64" s="3185">
        <v>49423</v>
      </c>
      <c r="T64" s="3185">
        <v>3587616</v>
      </c>
      <c r="U64" s="3187">
        <v>43679</v>
      </c>
    </row>
    <row r="65" spans="1:21" s="3198"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5">
        <v>65</v>
      </c>
      <c r="B66" s="3186" t="s">
        <v>3887</v>
      </c>
      <c r="C66" s="3185" t="s">
        <v>4095</v>
      </c>
      <c r="D66" s="3185" t="s">
        <v>4096</v>
      </c>
      <c r="E66" s="3185" t="s">
        <v>3890</v>
      </c>
      <c r="F66" s="3185" t="s">
        <v>4097</v>
      </c>
      <c r="G66" s="3185" t="s">
        <v>3493</v>
      </c>
      <c r="H66" s="3185" t="s">
        <v>3489</v>
      </c>
      <c r="I66" s="3185" t="s">
        <v>3490</v>
      </c>
      <c r="J66" s="3185">
        <v>45.66</v>
      </c>
      <c r="K66" s="3185" t="s">
        <v>3386</v>
      </c>
      <c r="L66" s="3185">
        <v>6</v>
      </c>
      <c r="M66" s="3185">
        <v>4</v>
      </c>
      <c r="N66" s="3185" t="s">
        <v>633</v>
      </c>
      <c r="O66" s="3185">
        <v>1996</v>
      </c>
      <c r="P66" s="3185" t="s">
        <v>633</v>
      </c>
      <c r="Q66" s="3185" t="s">
        <v>633</v>
      </c>
      <c r="R66" s="3185">
        <v>58914</v>
      </c>
      <c r="S66" s="3185">
        <v>55946</v>
      </c>
      <c r="T66" s="3185">
        <v>2554494</v>
      </c>
      <c r="U66" s="3187">
        <v>43595</v>
      </c>
    </row>
    <row r="67" spans="1:21" s="3198" customFormat="1" ht="27" customHeight="1" thickBot="1">
      <c r="A67" s="3180">
        <v>66</v>
      </c>
      <c r="B67" s="3186" t="s">
        <v>3887</v>
      </c>
      <c r="C67" s="3185" t="s">
        <v>4098</v>
      </c>
      <c r="D67" s="3185" t="s">
        <v>4099</v>
      </c>
      <c r="E67" s="3180" t="s">
        <v>3890</v>
      </c>
      <c r="F67" s="3180" t="s">
        <v>4100</v>
      </c>
      <c r="G67" s="3180" t="s">
        <v>3494</v>
      </c>
      <c r="H67" s="3185" t="s">
        <v>3489</v>
      </c>
      <c r="I67" s="3180" t="s">
        <v>3495</v>
      </c>
      <c r="J67" s="3180">
        <v>88.24</v>
      </c>
      <c r="K67" s="3180" t="s">
        <v>3386</v>
      </c>
      <c r="L67" s="3180" t="s">
        <v>3496</v>
      </c>
      <c r="M67" s="3180">
        <v>16</v>
      </c>
      <c r="N67" s="3180" t="s">
        <v>633</v>
      </c>
      <c r="O67" s="3180">
        <v>2005</v>
      </c>
      <c r="P67" s="3185" t="s">
        <v>633</v>
      </c>
      <c r="Q67" s="3185" t="s">
        <v>633</v>
      </c>
      <c r="R67" s="3180">
        <v>58930</v>
      </c>
      <c r="S67" s="3180">
        <v>54808</v>
      </c>
      <c r="T67" s="3180">
        <v>4836258</v>
      </c>
      <c r="U67" s="3182">
        <v>43581</v>
      </c>
    </row>
    <row r="68" spans="1:21" ht="27" hidden="1" customHeight="1" thickBot="1">
      <c r="A68" s="3185">
        <v>67</v>
      </c>
      <c r="B68" s="3186" t="s">
        <v>3887</v>
      </c>
      <c r="C68" s="3192" t="s">
        <v>4101</v>
      </c>
      <c r="D68" s="3192" t="s">
        <v>4102</v>
      </c>
      <c r="E68" s="3192" t="s">
        <v>3890</v>
      </c>
      <c r="F68" s="3192" t="s">
        <v>4103</v>
      </c>
      <c r="G68" s="3192" t="s">
        <v>3493</v>
      </c>
      <c r="H68" s="3192" t="s">
        <v>3489</v>
      </c>
      <c r="I68" s="3192" t="s">
        <v>3490</v>
      </c>
      <c r="J68" s="3192">
        <v>78.22</v>
      </c>
      <c r="K68" s="3192" t="s">
        <v>3386</v>
      </c>
      <c r="L68" s="3192">
        <v>7</v>
      </c>
      <c r="M68" s="3192">
        <v>5</v>
      </c>
      <c r="N68" s="3192">
        <v>1999</v>
      </c>
      <c r="O68" s="3192" t="s">
        <v>633</v>
      </c>
      <c r="P68" s="3192" t="s">
        <v>633</v>
      </c>
      <c r="Q68" s="3192" t="s">
        <v>633</v>
      </c>
      <c r="R68" s="3192">
        <v>44106</v>
      </c>
      <c r="S68" s="3192">
        <v>44082</v>
      </c>
      <c r="T68" s="3192">
        <v>3448094</v>
      </c>
      <c r="U68" s="3193">
        <v>43572</v>
      </c>
    </row>
    <row r="69" spans="1:21" s="3198" customFormat="1" ht="27" customHeight="1" thickBot="1">
      <c r="A69" s="3180">
        <v>68</v>
      </c>
      <c r="B69" s="3186" t="s">
        <v>3887</v>
      </c>
      <c r="C69" s="3185" t="s">
        <v>4104</v>
      </c>
      <c r="D69" s="3185" t="s">
        <v>4105</v>
      </c>
      <c r="E69" s="3180" t="s">
        <v>3890</v>
      </c>
      <c r="F69" s="3180" t="s">
        <v>4106</v>
      </c>
      <c r="G69" s="3180" t="s">
        <v>3494</v>
      </c>
      <c r="H69" s="3185" t="s">
        <v>3867</v>
      </c>
      <c r="I69" s="3180" t="s">
        <v>3498</v>
      </c>
      <c r="J69" s="3180">
        <v>83.43</v>
      </c>
      <c r="K69" s="3180" t="s">
        <v>3386</v>
      </c>
      <c r="L69" s="3180" t="s">
        <v>3499</v>
      </c>
      <c r="M69" s="3180">
        <v>20</v>
      </c>
      <c r="N69" s="3180">
        <v>2005</v>
      </c>
      <c r="O69" s="3180" t="s">
        <v>633</v>
      </c>
      <c r="P69" s="3185" t="s">
        <v>633</v>
      </c>
      <c r="Q69" s="3185" t="s">
        <v>633</v>
      </c>
      <c r="R69" s="3180">
        <v>56095</v>
      </c>
      <c r="S69" s="3180">
        <v>50726</v>
      </c>
      <c r="T69" s="3180">
        <v>4232070</v>
      </c>
      <c r="U69" s="3182">
        <v>43559</v>
      </c>
    </row>
    <row r="70" spans="1:21" s="3198" customFormat="1" ht="27" customHeight="1" thickBot="1">
      <c r="A70" s="3180">
        <v>69</v>
      </c>
      <c r="B70" s="3186" t="s">
        <v>3887</v>
      </c>
      <c r="C70" s="3185" t="s">
        <v>4107</v>
      </c>
      <c r="D70" s="3185" t="s">
        <v>4108</v>
      </c>
      <c r="E70" s="3180" t="s">
        <v>3890</v>
      </c>
      <c r="F70" s="3180" t="s">
        <v>4109</v>
      </c>
      <c r="G70" s="3180" t="s">
        <v>3494</v>
      </c>
      <c r="H70" s="3185" t="s">
        <v>3867</v>
      </c>
      <c r="I70" s="3180" t="s">
        <v>3498</v>
      </c>
      <c r="J70" s="3180">
        <v>89.5</v>
      </c>
      <c r="K70" s="3180" t="s">
        <v>3386</v>
      </c>
      <c r="L70" s="3180" t="s">
        <v>3499</v>
      </c>
      <c r="M70" s="3180">
        <v>6</v>
      </c>
      <c r="N70" s="3180">
        <v>2005</v>
      </c>
      <c r="O70" s="3180" t="s">
        <v>633</v>
      </c>
      <c r="P70" s="3185" t="s">
        <v>633</v>
      </c>
      <c r="Q70" s="3185" t="s">
        <v>633</v>
      </c>
      <c r="R70" s="3180">
        <v>53520</v>
      </c>
      <c r="S70" s="3180">
        <v>48237</v>
      </c>
      <c r="T70" s="3180">
        <v>4317212</v>
      </c>
      <c r="U70" s="3182">
        <v>43558</v>
      </c>
    </row>
    <row r="71" spans="1:21" ht="27" hidden="1" customHeight="1" thickBot="1">
      <c r="A71" s="3185">
        <v>70</v>
      </c>
      <c r="B71" s="3186" t="s">
        <v>3887</v>
      </c>
      <c r="C71" s="3185" t="s">
        <v>4110</v>
      </c>
      <c r="D71" s="3185" t="s">
        <v>4111</v>
      </c>
      <c r="E71" s="3185" t="s">
        <v>3890</v>
      </c>
      <c r="F71" s="3185" t="s">
        <v>4112</v>
      </c>
      <c r="G71" s="3185" t="s">
        <v>3493</v>
      </c>
      <c r="H71" s="3185" t="s">
        <v>3867</v>
      </c>
      <c r="I71" s="3185" t="s">
        <v>3490</v>
      </c>
      <c r="J71" s="3185">
        <v>82.96</v>
      </c>
      <c r="K71" s="3185" t="s">
        <v>3386</v>
      </c>
      <c r="L71" s="3185" t="s">
        <v>4035</v>
      </c>
      <c r="M71" s="3185">
        <v>2</v>
      </c>
      <c r="N71" s="3185">
        <v>1998</v>
      </c>
      <c r="O71" s="3185" t="s">
        <v>633</v>
      </c>
      <c r="P71" s="3185" t="s">
        <v>633</v>
      </c>
      <c r="Q71" s="3185" t="s">
        <v>633</v>
      </c>
      <c r="R71" s="3185">
        <v>57257</v>
      </c>
      <c r="S71" s="3185">
        <v>52531</v>
      </c>
      <c r="T71" s="3185">
        <v>4357972</v>
      </c>
      <c r="U71" s="3187">
        <v>43553</v>
      </c>
    </row>
    <row r="72" spans="1:21" ht="27" hidden="1" customHeight="1" thickBot="1">
      <c r="A72" s="3185">
        <v>71</v>
      </c>
      <c r="B72" s="3186" t="s">
        <v>3887</v>
      </c>
      <c r="C72" s="3185" t="s">
        <v>4113</v>
      </c>
      <c r="D72" s="3185" t="s">
        <v>4114</v>
      </c>
      <c r="E72" s="3185" t="s">
        <v>3890</v>
      </c>
      <c r="F72" s="3185" t="s">
        <v>4115</v>
      </c>
      <c r="G72" s="3185" t="s">
        <v>3493</v>
      </c>
      <c r="H72" s="3185" t="s">
        <v>3867</v>
      </c>
      <c r="I72" s="3185" t="s">
        <v>3490</v>
      </c>
      <c r="J72" s="3185">
        <v>75.260000000000005</v>
      </c>
      <c r="K72" s="3185" t="s">
        <v>3386</v>
      </c>
      <c r="L72" s="3185">
        <v>6</v>
      </c>
      <c r="M72" s="3185">
        <v>5</v>
      </c>
      <c r="N72" s="3185" t="s">
        <v>633</v>
      </c>
      <c r="O72" s="3185">
        <v>1996</v>
      </c>
      <c r="P72" s="3185" t="s">
        <v>633</v>
      </c>
      <c r="Q72" s="3185" t="s">
        <v>633</v>
      </c>
      <c r="R72" s="3185">
        <v>57135</v>
      </c>
      <c r="S72" s="3185">
        <v>52496</v>
      </c>
      <c r="T72" s="3185">
        <v>3950849</v>
      </c>
      <c r="U72" s="3187">
        <v>43536</v>
      </c>
    </row>
    <row r="73" spans="1:21" ht="27" hidden="1" customHeight="1" thickBot="1">
      <c r="A73" s="3185">
        <v>72</v>
      </c>
      <c r="B73" s="3186" t="s">
        <v>3887</v>
      </c>
      <c r="C73" s="3185" t="s">
        <v>4116</v>
      </c>
      <c r="D73" s="3185" t="s">
        <v>4117</v>
      </c>
      <c r="E73" s="3185" t="s">
        <v>3890</v>
      </c>
      <c r="F73" s="3185" t="s">
        <v>4118</v>
      </c>
      <c r="G73" s="3185" t="s">
        <v>3493</v>
      </c>
      <c r="H73" s="3185" t="s">
        <v>3867</v>
      </c>
      <c r="I73" s="3185" t="s">
        <v>3490</v>
      </c>
      <c r="J73" s="3185">
        <v>115.81</v>
      </c>
      <c r="K73" s="3185" t="s">
        <v>3386</v>
      </c>
      <c r="L73" s="3185">
        <v>7</v>
      </c>
      <c r="M73" s="3188">
        <v>45450</v>
      </c>
      <c r="N73" s="3185">
        <v>1999</v>
      </c>
      <c r="O73" s="3185" t="s">
        <v>633</v>
      </c>
      <c r="P73" s="3185" t="s">
        <v>633</v>
      </c>
      <c r="Q73" s="3185" t="s">
        <v>633</v>
      </c>
      <c r="R73" s="3185">
        <v>45592</v>
      </c>
      <c r="S73" s="3185">
        <v>50898</v>
      </c>
      <c r="T73" s="3185">
        <v>5894497</v>
      </c>
      <c r="U73" s="3187">
        <v>43516</v>
      </c>
    </row>
    <row r="74" spans="1:21" ht="27" hidden="1" customHeight="1" thickBot="1">
      <c r="A74" s="3185">
        <v>73</v>
      </c>
      <c r="B74" s="3186" t="s">
        <v>3887</v>
      </c>
      <c r="C74" s="3185" t="s">
        <v>4119</v>
      </c>
      <c r="D74" s="3185" t="s">
        <v>4120</v>
      </c>
      <c r="E74" s="3185" t="s">
        <v>3890</v>
      </c>
      <c r="F74" s="3185" t="s">
        <v>4121</v>
      </c>
      <c r="G74" s="3185" t="s">
        <v>3493</v>
      </c>
      <c r="H74" s="3185" t="s">
        <v>3867</v>
      </c>
      <c r="I74" s="3185" t="s">
        <v>3498</v>
      </c>
      <c r="J74" s="3185">
        <v>45.66</v>
      </c>
      <c r="K74" s="3185" t="s">
        <v>3386</v>
      </c>
      <c r="L74" s="3185">
        <v>6</v>
      </c>
      <c r="M74" s="3185">
        <v>5</v>
      </c>
      <c r="N74" s="3185" t="s">
        <v>633</v>
      </c>
      <c r="O74" s="3185">
        <v>1996</v>
      </c>
      <c r="P74" s="3185" t="s">
        <v>633</v>
      </c>
      <c r="Q74" s="3185" t="s">
        <v>633</v>
      </c>
      <c r="R74" s="3185">
        <v>57381</v>
      </c>
      <c r="S74" s="3185">
        <v>54291</v>
      </c>
      <c r="T74" s="3185">
        <v>2478927</v>
      </c>
      <c r="U74" s="3187">
        <v>43445</v>
      </c>
    </row>
    <row r="75" spans="1:21" ht="27" hidden="1" customHeight="1" thickBot="1">
      <c r="A75" s="3185">
        <v>74</v>
      </c>
      <c r="B75" s="3186" t="s">
        <v>3887</v>
      </c>
      <c r="C75" s="3185" t="s">
        <v>4122</v>
      </c>
      <c r="D75" s="3185" t="s">
        <v>4123</v>
      </c>
      <c r="E75" s="3185" t="s">
        <v>3890</v>
      </c>
      <c r="F75" s="3185" t="s">
        <v>4124</v>
      </c>
      <c r="G75" s="3185" t="s">
        <v>3493</v>
      </c>
      <c r="H75" s="3185" t="s">
        <v>3867</v>
      </c>
      <c r="I75" s="3185" t="s">
        <v>3498</v>
      </c>
      <c r="J75" s="3185">
        <v>72.59</v>
      </c>
      <c r="K75" s="3185" t="s">
        <v>3386</v>
      </c>
      <c r="L75" s="3185">
        <v>7</v>
      </c>
      <c r="M75" s="3185">
        <v>5</v>
      </c>
      <c r="N75" s="3185">
        <v>1999</v>
      </c>
      <c r="O75" s="3185" t="s">
        <v>633</v>
      </c>
      <c r="P75" s="3185" t="s">
        <v>633</v>
      </c>
      <c r="Q75" s="3185" t="s">
        <v>633</v>
      </c>
      <c r="R75" s="3185">
        <v>0</v>
      </c>
      <c r="S75" s="3185">
        <v>53046</v>
      </c>
      <c r="T75" s="3185">
        <v>3850609</v>
      </c>
      <c r="U75" s="3187">
        <v>43442</v>
      </c>
    </row>
    <row r="76" spans="1:21" ht="27" hidden="1" customHeight="1" thickBot="1">
      <c r="A76" s="3185">
        <v>75</v>
      </c>
      <c r="B76" s="3186" t="s">
        <v>3887</v>
      </c>
      <c r="C76" s="3185" t="s">
        <v>4125</v>
      </c>
      <c r="D76" s="3185" t="s">
        <v>4126</v>
      </c>
      <c r="E76" s="3185" t="s">
        <v>3890</v>
      </c>
      <c r="F76" s="3185" t="s">
        <v>4127</v>
      </c>
      <c r="G76" s="3185" t="s">
        <v>3502</v>
      </c>
      <c r="H76" s="3185" t="s">
        <v>3867</v>
      </c>
      <c r="I76" s="3185" t="s">
        <v>3498</v>
      </c>
      <c r="J76" s="3185">
        <v>71.06</v>
      </c>
      <c r="K76" s="3185" t="s">
        <v>3386</v>
      </c>
      <c r="L76" s="3185" t="s">
        <v>3503</v>
      </c>
      <c r="M76" s="3185">
        <v>14</v>
      </c>
      <c r="N76" s="3185" t="s">
        <v>633</v>
      </c>
      <c r="O76" s="3185">
        <v>2011</v>
      </c>
      <c r="P76" s="3185" t="s">
        <v>633</v>
      </c>
      <c r="Q76" s="3185" t="s">
        <v>633</v>
      </c>
      <c r="R76" s="3185">
        <v>61920</v>
      </c>
      <c r="S76" s="3185">
        <v>55919</v>
      </c>
      <c r="T76" s="3185">
        <v>3973604</v>
      </c>
      <c r="U76" s="3187">
        <v>43404</v>
      </c>
    </row>
    <row r="77" spans="1:21" ht="27" hidden="1" customHeight="1" thickBot="1">
      <c r="A77" s="3189">
        <v>76</v>
      </c>
      <c r="B77" s="3190" t="s">
        <v>3887</v>
      </c>
      <c r="C77" s="3189" t="s">
        <v>4128</v>
      </c>
      <c r="D77" s="3189" t="s">
        <v>4129</v>
      </c>
      <c r="E77" s="3189" t="s">
        <v>3890</v>
      </c>
      <c r="F77" s="3189" t="s">
        <v>4130</v>
      </c>
      <c r="G77" s="3189" t="s">
        <v>3502</v>
      </c>
      <c r="H77" s="3189" t="s">
        <v>3867</v>
      </c>
      <c r="I77" s="3189" t="s">
        <v>3498</v>
      </c>
      <c r="J77" s="3189">
        <v>76.67</v>
      </c>
      <c r="K77" s="3189" t="s">
        <v>3386</v>
      </c>
      <c r="L77" s="3189" t="s">
        <v>3503</v>
      </c>
      <c r="M77" s="3189">
        <v>21</v>
      </c>
      <c r="N77" s="3189" t="s">
        <v>633</v>
      </c>
      <c r="O77" s="3189">
        <v>2011</v>
      </c>
      <c r="P77" s="3189" t="s">
        <v>633</v>
      </c>
      <c r="Q77" s="3189" t="s">
        <v>633</v>
      </c>
      <c r="R77" s="3189">
        <v>60258</v>
      </c>
      <c r="S77" s="3189">
        <v>56720</v>
      </c>
      <c r="T77" s="3189">
        <v>4348722</v>
      </c>
      <c r="U77" s="3191">
        <v>43361</v>
      </c>
    </row>
    <row r="78" spans="1:21" ht="27" hidden="1" customHeight="1" thickBot="1">
      <c r="A78" s="3185">
        <v>77</v>
      </c>
      <c r="B78" s="3186" t="s">
        <v>3887</v>
      </c>
      <c r="C78" s="3185" t="s">
        <v>4131</v>
      </c>
      <c r="D78" s="3185" t="s">
        <v>4132</v>
      </c>
      <c r="E78" s="3185" t="s">
        <v>3890</v>
      </c>
      <c r="F78" s="3185" t="s">
        <v>4133</v>
      </c>
      <c r="G78" s="3185" t="s">
        <v>3502</v>
      </c>
      <c r="H78" s="3185" t="s">
        <v>3867</v>
      </c>
      <c r="I78" s="3185" t="s">
        <v>3498</v>
      </c>
      <c r="J78" s="3185">
        <v>95.41</v>
      </c>
      <c r="K78" s="3185" t="s">
        <v>3386</v>
      </c>
      <c r="L78" s="3185" t="s">
        <v>3503</v>
      </c>
      <c r="M78" s="3185">
        <v>20</v>
      </c>
      <c r="N78" s="3185" t="s">
        <v>633</v>
      </c>
      <c r="O78" s="3185">
        <v>2011</v>
      </c>
      <c r="P78" s="3185" t="s">
        <v>633</v>
      </c>
      <c r="Q78" s="3185" t="s">
        <v>633</v>
      </c>
      <c r="R78" s="3185">
        <v>69699</v>
      </c>
      <c r="S78" s="3185">
        <v>61863</v>
      </c>
      <c r="T78" s="3185">
        <v>5902349</v>
      </c>
      <c r="U78" s="3187">
        <v>43287</v>
      </c>
    </row>
    <row r="79" spans="1:21" ht="27" hidden="1" customHeight="1" thickBot="1">
      <c r="A79" s="3185">
        <v>78</v>
      </c>
      <c r="B79" s="3186" t="s">
        <v>3887</v>
      </c>
      <c r="C79" s="3185" t="s">
        <v>4134</v>
      </c>
      <c r="D79" s="3185" t="s">
        <v>4135</v>
      </c>
      <c r="E79" s="3185" t="s">
        <v>3890</v>
      </c>
      <c r="F79" s="3185" t="s">
        <v>4136</v>
      </c>
      <c r="G79" s="3185" t="s">
        <v>3493</v>
      </c>
      <c r="H79" s="3185" t="s">
        <v>3867</v>
      </c>
      <c r="I79" s="3185" t="s">
        <v>3490</v>
      </c>
      <c r="J79" s="3185">
        <v>72.59</v>
      </c>
      <c r="K79" s="3185" t="s">
        <v>3386</v>
      </c>
      <c r="L79" s="3185">
        <v>7</v>
      </c>
      <c r="M79" s="3185">
        <v>2</v>
      </c>
      <c r="N79" s="3185">
        <v>1999</v>
      </c>
      <c r="O79" s="3185" t="s">
        <v>633</v>
      </c>
      <c r="P79" s="3185" t="s">
        <v>633</v>
      </c>
      <c r="Q79" s="3185" t="s">
        <v>633</v>
      </c>
      <c r="R79" s="3185">
        <v>57721</v>
      </c>
      <c r="S79" s="3185">
        <v>52940</v>
      </c>
      <c r="T79" s="3185">
        <v>3842915</v>
      </c>
      <c r="U79" s="3187">
        <v>43287</v>
      </c>
    </row>
    <row r="80" spans="1:21" s="3198" customFormat="1" ht="27" customHeight="1" thickBot="1">
      <c r="A80" s="3180">
        <v>79</v>
      </c>
      <c r="B80" s="3186" t="s">
        <v>3887</v>
      </c>
      <c r="C80" s="3185" t="s">
        <v>4137</v>
      </c>
      <c r="D80" s="3185" t="s">
        <v>4138</v>
      </c>
      <c r="E80" s="3180" t="s">
        <v>3890</v>
      </c>
      <c r="F80" s="3180" t="s">
        <v>4139</v>
      </c>
      <c r="G80" s="3180" t="s">
        <v>3494</v>
      </c>
      <c r="H80" s="3185" t="s">
        <v>3489</v>
      </c>
      <c r="I80" s="3180" t="s">
        <v>3495</v>
      </c>
      <c r="J80" s="3180">
        <v>96.85</v>
      </c>
      <c r="K80" s="3180" t="s">
        <v>3386</v>
      </c>
      <c r="L80" s="3180" t="s">
        <v>4052</v>
      </c>
      <c r="M80" s="3180">
        <v>11</v>
      </c>
      <c r="N80" s="3180" t="s">
        <v>633</v>
      </c>
      <c r="O80" s="3180">
        <v>2006</v>
      </c>
      <c r="P80" s="3185" t="s">
        <v>633</v>
      </c>
      <c r="Q80" s="3185" t="s">
        <v>633</v>
      </c>
      <c r="R80" s="3180">
        <v>0</v>
      </c>
      <c r="S80" s="3180">
        <v>47620</v>
      </c>
      <c r="T80" s="3180">
        <v>4611997</v>
      </c>
      <c r="U80" s="3182">
        <v>43161</v>
      </c>
    </row>
    <row r="81" spans="1:23" s="3198" customFormat="1" ht="27" customHeight="1" thickBot="1">
      <c r="A81" s="3200">
        <v>80</v>
      </c>
      <c r="B81" s="3256" t="s">
        <v>3887</v>
      </c>
      <c r="C81" s="3200" t="s">
        <v>4140</v>
      </c>
      <c r="D81" s="3200" t="s">
        <v>4141</v>
      </c>
      <c r="E81" s="3200" t="s">
        <v>4142</v>
      </c>
      <c r="F81" s="3200" t="s">
        <v>4143</v>
      </c>
      <c r="G81" s="3200" t="s">
        <v>3494</v>
      </c>
      <c r="H81" s="3200" t="s">
        <v>3489</v>
      </c>
      <c r="I81" s="3200" t="s">
        <v>3498</v>
      </c>
      <c r="J81" s="3200">
        <v>90.5</v>
      </c>
      <c r="K81" s="3200" t="s">
        <v>3386</v>
      </c>
      <c r="L81" s="3200" t="s">
        <v>3496</v>
      </c>
      <c r="M81" s="3200">
        <v>14</v>
      </c>
      <c r="N81" s="3200" t="s">
        <v>633</v>
      </c>
      <c r="O81" s="3200">
        <v>2005</v>
      </c>
      <c r="P81" s="3200" t="s">
        <v>633</v>
      </c>
      <c r="Q81" s="3200" t="s">
        <v>633</v>
      </c>
      <c r="R81" s="3200">
        <v>60663</v>
      </c>
      <c r="S81" s="3200">
        <v>53319</v>
      </c>
      <c r="T81" s="3200">
        <v>4825370</v>
      </c>
      <c r="U81" s="3201">
        <v>43003</v>
      </c>
    </row>
    <row r="82" spans="1:23" ht="27" hidden="1" customHeight="1" thickBot="1">
      <c r="A82" s="3200">
        <v>81</v>
      </c>
      <c r="B82" s="3256" t="s">
        <v>3887</v>
      </c>
      <c r="C82" s="3200" t="s">
        <v>4144</v>
      </c>
      <c r="D82" s="3200" t="s">
        <v>4145</v>
      </c>
      <c r="E82" s="3200" t="s">
        <v>3890</v>
      </c>
      <c r="F82" s="3200" t="s">
        <v>4146</v>
      </c>
      <c r="G82" s="3200" t="s">
        <v>3493</v>
      </c>
      <c r="H82" s="3200" t="s">
        <v>3489</v>
      </c>
      <c r="I82" s="3200" t="s">
        <v>3490</v>
      </c>
      <c r="J82" s="3200">
        <v>41.86</v>
      </c>
      <c r="K82" s="3200" t="s">
        <v>3386</v>
      </c>
      <c r="L82" s="3200">
        <v>6</v>
      </c>
      <c r="M82" s="3200">
        <v>1</v>
      </c>
      <c r="N82" s="3200" t="s">
        <v>633</v>
      </c>
      <c r="O82" s="3200">
        <v>1996</v>
      </c>
      <c r="P82" s="3200" t="s">
        <v>633</v>
      </c>
      <c r="Q82" s="3200" t="s">
        <v>633</v>
      </c>
      <c r="R82" s="3200">
        <v>84329</v>
      </c>
      <c r="S82" s="3200">
        <v>64261</v>
      </c>
      <c r="T82" s="3200">
        <v>2689965</v>
      </c>
      <c r="U82" s="3201">
        <v>42846</v>
      </c>
    </row>
    <row r="83" spans="1:23" s="3198" customFormat="1" ht="27" customHeight="1" thickBot="1">
      <c r="A83" s="3200">
        <v>82</v>
      </c>
      <c r="B83" s="3256" t="s">
        <v>3887</v>
      </c>
      <c r="C83" s="3200" t="s">
        <v>4147</v>
      </c>
      <c r="D83" s="3200" t="s">
        <v>4148</v>
      </c>
      <c r="E83" s="3200" t="s">
        <v>3890</v>
      </c>
      <c r="F83" s="3200" t="s">
        <v>4149</v>
      </c>
      <c r="G83" s="3200" t="s">
        <v>3494</v>
      </c>
      <c r="H83" s="3200" t="s">
        <v>3489</v>
      </c>
      <c r="I83" s="3200" t="s">
        <v>3495</v>
      </c>
      <c r="J83" s="3200">
        <v>90.99</v>
      </c>
      <c r="K83" s="3200" t="s">
        <v>3386</v>
      </c>
      <c r="L83" s="3200" t="s">
        <v>3496</v>
      </c>
      <c r="M83" s="3200">
        <v>16</v>
      </c>
      <c r="N83" s="3200">
        <v>2005</v>
      </c>
      <c r="O83" s="3200" t="s">
        <v>633</v>
      </c>
      <c r="P83" s="3200" t="s">
        <v>633</v>
      </c>
      <c r="Q83" s="3200" t="s">
        <v>633</v>
      </c>
      <c r="R83" s="3200">
        <v>65941</v>
      </c>
      <c r="S83" s="3200">
        <v>59463</v>
      </c>
      <c r="T83" s="3200">
        <v>5410538</v>
      </c>
      <c r="U83" s="3201">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2">
        <v>84</v>
      </c>
      <c r="B85" s="3258" t="s">
        <v>3887</v>
      </c>
      <c r="C85" s="3192" t="s">
        <v>4152</v>
      </c>
      <c r="D85" s="3192" t="s">
        <v>4153</v>
      </c>
      <c r="E85" s="3192" t="s">
        <v>3890</v>
      </c>
      <c r="F85" s="3192" t="s">
        <v>3501</v>
      </c>
      <c r="G85" s="3192" t="s">
        <v>3502</v>
      </c>
      <c r="H85" s="3192" t="s">
        <v>3489</v>
      </c>
      <c r="I85" s="3192" t="s">
        <v>3498</v>
      </c>
      <c r="J85" s="3192">
        <v>71.06</v>
      </c>
      <c r="K85" s="3192" t="s">
        <v>3386</v>
      </c>
      <c r="L85" s="3192" t="s">
        <v>3503</v>
      </c>
      <c r="M85" s="3192">
        <v>16</v>
      </c>
      <c r="N85" s="3192" t="s">
        <v>633</v>
      </c>
      <c r="O85" s="3192">
        <v>2011</v>
      </c>
      <c r="P85" s="3192" t="s">
        <v>633</v>
      </c>
      <c r="Q85" s="3192" t="s">
        <v>633</v>
      </c>
      <c r="R85" s="3192">
        <v>61216</v>
      </c>
      <c r="S85" s="3192">
        <v>50338</v>
      </c>
      <c r="T85" s="3192">
        <v>3577018</v>
      </c>
      <c r="U85" s="3193">
        <v>42754</v>
      </c>
    </row>
    <row r="86" spans="1:23" ht="27" customHeight="1" thickBot="1">
      <c r="A86" s="3259">
        <v>85</v>
      </c>
      <c r="B86" s="3260" t="s">
        <v>3887</v>
      </c>
      <c r="C86" s="3259" t="s">
        <v>4154</v>
      </c>
      <c r="D86" s="3259" t="s">
        <v>4155</v>
      </c>
      <c r="E86" s="3259" t="s">
        <v>3890</v>
      </c>
      <c r="F86" s="3259" t="s">
        <v>4309</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4" t="s">
        <v>4275</v>
      </c>
      <c r="W86" s="3184">
        <f>R86-15.6</f>
        <v>49482.400000000001</v>
      </c>
    </row>
    <row r="87" spans="1:23" s="3198"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8" customFormat="1" ht="27" customHeight="1" thickBot="1">
      <c r="A88" s="3200">
        <v>87</v>
      </c>
      <c r="B88" s="3256" t="s">
        <v>3887</v>
      </c>
      <c r="C88" s="3200" t="s">
        <v>4158</v>
      </c>
      <c r="D88" s="3200" t="s">
        <v>4159</v>
      </c>
      <c r="E88" s="3200" t="s">
        <v>3890</v>
      </c>
      <c r="F88" s="3200" t="s">
        <v>3497</v>
      </c>
      <c r="G88" s="3200" t="s">
        <v>3494</v>
      </c>
      <c r="H88" s="3200" t="s">
        <v>3489</v>
      </c>
      <c r="I88" s="3200" t="s">
        <v>3498</v>
      </c>
      <c r="J88" s="3200">
        <v>83.43</v>
      </c>
      <c r="K88" s="3200" t="s">
        <v>3386</v>
      </c>
      <c r="L88" s="3200" t="s">
        <v>3499</v>
      </c>
      <c r="M88" s="3200">
        <v>7</v>
      </c>
      <c r="N88" s="3200">
        <v>2005</v>
      </c>
      <c r="O88" s="3200" t="s">
        <v>633</v>
      </c>
      <c r="P88" s="3200" t="s">
        <v>633</v>
      </c>
      <c r="Q88" s="3200" t="s">
        <v>633</v>
      </c>
      <c r="R88" s="3200">
        <v>41712</v>
      </c>
      <c r="S88" s="3200">
        <v>37029</v>
      </c>
      <c r="T88" s="3200">
        <v>3089329</v>
      </c>
      <c r="U88" s="3201">
        <v>42703</v>
      </c>
    </row>
    <row r="89" spans="1:23" ht="27" hidden="1" customHeight="1" thickBot="1">
      <c r="A89" s="3200">
        <v>88</v>
      </c>
      <c r="B89" s="3256" t="s">
        <v>3887</v>
      </c>
      <c r="C89" s="3200" t="s">
        <v>4160</v>
      </c>
      <c r="D89" s="3200" t="s">
        <v>4161</v>
      </c>
      <c r="E89" s="3200" t="s">
        <v>3890</v>
      </c>
      <c r="F89" s="3200" t="s">
        <v>3500</v>
      </c>
      <c r="G89" s="3200" t="s">
        <v>3493</v>
      </c>
      <c r="H89" s="3200" t="s">
        <v>3489</v>
      </c>
      <c r="I89" s="3200" t="s">
        <v>3498</v>
      </c>
      <c r="J89" s="3200">
        <v>79.260000000000005</v>
      </c>
      <c r="K89" s="3200" t="s">
        <v>3386</v>
      </c>
      <c r="L89" s="3200">
        <v>6</v>
      </c>
      <c r="M89" s="3200">
        <v>4</v>
      </c>
      <c r="N89" s="3200" t="s">
        <v>633</v>
      </c>
      <c r="O89" s="3200">
        <v>1996</v>
      </c>
      <c r="P89" s="3200" t="s">
        <v>633</v>
      </c>
      <c r="Q89" s="3200" t="s">
        <v>633</v>
      </c>
      <c r="R89" s="3200">
        <v>42897</v>
      </c>
      <c r="S89" s="3200">
        <v>35906</v>
      </c>
      <c r="T89" s="3200">
        <v>2845910</v>
      </c>
      <c r="U89" s="3201">
        <v>42551</v>
      </c>
    </row>
    <row r="90" spans="1:23" s="3198" customFormat="1" ht="27" customHeight="1" thickBot="1">
      <c r="A90" s="3200">
        <v>89</v>
      </c>
      <c r="B90" s="3256" t="s">
        <v>3887</v>
      </c>
      <c r="C90" s="3200" t="s">
        <v>4162</v>
      </c>
      <c r="D90" s="3200" t="s">
        <v>4163</v>
      </c>
      <c r="E90" s="3200" t="s">
        <v>3890</v>
      </c>
      <c r="F90" s="3200" t="s">
        <v>4164</v>
      </c>
      <c r="G90" s="3200" t="s">
        <v>3494</v>
      </c>
      <c r="H90" s="3200" t="s">
        <v>3489</v>
      </c>
      <c r="I90" s="3200" t="s">
        <v>3495</v>
      </c>
      <c r="J90" s="3200">
        <v>83.43</v>
      </c>
      <c r="K90" s="3200" t="s">
        <v>3386</v>
      </c>
      <c r="L90" s="3200" t="s">
        <v>3496</v>
      </c>
      <c r="M90" s="3200">
        <v>6</v>
      </c>
      <c r="N90" s="3200">
        <v>2005</v>
      </c>
      <c r="O90" s="3200" t="s">
        <v>633</v>
      </c>
      <c r="P90" s="3200" t="s">
        <v>633</v>
      </c>
      <c r="Q90" s="3200" t="s">
        <v>633</v>
      </c>
      <c r="R90" s="3200">
        <v>35719</v>
      </c>
      <c r="S90" s="3200">
        <v>30903</v>
      </c>
      <c r="T90" s="3200">
        <v>2578237</v>
      </c>
      <c r="U90" s="3201">
        <v>42510</v>
      </c>
    </row>
    <row r="91" spans="1:23" s="3198" customFormat="1" ht="27" customHeight="1" thickBot="1">
      <c r="A91" s="3200">
        <v>90</v>
      </c>
      <c r="B91" s="3256" t="s">
        <v>3887</v>
      </c>
      <c r="C91" s="3200" t="s">
        <v>4165</v>
      </c>
      <c r="D91" s="3200" t="s">
        <v>4166</v>
      </c>
      <c r="E91" s="3200" t="s">
        <v>3890</v>
      </c>
      <c r="F91" s="3200" t="s">
        <v>4167</v>
      </c>
      <c r="G91" s="3200" t="s">
        <v>3494</v>
      </c>
      <c r="H91" s="3200" t="s">
        <v>3489</v>
      </c>
      <c r="I91" s="3200" t="s">
        <v>3495</v>
      </c>
      <c r="J91" s="3200">
        <v>101.83</v>
      </c>
      <c r="K91" s="3200" t="s">
        <v>3386</v>
      </c>
      <c r="L91" s="3200" t="s">
        <v>4052</v>
      </c>
      <c r="M91" s="3200">
        <v>9</v>
      </c>
      <c r="N91" s="3200">
        <v>2006</v>
      </c>
      <c r="O91" s="3200" t="s">
        <v>633</v>
      </c>
      <c r="P91" s="3200" t="s">
        <v>633</v>
      </c>
      <c r="Q91" s="3200" t="s">
        <v>633</v>
      </c>
      <c r="R91" s="3200">
        <v>35549</v>
      </c>
      <c r="S91" s="3200">
        <v>31148</v>
      </c>
      <c r="T91" s="3200">
        <v>3171801</v>
      </c>
      <c r="U91" s="3201">
        <v>42426</v>
      </c>
    </row>
    <row r="92" spans="1:23" ht="27" hidden="1" customHeight="1" thickBot="1">
      <c r="A92" s="3189">
        <v>91</v>
      </c>
      <c r="B92" s="3190" t="s">
        <v>3887</v>
      </c>
      <c r="C92" s="3189" t="s">
        <v>4168</v>
      </c>
      <c r="D92" s="3189" t="s">
        <v>4169</v>
      </c>
      <c r="E92" s="3189" t="s">
        <v>3890</v>
      </c>
      <c r="F92" s="3189" t="s">
        <v>4220</v>
      </c>
      <c r="G92" s="3189" t="s">
        <v>3502</v>
      </c>
      <c r="H92" s="3189" t="s">
        <v>3489</v>
      </c>
      <c r="I92" s="3189" t="s">
        <v>3498</v>
      </c>
      <c r="J92" s="3189">
        <v>76.67</v>
      </c>
      <c r="K92" s="3189" t="s">
        <v>3386</v>
      </c>
      <c r="L92" s="3189" t="s">
        <v>3503</v>
      </c>
      <c r="M92" s="3189">
        <v>19</v>
      </c>
      <c r="N92" s="3189" t="s">
        <v>633</v>
      </c>
      <c r="O92" s="3189">
        <v>2011</v>
      </c>
      <c r="P92" s="3189" t="s">
        <v>633</v>
      </c>
      <c r="Q92" s="3189" t="s">
        <v>633</v>
      </c>
      <c r="R92" s="3189">
        <v>38477</v>
      </c>
      <c r="S92" s="3189">
        <v>37727</v>
      </c>
      <c r="T92" s="3189">
        <v>2892529</v>
      </c>
      <c r="U92" s="3191">
        <v>42425</v>
      </c>
    </row>
    <row r="93" spans="1:23" ht="27" hidden="1" customHeight="1" thickBot="1">
      <c r="A93" s="3185">
        <v>92</v>
      </c>
      <c r="B93" s="3186" t="s">
        <v>3887</v>
      </c>
      <c r="C93" s="3185" t="s">
        <v>4170</v>
      </c>
      <c r="D93" s="3185" t="s">
        <v>4171</v>
      </c>
      <c r="E93" s="3185" t="s">
        <v>3890</v>
      </c>
      <c r="F93" s="3185" t="s">
        <v>4172</v>
      </c>
      <c r="G93" s="3185" t="s">
        <v>3502</v>
      </c>
      <c r="H93" s="3185" t="s">
        <v>4173</v>
      </c>
      <c r="I93" s="3185" t="s">
        <v>3498</v>
      </c>
      <c r="J93" s="3185">
        <v>98.01</v>
      </c>
      <c r="K93" s="3185" t="s">
        <v>3386</v>
      </c>
      <c r="L93" s="3185" t="s">
        <v>4174</v>
      </c>
      <c r="M93" s="3185">
        <v>13</v>
      </c>
      <c r="N93" s="3185" t="s">
        <v>633</v>
      </c>
      <c r="O93" s="3185">
        <v>2011</v>
      </c>
      <c r="P93" s="3185" t="s">
        <v>633</v>
      </c>
      <c r="Q93" s="3185" t="s">
        <v>633</v>
      </c>
      <c r="R93" s="3185">
        <v>44893</v>
      </c>
      <c r="S93" s="3185">
        <v>39399</v>
      </c>
      <c r="T93" s="3185">
        <v>3861496</v>
      </c>
      <c r="U93" s="3187">
        <v>42418</v>
      </c>
    </row>
    <row r="94" spans="1:23" ht="27" hidden="1" customHeight="1" thickBot="1">
      <c r="A94" s="3185">
        <v>93</v>
      </c>
      <c r="B94" s="3186" t="s">
        <v>3887</v>
      </c>
      <c r="C94" s="3185" t="s">
        <v>4175</v>
      </c>
      <c r="D94" s="3185" t="s">
        <v>4176</v>
      </c>
      <c r="E94" s="3185" t="s">
        <v>3890</v>
      </c>
      <c r="F94" s="3185" t="s">
        <v>4177</v>
      </c>
      <c r="G94" s="3185" t="s">
        <v>3502</v>
      </c>
      <c r="H94" s="3185" t="s">
        <v>4173</v>
      </c>
      <c r="I94" s="3185" t="s">
        <v>3498</v>
      </c>
      <c r="J94" s="3185">
        <v>95.41</v>
      </c>
      <c r="K94" s="3185" t="s">
        <v>3386</v>
      </c>
      <c r="L94" s="3185" t="s">
        <v>3503</v>
      </c>
      <c r="M94" s="3185">
        <v>16</v>
      </c>
      <c r="N94" s="3185" t="s">
        <v>633</v>
      </c>
      <c r="O94" s="3185">
        <v>2011</v>
      </c>
      <c r="P94" s="3185" t="s">
        <v>633</v>
      </c>
      <c r="Q94" s="3185" t="s">
        <v>633</v>
      </c>
      <c r="R94" s="3185">
        <v>45383</v>
      </c>
      <c r="S94" s="3185">
        <v>38585</v>
      </c>
      <c r="T94" s="3185">
        <v>3681395</v>
      </c>
      <c r="U94" s="3187">
        <v>42397</v>
      </c>
    </row>
    <row r="95" spans="1:23" ht="27" hidden="1" customHeight="1" thickBot="1">
      <c r="A95" s="3185">
        <v>94</v>
      </c>
      <c r="B95" s="3186" t="s">
        <v>3887</v>
      </c>
      <c r="C95" s="3185" t="s">
        <v>4178</v>
      </c>
      <c r="D95" s="3185" t="s">
        <v>4179</v>
      </c>
      <c r="E95" s="3185" t="s">
        <v>4180</v>
      </c>
      <c r="F95" s="3185" t="s">
        <v>4181</v>
      </c>
      <c r="G95" s="3185" t="s">
        <v>3502</v>
      </c>
      <c r="H95" s="3185" t="s">
        <v>4173</v>
      </c>
      <c r="I95" s="3185" t="s">
        <v>3498</v>
      </c>
      <c r="J95" s="3185">
        <v>130.43</v>
      </c>
      <c r="K95" s="3185" t="s">
        <v>3386</v>
      </c>
      <c r="L95" s="3185" t="s">
        <v>4174</v>
      </c>
      <c r="M95" s="3185">
        <v>14</v>
      </c>
      <c r="N95" s="3185" t="s">
        <v>633</v>
      </c>
      <c r="O95" s="3185">
        <v>2011</v>
      </c>
      <c r="P95" s="3185" t="s">
        <v>633</v>
      </c>
      <c r="Q95" s="3185" t="s">
        <v>633</v>
      </c>
      <c r="R95" s="3185">
        <v>38335</v>
      </c>
      <c r="S95" s="3185">
        <v>33775</v>
      </c>
      <c r="T95" s="3185">
        <v>4405273</v>
      </c>
      <c r="U95" s="3187">
        <v>42240</v>
      </c>
    </row>
    <row r="96" spans="1:23" ht="27" hidden="1" customHeight="1" thickBot="1">
      <c r="A96" s="3185">
        <v>95</v>
      </c>
      <c r="B96" s="3186" t="s">
        <v>3887</v>
      </c>
      <c r="C96" s="3185" t="s">
        <v>4182</v>
      </c>
      <c r="D96" s="3185" t="s">
        <v>4183</v>
      </c>
      <c r="E96" s="3185" t="s">
        <v>3890</v>
      </c>
      <c r="F96" s="3185" t="s">
        <v>4184</v>
      </c>
      <c r="G96" s="3185" t="s">
        <v>3502</v>
      </c>
      <c r="H96" s="3185" t="s">
        <v>4173</v>
      </c>
      <c r="I96" s="3185" t="s">
        <v>3498</v>
      </c>
      <c r="J96" s="3185">
        <v>74.33</v>
      </c>
      <c r="K96" s="3185" t="s">
        <v>3386</v>
      </c>
      <c r="L96" s="3185" t="s">
        <v>3503</v>
      </c>
      <c r="M96" s="3185">
        <v>7</v>
      </c>
      <c r="N96" s="3185" t="s">
        <v>633</v>
      </c>
      <c r="O96" s="3185">
        <v>2011</v>
      </c>
      <c r="P96" s="3185" t="s">
        <v>633</v>
      </c>
      <c r="Q96" s="3185" t="s">
        <v>633</v>
      </c>
      <c r="R96" s="3185">
        <v>37132</v>
      </c>
      <c r="S96" s="3185">
        <v>34079</v>
      </c>
      <c r="T96" s="3185">
        <v>2533092</v>
      </c>
      <c r="U96" s="3187">
        <v>42234</v>
      </c>
    </row>
    <row r="97" spans="1:21" ht="27" hidden="1" customHeight="1" thickBot="1">
      <c r="A97" s="3185">
        <v>96</v>
      </c>
      <c r="B97" s="3186" t="s">
        <v>3887</v>
      </c>
      <c r="C97" s="3185" t="s">
        <v>4185</v>
      </c>
      <c r="D97" s="3185" t="s">
        <v>4186</v>
      </c>
      <c r="E97" s="3185" t="s">
        <v>3890</v>
      </c>
      <c r="F97" s="3185" t="s">
        <v>4187</v>
      </c>
      <c r="G97" s="3185" t="s">
        <v>3502</v>
      </c>
      <c r="H97" s="3185" t="s">
        <v>4173</v>
      </c>
      <c r="I97" s="3185" t="s">
        <v>3498</v>
      </c>
      <c r="J97" s="3185">
        <v>68.790000000000006</v>
      </c>
      <c r="K97" s="3185" t="s">
        <v>3386</v>
      </c>
      <c r="L97" s="3185" t="s">
        <v>3503</v>
      </c>
      <c r="M97" s="3185">
        <v>16</v>
      </c>
      <c r="N97" s="3185" t="s">
        <v>633</v>
      </c>
      <c r="O97" s="3185">
        <v>2011</v>
      </c>
      <c r="P97" s="3185" t="s">
        <v>633</v>
      </c>
      <c r="Q97" s="3185" t="s">
        <v>633</v>
      </c>
      <c r="R97" s="3185">
        <v>39250</v>
      </c>
      <c r="S97" s="3185">
        <v>34091</v>
      </c>
      <c r="T97" s="3185">
        <v>2345120</v>
      </c>
      <c r="U97" s="3187">
        <v>42214</v>
      </c>
    </row>
    <row r="98" spans="1:21" ht="27" hidden="1" customHeight="1" thickBot="1">
      <c r="A98" s="3185">
        <v>97</v>
      </c>
      <c r="B98" s="3186" t="s">
        <v>3887</v>
      </c>
      <c r="C98" s="3185" t="s">
        <v>4188</v>
      </c>
      <c r="D98" s="3185" t="s">
        <v>4189</v>
      </c>
      <c r="E98" s="3185" t="s">
        <v>3890</v>
      </c>
      <c r="F98" s="3185" t="s">
        <v>4190</v>
      </c>
      <c r="G98" s="3185" t="s">
        <v>3502</v>
      </c>
      <c r="H98" s="3185" t="s">
        <v>4173</v>
      </c>
      <c r="I98" s="3185" t="s">
        <v>3498</v>
      </c>
      <c r="J98" s="3185">
        <v>74.33</v>
      </c>
      <c r="K98" s="3185" t="s">
        <v>3386</v>
      </c>
      <c r="L98" s="3185" t="s">
        <v>3503</v>
      </c>
      <c r="M98" s="3185">
        <v>14</v>
      </c>
      <c r="N98" s="3185" t="s">
        <v>633</v>
      </c>
      <c r="O98" s="3185">
        <v>2011</v>
      </c>
      <c r="P98" s="3185" t="s">
        <v>633</v>
      </c>
      <c r="Q98" s="3185" t="s">
        <v>633</v>
      </c>
      <c r="R98" s="3185">
        <v>37266</v>
      </c>
      <c r="S98" s="3185">
        <v>34338</v>
      </c>
      <c r="T98" s="3185">
        <v>2552344</v>
      </c>
      <c r="U98" s="3187">
        <v>42214</v>
      </c>
    </row>
    <row r="99" spans="1:21" ht="27" hidden="1" customHeight="1" thickBot="1">
      <c r="A99" s="3185">
        <v>98</v>
      </c>
      <c r="B99" s="3186" t="s">
        <v>3887</v>
      </c>
      <c r="C99" s="3185" t="s">
        <v>4191</v>
      </c>
      <c r="D99" s="3185" t="s">
        <v>4192</v>
      </c>
      <c r="E99" s="3185" t="s">
        <v>3890</v>
      </c>
      <c r="F99" s="3185" t="s">
        <v>4181</v>
      </c>
      <c r="G99" s="3185" t="s">
        <v>3502</v>
      </c>
      <c r="H99" s="3185" t="s">
        <v>4193</v>
      </c>
      <c r="I99" s="3185" t="s">
        <v>3498</v>
      </c>
      <c r="J99" s="3185">
        <v>130.43</v>
      </c>
      <c r="K99" s="3185" t="s">
        <v>3386</v>
      </c>
      <c r="L99" s="3185" t="s">
        <v>4174</v>
      </c>
      <c r="M99" s="3185">
        <v>14</v>
      </c>
      <c r="N99" s="3185" t="s">
        <v>633</v>
      </c>
      <c r="O99" s="3185">
        <v>2011</v>
      </c>
      <c r="P99" s="3185" t="s">
        <v>633</v>
      </c>
      <c r="Q99" s="3185" t="s">
        <v>633</v>
      </c>
      <c r="R99" s="3185">
        <v>0</v>
      </c>
      <c r="S99" s="3185">
        <v>33590</v>
      </c>
      <c r="T99" s="3185">
        <v>4381144</v>
      </c>
      <c r="U99" s="3187">
        <v>42023</v>
      </c>
    </row>
    <row r="100" spans="1:21" s="3198"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5">
        <v>100</v>
      </c>
      <c r="B101" s="3186" t="s">
        <v>3887</v>
      </c>
      <c r="C101" s="3185" t="s">
        <v>4198</v>
      </c>
      <c r="D101" s="3185" t="s">
        <v>4199</v>
      </c>
      <c r="E101" s="3185" t="s">
        <v>3890</v>
      </c>
      <c r="F101" s="3185" t="s">
        <v>4200</v>
      </c>
      <c r="G101" s="3185" t="s">
        <v>3502</v>
      </c>
      <c r="H101" s="3185" t="s">
        <v>4197</v>
      </c>
      <c r="I101" s="3185" t="s">
        <v>3498</v>
      </c>
      <c r="J101" s="3185">
        <v>68.790000000000006</v>
      </c>
      <c r="K101" s="3185" t="s">
        <v>3386</v>
      </c>
      <c r="L101" s="3185" t="s">
        <v>3503</v>
      </c>
      <c r="M101" s="3185">
        <v>24</v>
      </c>
      <c r="N101" s="3185" t="s">
        <v>633</v>
      </c>
      <c r="O101" s="3185">
        <v>2011</v>
      </c>
      <c r="P101" s="3185" t="s">
        <v>633</v>
      </c>
      <c r="Q101" s="3185" t="s">
        <v>633</v>
      </c>
      <c r="R101" s="3185">
        <v>0</v>
      </c>
      <c r="S101" s="3185">
        <v>37443</v>
      </c>
      <c r="T101" s="3185">
        <v>2575704</v>
      </c>
      <c r="U101" s="3187">
        <v>41644</v>
      </c>
    </row>
    <row r="102" spans="1:21" ht="27" hidden="1" customHeight="1" thickBot="1">
      <c r="A102" s="3185">
        <v>101</v>
      </c>
      <c r="B102" s="3186" t="s">
        <v>3887</v>
      </c>
      <c r="C102" s="3185" t="s">
        <v>4201</v>
      </c>
      <c r="D102" s="3185" t="s">
        <v>4202</v>
      </c>
      <c r="E102" s="3185" t="s">
        <v>3890</v>
      </c>
      <c r="F102" s="3185" t="s">
        <v>4203</v>
      </c>
      <c r="G102" s="3185" t="s">
        <v>3502</v>
      </c>
      <c r="H102" s="3185" t="s">
        <v>4197</v>
      </c>
      <c r="I102" s="3185" t="s">
        <v>3498</v>
      </c>
      <c r="J102" s="3185">
        <v>93.69</v>
      </c>
      <c r="K102" s="3185" t="s">
        <v>3386</v>
      </c>
      <c r="L102" s="3185" t="s">
        <v>3503</v>
      </c>
      <c r="M102" s="3185">
        <v>17</v>
      </c>
      <c r="N102" s="3185" t="s">
        <v>633</v>
      </c>
      <c r="O102" s="3185">
        <v>2011</v>
      </c>
      <c r="P102" s="3185" t="s">
        <v>633</v>
      </c>
      <c r="Q102" s="3185" t="s">
        <v>633</v>
      </c>
      <c r="R102" s="3185">
        <v>0</v>
      </c>
      <c r="S102" s="3185">
        <v>37059</v>
      </c>
      <c r="T102" s="3185">
        <v>3472058</v>
      </c>
      <c r="U102" s="3187">
        <v>41653</v>
      </c>
    </row>
    <row r="103" spans="1:21" ht="27" hidden="1" customHeight="1" thickBot="1">
      <c r="A103" s="3185">
        <v>102</v>
      </c>
      <c r="B103" s="3186" t="s">
        <v>3887</v>
      </c>
      <c r="C103" s="3185" t="s">
        <v>4204</v>
      </c>
      <c r="D103" s="3185" t="s">
        <v>4205</v>
      </c>
      <c r="E103" s="3185" t="s">
        <v>3890</v>
      </c>
      <c r="F103" s="3185" t="s">
        <v>4206</v>
      </c>
      <c r="G103" s="3185" t="s">
        <v>633</v>
      </c>
      <c r="H103" s="3185" t="s">
        <v>4197</v>
      </c>
      <c r="I103" s="3185" t="s">
        <v>3490</v>
      </c>
      <c r="J103" s="3185">
        <v>45.66</v>
      </c>
      <c r="K103" s="3185" t="s">
        <v>3386</v>
      </c>
      <c r="L103" s="3185">
        <v>7</v>
      </c>
      <c r="M103" s="3185">
        <v>2</v>
      </c>
      <c r="N103" s="3185" t="s">
        <v>633</v>
      </c>
      <c r="O103" s="3185">
        <v>1996</v>
      </c>
      <c r="P103" s="3185" t="s">
        <v>633</v>
      </c>
      <c r="Q103" s="3185" t="s">
        <v>633</v>
      </c>
      <c r="R103" s="3185">
        <v>40079</v>
      </c>
      <c r="S103" s="3185">
        <v>35391</v>
      </c>
      <c r="T103" s="3185">
        <v>1615953</v>
      </c>
      <c r="U103" s="3185" t="s">
        <v>4207</v>
      </c>
    </row>
    <row r="104" spans="1:21" s="3198" customFormat="1" ht="27" customHeight="1" thickBot="1">
      <c r="A104" s="3180">
        <v>103</v>
      </c>
      <c r="B104" s="3186" t="s">
        <v>3887</v>
      </c>
      <c r="C104" s="3185" t="s">
        <v>4208</v>
      </c>
      <c r="D104" s="3185" t="s">
        <v>4209</v>
      </c>
      <c r="E104" s="3180" t="s">
        <v>3890</v>
      </c>
      <c r="F104" s="3180" t="s">
        <v>4210</v>
      </c>
      <c r="G104" s="3180" t="s">
        <v>3494</v>
      </c>
      <c r="H104" s="3185" t="s">
        <v>4197</v>
      </c>
      <c r="I104" s="3180" t="s">
        <v>3495</v>
      </c>
      <c r="J104" s="3180">
        <v>88.68</v>
      </c>
      <c r="K104" s="3180" t="s">
        <v>3386</v>
      </c>
      <c r="L104" s="3180" t="s">
        <v>3496</v>
      </c>
      <c r="M104" s="3180"/>
      <c r="N104" s="3180">
        <v>2005</v>
      </c>
      <c r="O104" s="3180" t="s">
        <v>43</v>
      </c>
      <c r="P104" s="3185" t="s">
        <v>43</v>
      </c>
      <c r="Q104" s="3185" t="s">
        <v>43</v>
      </c>
      <c r="R104" s="3180">
        <v>31574</v>
      </c>
      <c r="S104" s="3180">
        <v>27882</v>
      </c>
      <c r="T104" s="3180">
        <v>2472576</v>
      </c>
      <c r="U104" s="3199">
        <v>41504</v>
      </c>
    </row>
    <row r="105" spans="1:21" ht="27" hidden="1" customHeight="1" thickBot="1">
      <c r="A105" s="3185">
        <v>104</v>
      </c>
      <c r="B105" s="3186" t="s">
        <v>3887</v>
      </c>
      <c r="C105" s="3185" t="s">
        <v>4211</v>
      </c>
      <c r="D105" s="3185" t="s">
        <v>4212</v>
      </c>
      <c r="E105" s="3185" t="s">
        <v>3890</v>
      </c>
      <c r="F105" s="3185" t="s">
        <v>4213</v>
      </c>
      <c r="G105" s="3185" t="s">
        <v>3502</v>
      </c>
      <c r="H105" s="3185" t="s">
        <v>4214</v>
      </c>
      <c r="I105" s="3185" t="s">
        <v>3498</v>
      </c>
      <c r="J105" s="3185">
        <v>93.89</v>
      </c>
      <c r="K105" s="3185" t="s">
        <v>3386</v>
      </c>
      <c r="L105" s="3185" t="s">
        <v>3503</v>
      </c>
      <c r="M105" s="3185"/>
      <c r="N105" s="3185" t="s">
        <v>43</v>
      </c>
      <c r="O105" s="3185">
        <v>2011</v>
      </c>
      <c r="P105" s="3185" t="s">
        <v>43</v>
      </c>
      <c r="Q105" s="3185" t="s">
        <v>43</v>
      </c>
      <c r="R105" s="3185">
        <v>0</v>
      </c>
      <c r="S105" s="3185">
        <v>35061</v>
      </c>
      <c r="T105" s="3185">
        <v>3291877</v>
      </c>
      <c r="U105" s="3194">
        <v>41450</v>
      </c>
    </row>
    <row r="106" spans="1:21" ht="27" hidden="1" customHeight="1" thickBot="1">
      <c r="A106" s="3185">
        <v>105</v>
      </c>
      <c r="B106" s="3186" t="s">
        <v>3887</v>
      </c>
      <c r="C106" s="3185" t="s">
        <v>4215</v>
      </c>
      <c r="D106" s="3185" t="s">
        <v>4216</v>
      </c>
      <c r="E106" s="3185" t="s">
        <v>3890</v>
      </c>
      <c r="F106" s="3185" t="s">
        <v>4130</v>
      </c>
      <c r="G106" s="3185" t="s">
        <v>3502</v>
      </c>
      <c r="H106" s="3185" t="s">
        <v>4217</v>
      </c>
      <c r="I106" s="3185" t="s">
        <v>3498</v>
      </c>
      <c r="J106" s="3185">
        <v>76.67</v>
      </c>
      <c r="K106" s="3185" t="s">
        <v>3386</v>
      </c>
      <c r="L106" s="3185" t="s">
        <v>3503</v>
      </c>
      <c r="M106" s="3185"/>
      <c r="N106" s="3185" t="s">
        <v>43</v>
      </c>
      <c r="O106" s="3185">
        <v>2011</v>
      </c>
      <c r="P106" s="3185" t="s">
        <v>43</v>
      </c>
      <c r="Q106" s="3185" t="s">
        <v>43</v>
      </c>
      <c r="R106" s="3185">
        <v>0</v>
      </c>
      <c r="S106" s="3185">
        <v>31133</v>
      </c>
      <c r="T106" s="3185">
        <v>2386967</v>
      </c>
      <c r="U106" s="3194">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6" t="s">
        <v>3602</v>
      </c>
      <c r="B29" s="3177" t="s">
        <v>3399</v>
      </c>
      <c r="C29" s="3177" t="s">
        <v>3603</v>
      </c>
      <c r="D29" s="3177" t="s">
        <v>3604</v>
      </c>
      <c r="F29" s="3177" t="s">
        <v>3606</v>
      </c>
      <c r="K29" s="3177" t="s">
        <v>3610</v>
      </c>
      <c r="X29" s="3177" t="s">
        <v>3623</v>
      </c>
      <c r="AW29" s="3179" t="s">
        <v>3646</v>
      </c>
    </row>
    <row r="30" spans="1:51" ht="11.25" customHeight="1">
      <c r="A30" s="3206" t="s">
        <v>3409</v>
      </c>
      <c r="B30" s="3206">
        <v>90.5</v>
      </c>
      <c r="C30" s="3206" t="s">
        <v>3410</v>
      </c>
      <c r="D30" s="3206" t="s">
        <v>3411</v>
      </c>
      <c r="E30" s="3184"/>
      <c r="F30" s="3206" t="s">
        <v>3412</v>
      </c>
      <c r="G30" s="3184"/>
      <c r="H30" s="3184"/>
      <c r="I30" s="3184"/>
      <c r="J30" s="3184"/>
      <c r="K30" s="3206" t="s">
        <v>3413</v>
      </c>
      <c r="L30" s="3184"/>
      <c r="M30" s="3184"/>
      <c r="N30" s="3184"/>
      <c r="O30" s="3184"/>
      <c r="P30" s="3184"/>
      <c r="Q30" s="3184"/>
      <c r="R30" s="3184"/>
      <c r="S30" s="3184"/>
      <c r="T30" s="3184"/>
      <c r="U30" s="3184"/>
      <c r="V30" s="3184"/>
      <c r="W30" s="3184"/>
      <c r="X30" s="3206" t="s">
        <v>3864</v>
      </c>
      <c r="Y30" s="3184"/>
      <c r="Z30" s="3184"/>
      <c r="AA30" s="3184"/>
      <c r="AB30" s="3184"/>
      <c r="AC30" s="3184"/>
      <c r="AD30" s="3184"/>
      <c r="AE30" s="3184"/>
      <c r="AF30" s="3184"/>
      <c r="AG30" s="3184"/>
      <c r="AH30" s="3184"/>
      <c r="AI30" s="3184"/>
      <c r="AJ30" s="3184"/>
      <c r="AK30" s="3184"/>
      <c r="AL30" s="3184"/>
      <c r="AM30" s="3184"/>
      <c r="AN30" s="3184"/>
      <c r="AO30" s="3184"/>
      <c r="AP30" s="3184"/>
      <c r="AQ30" s="3184"/>
      <c r="AR30" s="3184"/>
      <c r="AS30" s="3184"/>
      <c r="AT30" s="3184"/>
      <c r="AU30" s="3184"/>
      <c r="AV30" s="3184"/>
      <c r="AW30" s="3206"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5" t="s">
        <v>4304</v>
      </c>
    </row>
    <row r="32" spans="1:51" s="3184" customFormat="1" ht="11.25" customHeight="1">
      <c r="A32" s="3206" t="s">
        <v>4223</v>
      </c>
      <c r="B32" s="3206">
        <v>77.58</v>
      </c>
      <c r="C32" s="3206" t="s">
        <v>3419</v>
      </c>
      <c r="D32" s="3206" t="s">
        <v>3420</v>
      </c>
      <c r="F32" s="3206" t="s">
        <v>3412</v>
      </c>
      <c r="K32" s="3206" t="s">
        <v>3421</v>
      </c>
      <c r="X32" s="3206" t="s">
        <v>3866</v>
      </c>
      <c r="AW32" s="3206" t="s">
        <v>3422</v>
      </c>
      <c r="AX32" s="3184">
        <v>2011</v>
      </c>
    </row>
    <row r="33" spans="1:70" s="3202"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4">
        <v>2005</v>
      </c>
      <c r="AY33" s="3224" t="s">
        <v>4268</v>
      </c>
      <c r="AZ33" s="3184"/>
      <c r="BA33" s="3184"/>
      <c r="BB33" s="3184"/>
      <c r="BC33" s="3184"/>
      <c r="BD33" s="3184"/>
      <c r="BE33" s="3184"/>
      <c r="BF33" s="3184"/>
      <c r="BG33" s="3184"/>
      <c r="BH33" s="3184"/>
      <c r="BI33" s="3184"/>
      <c r="BJ33" s="3184"/>
      <c r="BK33" s="3184"/>
      <c r="BL33" s="3184"/>
      <c r="BM33" s="3184"/>
      <c r="BN33" s="3184"/>
      <c r="BO33" s="3184"/>
      <c r="BP33" s="3184"/>
      <c r="BQ33" s="3184"/>
      <c r="BR33" s="3184"/>
    </row>
    <row r="34" spans="1:70" ht="11.25" customHeight="1">
      <c r="A34" s="3175" t="s">
        <v>3426</v>
      </c>
      <c r="B34" s="3175">
        <v>59.47</v>
      </c>
      <c r="C34" s="3175" t="s">
        <v>3428</v>
      </c>
      <c r="D34" s="3175" t="s">
        <v>3411</v>
      </c>
      <c r="F34" s="3175" t="s">
        <v>3412</v>
      </c>
      <c r="K34" s="3175" t="s">
        <v>3431</v>
      </c>
      <c r="X34" s="3206" t="s">
        <v>3869</v>
      </c>
      <c r="Y34" s="3184"/>
      <c r="Z34" s="3184"/>
      <c r="AA34" s="3184"/>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206" t="s">
        <v>3433</v>
      </c>
      <c r="AX34" s="3184"/>
    </row>
    <row r="35" spans="1:70" ht="11.25" customHeight="1">
      <c r="A35" s="3175" t="s">
        <v>3427</v>
      </c>
      <c r="B35" s="3175">
        <v>153.5</v>
      </c>
      <c r="C35" s="3175" t="s">
        <v>3429</v>
      </c>
      <c r="D35" s="3175" t="s">
        <v>3430</v>
      </c>
      <c r="F35" s="3175" t="s">
        <v>3412</v>
      </c>
      <c r="K35" s="3175" t="s">
        <v>3432</v>
      </c>
      <c r="X35" s="3206" t="s">
        <v>3870</v>
      </c>
      <c r="Y35" s="3184"/>
      <c r="Z35" s="3184"/>
      <c r="AA35" s="3184"/>
      <c r="AB35" s="3184"/>
      <c r="AC35" s="3184"/>
      <c r="AD35" s="3184"/>
      <c r="AE35" s="3184"/>
      <c r="AF35" s="3184"/>
      <c r="AG35" s="3184"/>
      <c r="AH35" s="3184"/>
      <c r="AI35" s="3184"/>
      <c r="AJ35" s="3184"/>
      <c r="AK35" s="3184"/>
      <c r="AL35" s="3184"/>
      <c r="AM35" s="3184"/>
      <c r="AN35" s="3184"/>
      <c r="AO35" s="3184"/>
      <c r="AP35" s="3184"/>
      <c r="AQ35" s="3184"/>
      <c r="AR35" s="3184"/>
      <c r="AS35" s="3184"/>
      <c r="AT35" s="3184"/>
      <c r="AU35" s="3184"/>
      <c r="AV35" s="3184"/>
      <c r="AW35" s="3206" t="s">
        <v>3434</v>
      </c>
      <c r="AX35" s="3184"/>
    </row>
    <row r="36" spans="1:70" ht="11.25" customHeight="1">
      <c r="A36" s="3175" t="s">
        <v>3435</v>
      </c>
      <c r="B36" s="3175">
        <v>74.33</v>
      </c>
      <c r="C36" s="3175" t="s">
        <v>3428</v>
      </c>
      <c r="D36" s="3175" t="s">
        <v>3420</v>
      </c>
      <c r="F36" s="3175" t="s">
        <v>3412</v>
      </c>
      <c r="K36" s="3175" t="s">
        <v>3436</v>
      </c>
      <c r="X36" s="3206" t="s">
        <v>3871</v>
      </c>
      <c r="Y36" s="3184"/>
      <c r="Z36" s="3184"/>
      <c r="AA36" s="3184"/>
      <c r="AB36" s="3184"/>
      <c r="AC36" s="3184"/>
      <c r="AD36" s="3184"/>
      <c r="AE36" s="3184"/>
      <c r="AF36" s="3184"/>
      <c r="AG36" s="3184"/>
      <c r="AH36" s="3184"/>
      <c r="AI36" s="3184"/>
      <c r="AJ36" s="3184"/>
      <c r="AK36" s="3184"/>
      <c r="AL36" s="3184"/>
      <c r="AM36" s="3184"/>
      <c r="AN36" s="3184"/>
      <c r="AO36" s="3184"/>
      <c r="AP36" s="3184"/>
      <c r="AQ36" s="3184"/>
      <c r="AR36" s="3184"/>
      <c r="AS36" s="3184"/>
      <c r="AT36" s="3184"/>
      <c r="AU36" s="3184"/>
      <c r="AV36" s="3184"/>
      <c r="AW36" s="3206" t="s">
        <v>3437</v>
      </c>
      <c r="AX36" s="3184"/>
    </row>
    <row r="37" spans="1:70" ht="11.25" customHeight="1">
      <c r="A37" s="3175" t="s">
        <v>4302</v>
      </c>
      <c r="B37" s="3175">
        <v>124.59</v>
      </c>
      <c r="C37" s="3175" t="s">
        <v>3438</v>
      </c>
      <c r="D37" s="3175" t="s">
        <v>3439</v>
      </c>
      <c r="F37" s="3175" t="s">
        <v>3412</v>
      </c>
      <c r="K37" s="3175" t="s">
        <v>3440</v>
      </c>
      <c r="X37" s="3206" t="s">
        <v>3872</v>
      </c>
      <c r="Y37" s="3184"/>
      <c r="Z37" s="3184"/>
      <c r="AA37" s="3184"/>
      <c r="AB37" s="3184"/>
      <c r="AC37" s="3184"/>
      <c r="AD37" s="3184"/>
      <c r="AE37" s="3184"/>
      <c r="AF37" s="3184"/>
      <c r="AG37" s="3184"/>
      <c r="AH37" s="3184"/>
      <c r="AI37" s="3184"/>
      <c r="AJ37" s="3184"/>
      <c r="AK37" s="3184"/>
      <c r="AL37" s="3184"/>
      <c r="AM37" s="3184"/>
      <c r="AN37" s="3184"/>
      <c r="AO37" s="3184"/>
      <c r="AP37" s="3184"/>
      <c r="AQ37" s="3184"/>
      <c r="AR37" s="3184"/>
      <c r="AS37" s="3184"/>
      <c r="AT37" s="3184"/>
      <c r="AU37" s="3184"/>
      <c r="AV37" s="3184"/>
      <c r="AW37" s="3206" t="s">
        <v>3441</v>
      </c>
      <c r="AX37" s="3184"/>
    </row>
    <row r="38" spans="1:70" ht="11.25" customHeight="1">
      <c r="A38" s="3175" t="s">
        <v>3442</v>
      </c>
      <c r="B38" s="3175">
        <v>111.75</v>
      </c>
      <c r="C38" s="3175" t="s">
        <v>3443</v>
      </c>
      <c r="D38" s="3175" t="s">
        <v>3411</v>
      </c>
      <c r="F38" s="3175" t="s">
        <v>3412</v>
      </c>
      <c r="K38" s="3175" t="s">
        <v>3445</v>
      </c>
      <c r="X38" s="3206" t="s">
        <v>3873</v>
      </c>
      <c r="Y38" s="3184"/>
      <c r="Z38" s="3184"/>
      <c r="AA38" s="3184"/>
      <c r="AB38" s="3184"/>
      <c r="AC38" s="3184"/>
      <c r="AD38" s="3184"/>
      <c r="AE38" s="3184"/>
      <c r="AF38" s="3184"/>
      <c r="AG38" s="3184"/>
      <c r="AH38" s="3184"/>
      <c r="AI38" s="3184"/>
      <c r="AJ38" s="3184"/>
      <c r="AK38" s="3184"/>
      <c r="AL38" s="3184"/>
      <c r="AM38" s="3184"/>
      <c r="AN38" s="3184"/>
      <c r="AO38" s="3184"/>
      <c r="AP38" s="3184"/>
      <c r="AQ38" s="3184"/>
      <c r="AR38" s="3184"/>
      <c r="AS38" s="3184"/>
      <c r="AT38" s="3184"/>
      <c r="AU38" s="3184"/>
      <c r="AV38" s="3184"/>
      <c r="AW38" s="3206" t="s">
        <v>3446</v>
      </c>
      <c r="AX38" s="3184"/>
    </row>
    <row r="39" spans="1:70" ht="11.25" customHeight="1">
      <c r="A39" s="3175" t="s">
        <v>3874</v>
      </c>
      <c r="B39" s="3175">
        <v>78.790000000000006</v>
      </c>
      <c r="C39" s="3178" t="s">
        <v>3423</v>
      </c>
      <c r="D39" s="3175" t="s">
        <v>3416</v>
      </c>
      <c r="F39" s="3175" t="s">
        <v>3412</v>
      </c>
      <c r="K39" s="3175" t="s">
        <v>3447</v>
      </c>
      <c r="X39" s="3206" t="s">
        <v>3875</v>
      </c>
      <c r="Y39" s="3184"/>
      <c r="Z39" s="3184"/>
      <c r="AA39" s="3184"/>
      <c r="AB39" s="3184"/>
      <c r="AC39" s="3184"/>
      <c r="AD39" s="3184"/>
      <c r="AE39" s="3184"/>
      <c r="AF39" s="3184"/>
      <c r="AG39" s="3184"/>
      <c r="AH39" s="3184"/>
      <c r="AI39" s="3184"/>
      <c r="AJ39" s="3184"/>
      <c r="AK39" s="3184"/>
      <c r="AL39" s="3184"/>
      <c r="AM39" s="3184"/>
      <c r="AN39" s="3184"/>
      <c r="AO39" s="3184"/>
      <c r="AP39" s="3184"/>
      <c r="AQ39" s="3184"/>
      <c r="AR39" s="3184"/>
      <c r="AS39" s="3184"/>
      <c r="AT39" s="3184"/>
      <c r="AU39" s="3184"/>
      <c r="AV39" s="3184"/>
      <c r="AW39" s="3229" t="s">
        <v>3448</v>
      </c>
      <c r="AX39" s="3184"/>
    </row>
    <row r="40" spans="1:70" ht="11.25" customHeight="1">
      <c r="A40" s="3175" t="s">
        <v>3449</v>
      </c>
      <c r="B40" s="3175">
        <v>93.77</v>
      </c>
      <c r="C40" s="3175" t="s">
        <v>3450</v>
      </c>
      <c r="D40" s="3175" t="s">
        <v>3411</v>
      </c>
      <c r="F40" s="3175" t="s">
        <v>3412</v>
      </c>
      <c r="K40" s="3175" t="s">
        <v>3451</v>
      </c>
      <c r="X40" s="3206">
        <v>68572</v>
      </c>
      <c r="Y40" s="3184"/>
      <c r="Z40" s="3184"/>
      <c r="AA40" s="3184"/>
      <c r="AB40" s="3184"/>
      <c r="AC40" s="3184"/>
      <c r="AD40" s="3184"/>
      <c r="AE40" s="3184"/>
      <c r="AF40" s="3184"/>
      <c r="AG40" s="3184"/>
      <c r="AH40" s="3184"/>
      <c r="AI40" s="3184"/>
      <c r="AJ40" s="3184"/>
      <c r="AK40" s="3184"/>
      <c r="AL40" s="3184"/>
      <c r="AM40" s="3184"/>
      <c r="AN40" s="3184"/>
      <c r="AO40" s="3184"/>
      <c r="AP40" s="3184"/>
      <c r="AQ40" s="3184"/>
      <c r="AR40" s="3184"/>
      <c r="AS40" s="3184"/>
      <c r="AT40" s="3184"/>
      <c r="AU40" s="3184"/>
      <c r="AV40" s="3184"/>
      <c r="AW40" s="3206" t="s">
        <v>3452</v>
      </c>
      <c r="AX40" s="3184"/>
    </row>
    <row r="41" spans="1:70" ht="11.25" customHeight="1">
      <c r="A41" s="3175" t="s">
        <v>3453</v>
      </c>
      <c r="B41" s="3175">
        <v>143.93</v>
      </c>
      <c r="C41" s="3175" t="s">
        <v>3454</v>
      </c>
      <c r="D41" s="3175" t="s">
        <v>3430</v>
      </c>
      <c r="F41" s="3175" t="s">
        <v>3412</v>
      </c>
      <c r="K41" s="3175" t="s">
        <v>3456</v>
      </c>
      <c r="X41" s="3206" t="s">
        <v>3876</v>
      </c>
      <c r="Y41" s="3184"/>
      <c r="Z41" s="3184"/>
      <c r="AA41" s="3184"/>
      <c r="AB41" s="3184"/>
      <c r="AC41" s="3184"/>
      <c r="AD41" s="3184"/>
      <c r="AE41" s="3184"/>
      <c r="AF41" s="3184"/>
      <c r="AG41" s="3184"/>
      <c r="AH41" s="3184"/>
      <c r="AI41" s="3184"/>
      <c r="AJ41" s="3184"/>
      <c r="AK41" s="3184"/>
      <c r="AL41" s="3184"/>
      <c r="AM41" s="3184"/>
      <c r="AN41" s="3184"/>
      <c r="AO41" s="3184"/>
      <c r="AP41" s="3184"/>
      <c r="AQ41" s="3184"/>
      <c r="AR41" s="3184"/>
      <c r="AS41" s="3184"/>
      <c r="AT41" s="3184"/>
      <c r="AU41" s="3184"/>
      <c r="AV41" s="3184"/>
      <c r="AW41" s="3206" t="s">
        <v>3457</v>
      </c>
      <c r="AX41" s="3184"/>
    </row>
    <row r="42" spans="1:70" ht="11.25" customHeight="1">
      <c r="A42" s="3207" t="s">
        <v>4281</v>
      </c>
      <c r="B42" s="3207">
        <v>82.11</v>
      </c>
      <c r="C42" s="3207" t="s">
        <v>3423</v>
      </c>
      <c r="D42" s="3207" t="s">
        <v>3411</v>
      </c>
      <c r="E42" s="3208"/>
      <c r="F42" s="3207" t="s">
        <v>3412</v>
      </c>
      <c r="G42" s="3208"/>
      <c r="H42" s="3208"/>
      <c r="I42" s="3208"/>
      <c r="J42" s="3208"/>
      <c r="K42" s="3207" t="s">
        <v>3459</v>
      </c>
      <c r="L42" s="3208"/>
      <c r="M42" s="3208"/>
      <c r="N42" s="3208"/>
      <c r="O42" s="3208"/>
      <c r="P42" s="3208"/>
      <c r="Q42" s="3208"/>
      <c r="R42" s="3208"/>
      <c r="S42" s="3208"/>
      <c r="T42" s="3208"/>
      <c r="U42" s="3208"/>
      <c r="V42" s="3208"/>
      <c r="W42" s="3208"/>
      <c r="X42" s="3207" t="s">
        <v>3877</v>
      </c>
      <c r="Y42" s="3208"/>
      <c r="Z42" s="3208"/>
      <c r="AA42" s="3208"/>
      <c r="AB42" s="3208"/>
      <c r="AC42" s="3208"/>
      <c r="AD42" s="3208"/>
      <c r="AE42" s="3208"/>
      <c r="AF42" s="3208"/>
      <c r="AG42" s="3208"/>
      <c r="AH42" s="3208"/>
      <c r="AI42" s="3208"/>
      <c r="AJ42" s="3208"/>
      <c r="AK42" s="3208"/>
      <c r="AL42" s="3208"/>
      <c r="AM42" s="3208"/>
      <c r="AN42" s="3208"/>
      <c r="AO42" s="3208"/>
      <c r="AP42" s="3208"/>
      <c r="AQ42" s="3208"/>
      <c r="AR42" s="3208"/>
      <c r="AS42" s="3208"/>
      <c r="AT42" s="3208"/>
      <c r="AU42" s="3208"/>
      <c r="AV42" s="3208"/>
      <c r="AW42" s="3207" t="s">
        <v>3460</v>
      </c>
      <c r="AX42">
        <v>16</v>
      </c>
      <c r="AY42" s="1405" t="s">
        <v>4289</v>
      </c>
    </row>
    <row r="43" spans="1:70" ht="11.25" customHeight="1">
      <c r="A43" s="3207" t="s">
        <v>4288</v>
      </c>
      <c r="B43" s="3207">
        <v>72.77</v>
      </c>
      <c r="C43" s="3207" t="s">
        <v>3438</v>
      </c>
      <c r="D43" s="3207" t="s">
        <v>3420</v>
      </c>
      <c r="E43" s="3208"/>
      <c r="F43" s="3207" t="s">
        <v>3412</v>
      </c>
      <c r="G43" s="3208"/>
      <c r="H43" s="3208"/>
      <c r="I43" s="3208"/>
      <c r="J43" s="3208"/>
      <c r="K43" s="3207" t="s">
        <v>3463</v>
      </c>
      <c r="L43" s="3208"/>
      <c r="M43" s="3208"/>
      <c r="N43" s="3208"/>
      <c r="O43" s="3208"/>
      <c r="P43" s="3208"/>
      <c r="Q43" s="3208"/>
      <c r="R43" s="3208"/>
      <c r="S43" s="3208"/>
      <c r="T43" s="3208"/>
      <c r="U43" s="3208"/>
      <c r="V43" s="3208"/>
      <c r="W43" s="3208"/>
      <c r="X43" s="3207" t="s">
        <v>3878</v>
      </c>
      <c r="Y43" s="3208"/>
      <c r="Z43" s="3208"/>
      <c r="AA43" s="3208"/>
      <c r="AB43" s="3208"/>
      <c r="AC43" s="3208"/>
      <c r="AD43" s="3208"/>
      <c r="AE43" s="3208"/>
      <c r="AF43" s="3208"/>
      <c r="AG43" s="3208"/>
      <c r="AH43" s="3208"/>
      <c r="AI43" s="3208"/>
      <c r="AJ43" s="3208"/>
      <c r="AK43" s="3208"/>
      <c r="AL43" s="3208"/>
      <c r="AM43" s="3208"/>
      <c r="AN43" s="3208"/>
      <c r="AO43" s="3208"/>
      <c r="AP43" s="3208"/>
      <c r="AQ43" s="3208"/>
      <c r="AR43" s="3208"/>
      <c r="AS43" s="3208"/>
      <c r="AT43" s="3208"/>
      <c r="AU43" s="3208"/>
      <c r="AV43" s="3208"/>
      <c r="AW43" s="3207" t="s">
        <v>3464</v>
      </c>
      <c r="AY43" s="1405" t="s">
        <v>4290</v>
      </c>
    </row>
    <row r="44" spans="1:70" ht="11.25" customHeight="1">
      <c r="A44" s="3175" t="s">
        <v>4282</v>
      </c>
      <c r="B44" s="3175">
        <v>38.4</v>
      </c>
      <c r="C44" s="3175" t="s">
        <v>3466</v>
      </c>
      <c r="D44" s="3175" t="s">
        <v>3420</v>
      </c>
      <c r="F44" s="3175" t="s">
        <v>3412</v>
      </c>
      <c r="K44" s="3175" t="s">
        <v>3467</v>
      </c>
      <c r="X44" s="3206" t="s">
        <v>3879</v>
      </c>
      <c r="Y44" s="3184"/>
      <c r="Z44" s="3184"/>
      <c r="AA44" s="3184"/>
      <c r="AB44" s="3184"/>
      <c r="AC44" s="3184"/>
      <c r="AD44" s="3184"/>
      <c r="AE44" s="3184"/>
      <c r="AF44" s="3184"/>
      <c r="AG44" s="3184"/>
      <c r="AH44" s="3184"/>
      <c r="AI44" s="3184"/>
      <c r="AJ44" s="3184"/>
      <c r="AK44" s="3184"/>
      <c r="AL44" s="3184"/>
      <c r="AM44" s="3184"/>
      <c r="AN44" s="3184"/>
      <c r="AO44" s="3184"/>
      <c r="AP44" s="3184"/>
      <c r="AQ44" s="3184"/>
      <c r="AR44" s="3184"/>
      <c r="AS44" s="3184"/>
      <c r="AT44" s="3184"/>
      <c r="AU44" s="3184"/>
      <c r="AV44" s="3184"/>
      <c r="AW44" s="3206" t="s">
        <v>3468</v>
      </c>
    </row>
    <row r="45" spans="1:70" ht="11.25" customHeight="1">
      <c r="A45" s="3175" t="s">
        <v>3880</v>
      </c>
      <c r="B45" s="3175">
        <v>71.06</v>
      </c>
      <c r="C45" s="3175" t="s">
        <v>3469</v>
      </c>
      <c r="D45" s="3175" t="s">
        <v>3420</v>
      </c>
      <c r="F45" s="3175" t="s">
        <v>3412</v>
      </c>
      <c r="K45" s="3175" t="s">
        <v>3471</v>
      </c>
      <c r="X45" s="3206" t="s">
        <v>3881</v>
      </c>
      <c r="Y45" s="3184"/>
      <c r="Z45" s="3184"/>
      <c r="AA45" s="3184"/>
      <c r="AB45" s="3184"/>
      <c r="AC45" s="3184"/>
      <c r="AD45" s="3184"/>
      <c r="AE45" s="3184"/>
      <c r="AF45" s="3184"/>
      <c r="AG45" s="3184"/>
      <c r="AH45" s="3184"/>
      <c r="AI45" s="3184"/>
      <c r="AJ45" s="3184"/>
      <c r="AK45" s="3184"/>
      <c r="AL45" s="3184"/>
      <c r="AM45" s="3184"/>
      <c r="AN45" s="3184"/>
      <c r="AO45" s="3184"/>
      <c r="AP45" s="3184"/>
      <c r="AQ45" s="3184"/>
      <c r="AR45" s="3184"/>
      <c r="AS45" s="3184"/>
      <c r="AT45" s="3184"/>
      <c r="AU45" s="3184"/>
      <c r="AV45" s="3184"/>
      <c r="AW45" s="3206"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5"/>
      <c r="B1" s="3147"/>
      <c r="C1" s="3147"/>
      <c r="D1" s="3147"/>
      <c r="E1" s="3147"/>
      <c r="F1" s="3147"/>
      <c r="G1" s="3147"/>
      <c r="H1" s="3147"/>
      <c r="I1" s="3147"/>
      <c r="J1" s="3147"/>
      <c r="K1" s="3149"/>
    </row>
    <row r="2" spans="1:14">
      <c r="A2" s="3146" t="s">
        <v>3398</v>
      </c>
      <c r="B2" s="3148" t="s">
        <v>3399</v>
      </c>
      <c r="C2" s="3148" t="s">
        <v>3400</v>
      </c>
      <c r="D2" s="3148" t="s">
        <v>3401</v>
      </c>
      <c r="E2" s="3148" t="s">
        <v>3402</v>
      </c>
      <c r="F2" s="3148" t="s">
        <v>3403</v>
      </c>
      <c r="G2" s="3148" t="s">
        <v>3404</v>
      </c>
      <c r="H2" s="3159" t="s">
        <v>3405</v>
      </c>
      <c r="I2" s="3148" t="s">
        <v>3406</v>
      </c>
      <c r="J2" s="3148" t="s">
        <v>3407</v>
      </c>
      <c r="K2" s="3150" t="s">
        <v>3408</v>
      </c>
    </row>
    <row r="3" spans="1:14" hidden="1">
      <c r="A3" s="3151" t="s">
        <v>3449</v>
      </c>
      <c r="B3" s="3151">
        <v>93.77</v>
      </c>
      <c r="C3" s="3151" t="s">
        <v>3450</v>
      </c>
      <c r="D3" s="3151" t="s">
        <v>3411</v>
      </c>
      <c r="E3" s="3151">
        <v>77.099999999999994</v>
      </c>
      <c r="F3" s="3151" t="s">
        <v>3412</v>
      </c>
      <c r="G3" s="3151">
        <v>2070000</v>
      </c>
      <c r="H3" s="3160">
        <v>22075</v>
      </c>
      <c r="I3" s="3151">
        <v>618.9</v>
      </c>
      <c r="J3" s="3151" t="s">
        <v>3451</v>
      </c>
      <c r="K3" s="3152" t="s">
        <v>3452</v>
      </c>
    </row>
    <row r="4" spans="1:14" hidden="1">
      <c r="A4" s="3151" t="s">
        <v>3453</v>
      </c>
      <c r="B4" s="3151">
        <v>143.93</v>
      </c>
      <c r="C4" s="3151" t="s">
        <v>3454</v>
      </c>
      <c r="D4" s="3151" t="s">
        <v>3430</v>
      </c>
      <c r="E4" s="3151" t="s">
        <v>3455</v>
      </c>
      <c r="F4" s="3151" t="s">
        <v>3412</v>
      </c>
      <c r="G4" s="3151">
        <v>3310000</v>
      </c>
      <c r="H4" s="3160">
        <v>22997</v>
      </c>
      <c r="I4" s="3151">
        <v>804.39</v>
      </c>
      <c r="J4" s="3151" t="s">
        <v>3456</v>
      </c>
      <c r="K4" s="3152" t="s">
        <v>3457</v>
      </c>
    </row>
    <row r="5" spans="1:14">
      <c r="A5" s="3151" t="s">
        <v>3458</v>
      </c>
      <c r="B5" s="3151">
        <v>82.11</v>
      </c>
      <c r="C5" s="3151" t="s">
        <v>3423</v>
      </c>
      <c r="D5" s="3151" t="s">
        <v>3411</v>
      </c>
      <c r="E5" s="3151" t="s">
        <v>633</v>
      </c>
      <c r="F5" s="3151" t="s">
        <v>3412</v>
      </c>
      <c r="G5" s="3151">
        <v>1850000</v>
      </c>
      <c r="H5" s="3160">
        <v>22531</v>
      </c>
      <c r="I5" s="3151">
        <v>521.98</v>
      </c>
      <c r="J5" s="3151" t="s">
        <v>3459</v>
      </c>
      <c r="K5" s="3152" t="s">
        <v>3460</v>
      </c>
    </row>
    <row r="6" spans="1:14">
      <c r="A6" s="3151" t="s">
        <v>3461</v>
      </c>
      <c r="B6" s="3151">
        <v>72.77</v>
      </c>
      <c r="C6" s="3151" t="s">
        <v>3438</v>
      </c>
      <c r="D6" s="3151" t="s">
        <v>3420</v>
      </c>
      <c r="E6" s="3151" t="s">
        <v>3462</v>
      </c>
      <c r="F6" s="3151" t="s">
        <v>3412</v>
      </c>
      <c r="G6" s="3151">
        <v>1800000</v>
      </c>
      <c r="H6" s="3160">
        <v>24735</v>
      </c>
      <c r="I6" s="3151">
        <v>454.47</v>
      </c>
      <c r="J6" s="3151" t="s">
        <v>3463</v>
      </c>
      <c r="K6" s="3152" t="s">
        <v>3464</v>
      </c>
    </row>
    <row r="7" spans="1:14" s="3158" customFormat="1" hidden="1">
      <c r="A7" s="3156" t="s">
        <v>3465</v>
      </c>
      <c r="B7" s="3156">
        <v>38.4</v>
      </c>
      <c r="C7" s="3156" t="s">
        <v>3466</v>
      </c>
      <c r="D7" s="3156" t="s">
        <v>3420</v>
      </c>
      <c r="E7" s="3156" t="s">
        <v>633</v>
      </c>
      <c r="F7" s="3156" t="s">
        <v>3412</v>
      </c>
      <c r="G7" s="3156">
        <v>2000000</v>
      </c>
      <c r="H7" s="3161">
        <v>52083</v>
      </c>
      <c r="I7" s="3156">
        <v>253.71</v>
      </c>
      <c r="J7" s="3156" t="s">
        <v>3467</v>
      </c>
      <c r="K7" s="3157" t="s">
        <v>3468</v>
      </c>
    </row>
    <row r="8" spans="1:14" s="3158" customFormat="1">
      <c r="A8" s="3156" t="s">
        <v>3504</v>
      </c>
      <c r="B8" s="3156">
        <v>71.06</v>
      </c>
      <c r="C8" s="3156" t="s">
        <v>3469</v>
      </c>
      <c r="D8" s="3156" t="s">
        <v>3420</v>
      </c>
      <c r="E8" s="3156" t="s">
        <v>3470</v>
      </c>
      <c r="F8" s="3156" t="s">
        <v>3412</v>
      </c>
      <c r="G8" s="3156">
        <v>3080000</v>
      </c>
      <c r="H8" s="3161">
        <v>43344</v>
      </c>
      <c r="I8" s="3156">
        <v>426.58</v>
      </c>
      <c r="J8" s="3156" t="s">
        <v>3471</v>
      </c>
      <c r="K8" s="3157" t="s">
        <v>3472</v>
      </c>
    </row>
    <row r="10" spans="1:14" ht="15" thickBot="1"/>
    <row r="11" spans="1:14" ht="15" thickBot="1">
      <c r="A11" s="3153" t="s">
        <v>3473</v>
      </c>
      <c r="B11" s="3153" t="s">
        <v>3474</v>
      </c>
      <c r="C11" s="3153" t="s">
        <v>3475</v>
      </c>
      <c r="D11" s="3153" t="s">
        <v>3476</v>
      </c>
      <c r="E11" s="3153" t="s">
        <v>3477</v>
      </c>
      <c r="F11" s="3153" t="s">
        <v>3478</v>
      </c>
      <c r="G11" s="3153" t="s">
        <v>3479</v>
      </c>
      <c r="H11" s="3153" t="s">
        <v>3480</v>
      </c>
      <c r="I11" s="3153" t="s">
        <v>3481</v>
      </c>
      <c r="J11" s="3153" t="s">
        <v>3482</v>
      </c>
      <c r="K11" s="3153" t="s">
        <v>3483</v>
      </c>
      <c r="L11" s="3153" t="s">
        <v>3484</v>
      </c>
      <c r="M11" s="3153" t="s">
        <v>3485</v>
      </c>
      <c r="N11" s="3153" t="s">
        <v>3486</v>
      </c>
    </row>
    <row r="12" spans="1:14" ht="15" thickBot="1">
      <c r="A12" s="3154" t="s">
        <v>3487</v>
      </c>
      <c r="B12" s="3154" t="s">
        <v>3488</v>
      </c>
      <c r="C12" s="3154" t="s">
        <v>3489</v>
      </c>
      <c r="D12" s="3154" t="s">
        <v>3490</v>
      </c>
      <c r="E12" s="3154">
        <v>48.95</v>
      </c>
      <c r="F12" s="3154" t="s">
        <v>3386</v>
      </c>
      <c r="G12" s="3154" t="s">
        <v>3491</v>
      </c>
      <c r="H12" s="3154">
        <v>15</v>
      </c>
      <c r="I12" s="3154" t="s">
        <v>633</v>
      </c>
      <c r="J12" s="3154">
        <v>1998</v>
      </c>
      <c r="K12" s="3154">
        <v>70480</v>
      </c>
      <c r="L12" s="3154">
        <v>63450</v>
      </c>
      <c r="M12" s="3154">
        <v>3105878</v>
      </c>
      <c r="N12" s="3155">
        <v>42825</v>
      </c>
    </row>
    <row r="13" spans="1:14" ht="27" thickBot="1">
      <c r="A13" s="3225" t="s">
        <v>4291</v>
      </c>
      <c r="B13" s="3225" t="s">
        <v>3494</v>
      </c>
      <c r="C13" s="3225" t="s">
        <v>3489</v>
      </c>
      <c r="D13" s="3225" t="s">
        <v>3495</v>
      </c>
      <c r="E13" s="3225">
        <v>90.99</v>
      </c>
      <c r="F13" s="3225" t="s">
        <v>3386</v>
      </c>
      <c r="G13" s="3225" t="s">
        <v>3496</v>
      </c>
      <c r="H13" s="3225">
        <v>16</v>
      </c>
      <c r="I13" s="3225">
        <v>2005</v>
      </c>
      <c r="J13" s="3225" t="s">
        <v>633</v>
      </c>
      <c r="K13" s="3225">
        <v>65941</v>
      </c>
      <c r="L13" s="3225">
        <v>59463</v>
      </c>
      <c r="M13" s="3225">
        <v>5410538</v>
      </c>
      <c r="N13" s="3226">
        <v>42840</v>
      </c>
    </row>
    <row r="15" spans="1:14">
      <c r="I15" s="1405"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3360</v>
      </c>
      <c r="E2" s="3139"/>
      <c r="F2" s="2597"/>
      <c r="G2" s="2598"/>
      <c r="H2" s="2599"/>
      <c r="I2" s="2600"/>
      <c r="J2" s="3560" t="s">
        <v>2319</v>
      </c>
      <c r="K2" s="3561"/>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562" t="s">
        <v>2329</v>
      </c>
      <c r="K3" s="3563"/>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562" t="s">
        <v>2331</v>
      </c>
      <c r="K4" s="3563"/>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564" t="s">
        <v>2335</v>
      </c>
      <c r="B6" s="3565"/>
      <c r="C6" s="3566"/>
      <c r="D6" s="2621"/>
      <c r="E6" s="2622"/>
      <c r="F6" s="2623"/>
      <c r="G6" s="2624"/>
      <c r="H6" s="2599"/>
      <c r="I6" s="2600"/>
      <c r="J6" s="3567">
        <v>1</v>
      </c>
      <c r="K6" s="3568"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567"/>
      <c r="K7" s="3569"/>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571" t="s">
        <v>2349</v>
      </c>
      <c r="C8" s="3572"/>
      <c r="D8" s="2640" t="s">
        <v>2350</v>
      </c>
      <c r="E8" s="2641" t="s">
        <v>2351</v>
      </c>
      <c r="F8" s="2642" t="s">
        <v>2352</v>
      </c>
      <c r="G8" s="2643"/>
      <c r="H8" s="2599"/>
      <c r="I8" s="2600"/>
      <c r="J8" s="3567"/>
      <c r="K8" s="3569"/>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571" t="s">
        <v>2355</v>
      </c>
      <c r="C9" s="3572"/>
      <c r="D9" s="2640">
        <f>ROUND(D6*E9,0)</f>
        <v>0</v>
      </c>
      <c r="E9" s="2644"/>
      <c r="F9" s="2645" t="s">
        <v>2356</v>
      </c>
      <c r="G9" s="2624"/>
      <c r="H9" s="2599"/>
      <c r="I9" s="2600"/>
      <c r="J9" s="3567"/>
      <c r="K9" s="3569"/>
      <c r="L9" s="2634" t="s">
        <v>2357</v>
      </c>
      <c r="M9" s="2635"/>
      <c r="N9" s="2611"/>
      <c r="O9" s="2636"/>
      <c r="P9" s="2636"/>
      <c r="Q9" s="2637">
        <v>365</v>
      </c>
      <c r="R9" s="2638">
        <f t="shared" si="0"/>
        <v>0</v>
      </c>
      <c r="S9" s="2592"/>
      <c r="T9" s="2592"/>
      <c r="U9" s="2592"/>
      <c r="V9" s="2600"/>
    </row>
    <row r="10" spans="1:22" s="2604" customFormat="1" ht="13.2" customHeight="1">
      <c r="A10" s="2639">
        <v>2</v>
      </c>
      <c r="B10" s="3571" t="s">
        <v>2358</v>
      </c>
      <c r="C10" s="3572"/>
      <c r="D10" s="2640">
        <f>ROUND(D6*E10,0)</f>
        <v>0</v>
      </c>
      <c r="E10" s="2644"/>
      <c r="F10" s="2645" t="s">
        <v>2359</v>
      </c>
      <c r="G10" s="2624"/>
      <c r="H10" s="2599"/>
      <c r="I10" s="2600"/>
      <c r="J10" s="3567"/>
      <c r="K10" s="3569"/>
      <c r="L10" s="2634" t="s">
        <v>2360</v>
      </c>
      <c r="M10" s="2635"/>
      <c r="N10" s="2611"/>
      <c r="O10" s="2636"/>
      <c r="P10" s="2636"/>
      <c r="Q10" s="2637">
        <v>365</v>
      </c>
      <c r="R10" s="2638">
        <f t="shared" si="0"/>
        <v>0</v>
      </c>
      <c r="S10" s="2592"/>
      <c r="T10" s="2592"/>
      <c r="U10" s="2592"/>
      <c r="V10" s="2600"/>
    </row>
    <row r="11" spans="1:22" s="2604" customFormat="1" ht="13.2" customHeight="1">
      <c r="A11" s="2639">
        <v>3</v>
      </c>
      <c r="B11" s="3571" t="s">
        <v>2361</v>
      </c>
      <c r="C11" s="3572"/>
      <c r="D11" s="2640">
        <f>D12+D14+D15+D16</f>
        <v>0</v>
      </c>
      <c r="E11" s="2646" t="e">
        <f>D11/D6</f>
        <v>#DIV/0!</v>
      </c>
      <c r="F11" s="2642"/>
      <c r="G11" s="2643"/>
      <c r="H11" s="2599"/>
      <c r="I11" s="2600"/>
      <c r="J11" s="3567"/>
      <c r="K11" s="3569"/>
      <c r="L11" s="2634" t="s">
        <v>2362</v>
      </c>
      <c r="M11" s="2635"/>
      <c r="N11" s="2611"/>
      <c r="O11" s="2636"/>
      <c r="P11" s="2636"/>
      <c r="Q11" s="2637">
        <v>365</v>
      </c>
      <c r="R11" s="2638">
        <f t="shared" si="0"/>
        <v>0</v>
      </c>
      <c r="S11" s="2592"/>
      <c r="T11" s="2592"/>
      <c r="U11" s="2592"/>
      <c r="V11" s="2600"/>
    </row>
    <row r="12" spans="1:22" s="2604" customFormat="1" ht="13.2" customHeight="1">
      <c r="A12" s="2647" t="s">
        <v>2363</v>
      </c>
      <c r="B12" s="3573" t="s">
        <v>2364</v>
      </c>
      <c r="C12" s="3574"/>
      <c r="D12" s="2648">
        <f>ROUND(D13*1.2%*(1-30%),0)</f>
        <v>0</v>
      </c>
      <c r="E12" s="2649">
        <v>1.2E-2</v>
      </c>
      <c r="F12" s="2642" t="s">
        <v>2365</v>
      </c>
      <c r="G12" s="2643"/>
      <c r="H12" s="2599"/>
      <c r="I12" s="2600"/>
      <c r="J12" s="3567"/>
      <c r="K12" s="3569"/>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567"/>
      <c r="K13" s="3569"/>
      <c r="L13" s="2634" t="s">
        <v>2368</v>
      </c>
      <c r="M13" s="2635"/>
      <c r="N13" s="2611"/>
      <c r="O13" s="2636"/>
      <c r="P13" s="2636"/>
      <c r="Q13" s="2637">
        <v>365</v>
      </c>
      <c r="R13" s="2638">
        <f t="shared" si="0"/>
        <v>0</v>
      </c>
      <c r="S13" s="2592"/>
      <c r="T13" s="2592"/>
      <c r="U13" s="2592"/>
      <c r="V13" s="2600"/>
    </row>
    <row r="14" spans="1:22" s="2604" customFormat="1" ht="13.2" customHeight="1">
      <c r="A14" s="2647" t="s">
        <v>2369</v>
      </c>
      <c r="B14" s="3573" t="s">
        <v>2370</v>
      </c>
      <c r="C14" s="3574"/>
      <c r="D14" s="2648">
        <f>ROUND(E14*B5/10000,0)</f>
        <v>0</v>
      </c>
      <c r="E14" s="2637"/>
      <c r="F14" s="2642" t="s">
        <v>2371</v>
      </c>
      <c r="G14" s="2643"/>
      <c r="H14" s="2599"/>
      <c r="I14" s="2600"/>
      <c r="J14" s="3567"/>
      <c r="K14" s="3570"/>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573" t="s">
        <v>2374</v>
      </c>
      <c r="C15" s="3574"/>
      <c r="D15" s="2648">
        <f>ROUND(D6*E15,0)</f>
        <v>0</v>
      </c>
      <c r="E15" s="2649">
        <v>5.5E-2</v>
      </c>
      <c r="F15" s="2642" t="s">
        <v>2375</v>
      </c>
      <c r="G15" s="2624"/>
      <c r="H15" s="2599"/>
      <c r="I15" s="2600"/>
      <c r="J15" s="3567">
        <v>2</v>
      </c>
      <c r="K15" s="3568"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573" t="s">
        <v>2383</v>
      </c>
      <c r="C16" s="3574"/>
      <c r="D16" s="2659">
        <f>D6*E16</f>
        <v>0</v>
      </c>
      <c r="E16" s="2660"/>
      <c r="F16" s="2645" t="s">
        <v>2384</v>
      </c>
      <c r="G16" s="2624"/>
      <c r="H16" s="2599"/>
      <c r="I16" s="2600"/>
      <c r="J16" s="3567"/>
      <c r="K16" s="3569"/>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575" t="s">
        <v>2386</v>
      </c>
      <c r="C17" s="3576"/>
      <c r="D17" s="2662">
        <f>ROUND(D6*E17,0)</f>
        <v>0</v>
      </c>
      <c r="E17" s="2663"/>
      <c r="F17" s="2664" t="s">
        <v>2387</v>
      </c>
      <c r="G17" s="2624"/>
      <c r="H17" s="2599"/>
      <c r="I17" s="2600"/>
      <c r="J17" s="3567"/>
      <c r="K17" s="3569"/>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567"/>
      <c r="K18" s="3569"/>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567"/>
      <c r="K19" s="3570"/>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567">
        <v>3</v>
      </c>
      <c r="K20" s="3568"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567"/>
      <c r="K21" s="3569"/>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567"/>
      <c r="K22" s="3569"/>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567"/>
      <c r="K23" s="3569"/>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567"/>
      <c r="K24" s="3570"/>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577">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578"/>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560" t="s">
        <v>2319</v>
      </c>
      <c r="K32" s="3561"/>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562" t="s">
        <v>2329</v>
      </c>
      <c r="K33" s="3563"/>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562" t="s">
        <v>2331</v>
      </c>
      <c r="K34" s="3563"/>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567">
        <v>1</v>
      </c>
      <c r="K36" s="3568"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567"/>
      <c r="K37" s="3569"/>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567"/>
      <c r="K38" s="3569"/>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567"/>
      <c r="K39" s="3569"/>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567"/>
      <c r="K40" s="3570"/>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577">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578"/>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1657</v>
      </c>
      <c r="B1" s="1726"/>
      <c r="C1" s="1726"/>
      <c r="D1" s="1726"/>
      <c r="E1" s="1727"/>
      <c r="F1" s="2479"/>
      <c r="G1" s="459"/>
      <c r="H1" s="459"/>
      <c r="I1" s="459"/>
      <c r="J1" s="459"/>
      <c r="K1" s="459"/>
      <c r="L1" s="459"/>
      <c r="M1" s="459"/>
      <c r="N1" s="459"/>
      <c r="O1" s="459"/>
      <c r="P1" s="459"/>
      <c r="Q1" s="459"/>
      <c r="R1" s="459"/>
      <c r="S1" s="459"/>
    </row>
    <row r="2" spans="1:22" ht="15.6">
      <c r="A2" s="1728" t="s">
        <v>1461</v>
      </c>
      <c r="B2" s="811">
        <f ca="1">SUMIF(B6:B13,"&lt;&gt;#ref!",B6:B13)</f>
        <v>494.22089999999997</v>
      </c>
      <c r="C2" s="1729" t="s">
        <v>1650</v>
      </c>
      <c r="D2" s="1730" t="s">
        <v>1651</v>
      </c>
      <c r="E2" s="2392">
        <f>SUM(E6:E13)</f>
        <v>293.87</v>
      </c>
      <c r="F2" s="2479"/>
      <c r="G2" s="459"/>
      <c r="H2" s="459"/>
      <c r="I2" s="459"/>
      <c r="J2" s="459"/>
      <c r="K2" s="459"/>
      <c r="L2" s="459"/>
      <c r="M2" s="459"/>
      <c r="N2" s="459"/>
      <c r="O2" s="459"/>
      <c r="P2" s="459"/>
      <c r="Q2" s="459"/>
      <c r="R2" s="459"/>
      <c r="S2" s="459"/>
    </row>
    <row r="3" spans="1:22" ht="15.6">
      <c r="A3" s="1728" t="s">
        <v>686</v>
      </c>
      <c r="B3" s="2386">
        <f ca="1">ROUND(B2*10000/E2,0)</f>
        <v>16818</v>
      </c>
      <c r="C3" s="1729"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579" t="s">
        <v>1653</v>
      </c>
      <c r="C5" s="3580"/>
      <c r="D5" s="2480"/>
      <c r="E5" s="1731" t="s">
        <v>1654</v>
      </c>
      <c r="F5" s="129" t="s">
        <v>1655</v>
      </c>
      <c r="G5" s="459"/>
      <c r="H5" s="459"/>
      <c r="I5" s="459"/>
      <c r="J5" s="459"/>
      <c r="K5" s="459"/>
      <c r="L5" s="459"/>
      <c r="M5" s="459"/>
      <c r="N5" s="459"/>
      <c r="O5" s="459"/>
      <c r="P5" s="459"/>
      <c r="Q5" s="459"/>
      <c r="R5" s="459"/>
      <c r="S5" s="459"/>
    </row>
    <row r="6" spans="1:22" ht="14.4">
      <c r="A6" s="2389" t="str">
        <f>'数据-取费表'!AN6</f>
        <v>收益法1</v>
      </c>
      <c r="B6" s="2387">
        <f ca="1">IF(F6="是",'数据-取费表'!AO6,0)</f>
        <v>494.22089999999997</v>
      </c>
      <c r="C6" s="1729" t="s">
        <v>1650</v>
      </c>
      <c r="D6" s="2479"/>
      <c r="E6" s="2391">
        <f>IF(OR(A6=0,F6="否"),0,'数据-取费表'!K6+'数据-取费表'!S6)</f>
        <v>293.87</v>
      </c>
      <c r="F6" s="1732"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1650</v>
      </c>
      <c r="D7" s="2479"/>
      <c r="E7" s="2391">
        <f>IF(OR(A7=0,F7="否"),0,'数据-取费表'!K7+'数据-取费表'!S7)</f>
        <v>0</v>
      </c>
      <c r="F7" s="1732"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1650</v>
      </c>
      <c r="D8" s="2479"/>
      <c r="E8" s="2391">
        <f>IF(OR(A8=0,F8="否"),0,'数据-取费表'!K8+'数据-取费表'!S8)</f>
        <v>0</v>
      </c>
      <c r="F8" s="1732"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1650</v>
      </c>
      <c r="D9" s="2479"/>
      <c r="E9" s="2391">
        <f>IF(OR(A9=0,F9="否"),0,'数据-取费表'!K9+'数据-取费表'!S9)</f>
        <v>0</v>
      </c>
      <c r="F9" s="1732"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1650</v>
      </c>
      <c r="D10" s="2479"/>
      <c r="E10" s="2391">
        <f>IF(OR(A10=0,F10="否"),0,'数据-取费表'!K10+'数据-取费表'!S10)</f>
        <v>0</v>
      </c>
      <c r="F10" s="1732"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1650</v>
      </c>
      <c r="D11" s="2479"/>
      <c r="E11" s="2391">
        <f>IF(OR(A11=0,F11="否"),0,'数据-取费表'!K11+'数据-取费表'!S11)</f>
        <v>0</v>
      </c>
      <c r="F11" s="1732"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1650</v>
      </c>
      <c r="D12" s="2479"/>
      <c r="E12" s="2391">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1650</v>
      </c>
      <c r="D13" s="2481"/>
      <c r="E13" s="2391">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4"/>
  </cols>
  <sheetData>
    <row r="11" spans="1:24">
      <c r="A11" s="3170">
        <v>43070</v>
      </c>
      <c r="B11" s="3167">
        <v>43040</v>
      </c>
      <c r="C11" s="3167">
        <v>43009</v>
      </c>
      <c r="D11" s="3167">
        <v>42979</v>
      </c>
      <c r="E11" s="3167">
        <v>42948</v>
      </c>
      <c r="F11" s="3167">
        <v>42917</v>
      </c>
      <c r="G11" s="3167">
        <v>42887</v>
      </c>
      <c r="H11" s="3167">
        <v>42856</v>
      </c>
      <c r="I11" s="3167">
        <v>42826</v>
      </c>
      <c r="J11" s="3170">
        <v>42795</v>
      </c>
      <c r="K11" s="3167">
        <v>42767</v>
      </c>
      <c r="L11" s="3167">
        <v>42736</v>
      </c>
      <c r="M11" s="3167">
        <v>42705</v>
      </c>
      <c r="N11" s="3167">
        <v>42675</v>
      </c>
      <c r="O11" s="3167">
        <v>42644</v>
      </c>
      <c r="P11" s="3167">
        <v>42614</v>
      </c>
      <c r="Q11" s="3167">
        <v>42583</v>
      </c>
      <c r="R11" s="3167">
        <v>42552</v>
      </c>
      <c r="S11" s="3167">
        <v>42522</v>
      </c>
      <c r="T11" s="3167">
        <v>42491</v>
      </c>
      <c r="U11" s="3167">
        <v>42461</v>
      </c>
      <c r="V11" s="3167">
        <v>42430</v>
      </c>
      <c r="W11" s="3167">
        <v>42401</v>
      </c>
      <c r="X11" s="3167">
        <v>42370</v>
      </c>
    </row>
    <row r="12" spans="1:24">
      <c r="A12" s="3171">
        <v>99.6</v>
      </c>
      <c r="B12" s="3168">
        <v>99.5</v>
      </c>
      <c r="C12" s="3168">
        <v>99.5</v>
      </c>
      <c r="D12" s="3168">
        <v>99.4</v>
      </c>
      <c r="E12" s="3168">
        <v>99.1</v>
      </c>
      <c r="F12" s="3168">
        <v>99.2</v>
      </c>
      <c r="G12" s="3168">
        <v>98.9</v>
      </c>
      <c r="H12" s="3168">
        <v>99.1</v>
      </c>
      <c r="I12" s="3168">
        <v>100</v>
      </c>
      <c r="J12" s="3171">
        <v>102.2</v>
      </c>
      <c r="K12" s="3168">
        <v>101.3</v>
      </c>
      <c r="L12" s="3168">
        <v>100.8</v>
      </c>
      <c r="M12" s="3168">
        <v>100.2</v>
      </c>
      <c r="N12" s="3168">
        <v>100.2</v>
      </c>
      <c r="O12" s="3168">
        <v>101.1</v>
      </c>
      <c r="P12" s="3168">
        <v>105.7</v>
      </c>
      <c r="Q12" s="3168">
        <v>103.9</v>
      </c>
      <c r="R12" s="3168">
        <v>101.6</v>
      </c>
      <c r="S12" s="3168">
        <v>101.4</v>
      </c>
      <c r="T12" s="3168">
        <v>102.3</v>
      </c>
      <c r="U12" s="3168">
        <v>103.7</v>
      </c>
      <c r="V12" s="3168">
        <v>106.3</v>
      </c>
      <c r="W12" s="3168">
        <v>103.2</v>
      </c>
      <c r="X12" s="3171">
        <v>102.3</v>
      </c>
    </row>
    <row r="13" spans="1:24">
      <c r="A13" s="3171">
        <f>ROUND(100/100,4)</f>
        <v>1</v>
      </c>
      <c r="B13" s="3168">
        <f t="shared" ref="B13:C13" si="0">ROUND(100/A12,4)</f>
        <v>1.004</v>
      </c>
      <c r="C13" s="3168">
        <f t="shared" si="0"/>
        <v>1.0049999999999999</v>
      </c>
      <c r="D13" s="3168">
        <f t="shared" ref="D13" si="1">ROUND(100/C12,4)</f>
        <v>1.0049999999999999</v>
      </c>
      <c r="E13" s="3168">
        <f t="shared" ref="E13" si="2">ROUND(100/D12,4)</f>
        <v>1.006</v>
      </c>
      <c r="F13" s="3168">
        <f t="shared" ref="F13" si="3">ROUND(100/E12,4)</f>
        <v>1.0091000000000001</v>
      </c>
      <c r="G13" s="3168">
        <f t="shared" ref="G13" si="4">ROUND(100/F12,4)</f>
        <v>1.0081</v>
      </c>
      <c r="H13" s="3168">
        <f t="shared" ref="H13" si="5">ROUND(100/G12,4)</f>
        <v>1.0111000000000001</v>
      </c>
      <c r="I13" s="3168">
        <f t="shared" ref="I13" si="6">ROUND(100/H12,4)</f>
        <v>1.0091000000000001</v>
      </c>
      <c r="J13" s="3171">
        <f t="shared" ref="J13" si="7">ROUND(100/I12,4)</f>
        <v>1</v>
      </c>
      <c r="K13" s="3168">
        <f t="shared" ref="K13" si="8">ROUND(100/J12,4)</f>
        <v>0.97850000000000004</v>
      </c>
      <c r="L13" s="3168">
        <f t="shared" ref="L13" si="9">ROUND(100/K12,4)</f>
        <v>0.98719999999999997</v>
      </c>
      <c r="M13" s="3168">
        <f t="shared" ref="M13" si="10">ROUND(100/L12,4)</f>
        <v>0.99209999999999998</v>
      </c>
      <c r="N13" s="3168">
        <f t="shared" ref="N13" si="11">ROUND(100/M12,4)</f>
        <v>0.998</v>
      </c>
      <c r="O13" s="3168">
        <f t="shared" ref="O13" si="12">ROUND(100/N12,4)</f>
        <v>0.998</v>
      </c>
      <c r="P13" s="3168">
        <f t="shared" ref="P13" si="13">ROUND(100/O12,4)</f>
        <v>0.98909999999999998</v>
      </c>
      <c r="Q13" s="3168">
        <f t="shared" ref="Q13" si="14">ROUND(100/P12,4)</f>
        <v>0.94610000000000005</v>
      </c>
      <c r="R13" s="3168">
        <f t="shared" ref="R13" si="15">ROUND(100/Q12,4)</f>
        <v>0.96250000000000002</v>
      </c>
      <c r="S13" s="3168">
        <f t="shared" ref="S13" si="16">ROUND(100/R12,4)</f>
        <v>0.98429999999999995</v>
      </c>
      <c r="T13" s="3168">
        <f t="shared" ref="T13" si="17">ROUND(100/S12,4)</f>
        <v>0.98619999999999997</v>
      </c>
      <c r="U13" s="3168">
        <f t="shared" ref="U13" si="18">ROUND(100/T12,4)</f>
        <v>0.97750000000000004</v>
      </c>
      <c r="V13" s="3168">
        <f t="shared" ref="V13" si="19">ROUND(100/U12,4)</f>
        <v>0.96430000000000005</v>
      </c>
      <c r="W13" s="3168">
        <f t="shared" ref="W13" si="20">ROUND(100/V12,4)</f>
        <v>0.94069999999999998</v>
      </c>
      <c r="X13" s="3168">
        <f t="shared" ref="X13" si="21">ROUND(100/W12,4)</f>
        <v>0.96899999999999997</v>
      </c>
    </row>
    <row r="14" spans="1:24">
      <c r="A14" s="3171">
        <v>1</v>
      </c>
      <c r="B14" s="3169">
        <f>ROUND(A14*B13,4)</f>
        <v>1.004</v>
      </c>
      <c r="C14" s="3169">
        <f t="shared" ref="C14:X14" si="22">ROUND(B14*C13,4)</f>
        <v>1.0089999999999999</v>
      </c>
      <c r="D14" s="3169">
        <f t="shared" si="22"/>
        <v>1.014</v>
      </c>
      <c r="E14" s="3169">
        <f t="shared" si="22"/>
        <v>1.0201</v>
      </c>
      <c r="F14" s="3169">
        <f t="shared" si="22"/>
        <v>1.0294000000000001</v>
      </c>
      <c r="G14" s="3169">
        <f t="shared" si="22"/>
        <v>1.0377000000000001</v>
      </c>
      <c r="H14" s="3169">
        <f t="shared" si="22"/>
        <v>1.0491999999999999</v>
      </c>
      <c r="I14" s="3169">
        <f t="shared" si="22"/>
        <v>1.0587</v>
      </c>
      <c r="J14" s="3174">
        <f t="shared" si="22"/>
        <v>1.0587</v>
      </c>
      <c r="K14" s="3169">
        <f t="shared" si="22"/>
        <v>1.0359</v>
      </c>
      <c r="L14" s="3169">
        <f t="shared" si="22"/>
        <v>1.0226</v>
      </c>
      <c r="M14" s="3169">
        <f t="shared" si="22"/>
        <v>1.0145</v>
      </c>
      <c r="N14" s="3169">
        <f t="shared" si="22"/>
        <v>1.0125</v>
      </c>
      <c r="O14" s="3169">
        <f t="shared" si="22"/>
        <v>1.0105</v>
      </c>
      <c r="P14" s="3169">
        <f t="shared" si="22"/>
        <v>0.99950000000000006</v>
      </c>
      <c r="Q14" s="3169">
        <f t="shared" si="22"/>
        <v>0.9456</v>
      </c>
      <c r="R14" s="3169">
        <f t="shared" si="22"/>
        <v>0.91010000000000002</v>
      </c>
      <c r="S14" s="3169">
        <f t="shared" si="22"/>
        <v>0.89580000000000004</v>
      </c>
      <c r="T14" s="3169">
        <f t="shared" si="22"/>
        <v>0.88339999999999996</v>
      </c>
      <c r="U14" s="3169">
        <f t="shared" si="22"/>
        <v>0.86350000000000005</v>
      </c>
      <c r="V14" s="3169">
        <f t="shared" si="22"/>
        <v>0.8327</v>
      </c>
      <c r="W14" s="3169">
        <f t="shared" si="22"/>
        <v>0.7833</v>
      </c>
      <c r="X14" s="3169">
        <f t="shared" si="22"/>
        <v>0.75900000000000001</v>
      </c>
    </row>
    <row r="15" spans="1:24">
      <c r="A15" s="3171">
        <v>100</v>
      </c>
      <c r="B15" s="3172">
        <f>ROUND(B14*100,1)</f>
        <v>100.4</v>
      </c>
      <c r="C15" s="3172">
        <f t="shared" ref="C15:X15" si="23">ROUND(C14*100,1)</f>
        <v>100.9</v>
      </c>
      <c r="D15" s="3172">
        <f t="shared" si="23"/>
        <v>101.4</v>
      </c>
      <c r="E15" s="3172">
        <f t="shared" si="23"/>
        <v>102</v>
      </c>
      <c r="F15" s="3172">
        <f t="shared" si="23"/>
        <v>102.9</v>
      </c>
      <c r="G15" s="3172">
        <f t="shared" si="23"/>
        <v>103.8</v>
      </c>
      <c r="H15" s="3172">
        <f t="shared" si="23"/>
        <v>104.9</v>
      </c>
      <c r="I15" s="3172">
        <f t="shared" si="23"/>
        <v>105.9</v>
      </c>
      <c r="J15" s="3173">
        <f t="shared" si="23"/>
        <v>105.9</v>
      </c>
      <c r="K15" s="3172">
        <f t="shared" si="23"/>
        <v>103.6</v>
      </c>
      <c r="L15" s="3172">
        <f t="shared" si="23"/>
        <v>102.3</v>
      </c>
      <c r="M15" s="3172">
        <f t="shared" si="23"/>
        <v>101.5</v>
      </c>
      <c r="N15" s="3172">
        <f t="shared" si="23"/>
        <v>101.3</v>
      </c>
      <c r="O15" s="3172">
        <f t="shared" si="23"/>
        <v>101.1</v>
      </c>
      <c r="P15" s="3172">
        <f t="shared" si="23"/>
        <v>100</v>
      </c>
      <c r="Q15" s="3172">
        <f t="shared" si="23"/>
        <v>94.6</v>
      </c>
      <c r="R15" s="3172">
        <f t="shared" si="23"/>
        <v>91</v>
      </c>
      <c r="S15" s="3172">
        <f t="shared" si="23"/>
        <v>89.6</v>
      </c>
      <c r="T15" s="3172">
        <f t="shared" si="23"/>
        <v>88.3</v>
      </c>
      <c r="U15" s="3172">
        <f t="shared" si="23"/>
        <v>86.4</v>
      </c>
      <c r="V15" s="3172">
        <f t="shared" si="23"/>
        <v>83.3</v>
      </c>
      <c r="W15" s="3172">
        <f t="shared" si="23"/>
        <v>78.3</v>
      </c>
      <c r="X15" s="3172">
        <f t="shared" si="23"/>
        <v>75.900000000000006</v>
      </c>
    </row>
    <row r="16" spans="1:24">
      <c r="A16">
        <f ca="1">J16/J15*A15</f>
        <v>36203.021718602453</v>
      </c>
      <c r="B16"/>
      <c r="J16">
        <f ca="1">结果表!G20</f>
        <v>38339</v>
      </c>
    </row>
    <row r="17" spans="1:15">
      <c r="B17"/>
    </row>
    <row r="18" spans="1:15">
      <c r="A18" s="3170">
        <v>42795</v>
      </c>
      <c r="B18" s="3167">
        <v>42767</v>
      </c>
      <c r="C18" s="3167">
        <v>42736</v>
      </c>
      <c r="D18" s="3167">
        <v>42705</v>
      </c>
      <c r="E18" s="3167">
        <v>42675</v>
      </c>
      <c r="F18" s="3167">
        <v>42644</v>
      </c>
      <c r="G18" s="3167">
        <v>42614</v>
      </c>
      <c r="H18" s="3167">
        <v>42583</v>
      </c>
      <c r="I18" s="3167">
        <v>42552</v>
      </c>
      <c r="J18" s="3167">
        <v>42522</v>
      </c>
      <c r="K18" s="3167">
        <v>42491</v>
      </c>
      <c r="L18" s="3167">
        <v>42461</v>
      </c>
      <c r="M18" s="3167">
        <v>42430</v>
      </c>
      <c r="N18" s="3167">
        <v>42401</v>
      </c>
      <c r="O18" s="3167">
        <v>42370</v>
      </c>
    </row>
    <row r="19" spans="1:15">
      <c r="A19" s="3171">
        <v>102.2</v>
      </c>
      <c r="B19" s="3168">
        <v>101.3</v>
      </c>
      <c r="C19" s="3168">
        <v>100.8</v>
      </c>
      <c r="D19" s="3168">
        <v>100.2</v>
      </c>
      <c r="E19" s="3168">
        <v>100.2</v>
      </c>
      <c r="F19" s="3168">
        <v>101.1</v>
      </c>
      <c r="G19" s="3168">
        <v>105.7</v>
      </c>
      <c r="H19" s="3168">
        <v>103.9</v>
      </c>
      <c r="I19" s="3168">
        <v>101.6</v>
      </c>
      <c r="J19" s="3168">
        <v>101.4</v>
      </c>
      <c r="K19" s="3168">
        <v>102.3</v>
      </c>
      <c r="L19" s="3168">
        <v>103.7</v>
      </c>
      <c r="M19" s="3168">
        <v>106.3</v>
      </c>
      <c r="N19" s="3168">
        <v>103.2</v>
      </c>
      <c r="O19" s="3168">
        <v>102.3</v>
      </c>
    </row>
    <row r="20" spans="1:15">
      <c r="A20" s="3171">
        <v>1</v>
      </c>
      <c r="B20" s="3168">
        <f t="shared" ref="B20" si="24">ROUND(100/A19,4)</f>
        <v>0.97850000000000004</v>
      </c>
      <c r="C20" s="3168">
        <f t="shared" ref="C20" si="25">ROUND(100/B19,4)</f>
        <v>0.98719999999999997</v>
      </c>
      <c r="D20" s="3168">
        <f t="shared" ref="D20" si="26">ROUND(100/C19,4)</f>
        <v>0.99209999999999998</v>
      </c>
      <c r="E20" s="3168">
        <f t="shared" ref="E20" si="27">ROUND(100/D19,4)</f>
        <v>0.998</v>
      </c>
      <c r="F20" s="3168">
        <f t="shared" ref="F20" si="28">ROUND(100/E19,4)</f>
        <v>0.998</v>
      </c>
      <c r="G20" s="3168">
        <f t="shared" ref="G20" si="29">ROUND(100/F19,4)</f>
        <v>0.98909999999999998</v>
      </c>
      <c r="H20" s="3168">
        <f t="shared" ref="H20" si="30">ROUND(100/G19,4)</f>
        <v>0.94610000000000005</v>
      </c>
      <c r="I20" s="3168">
        <f t="shared" ref="I20" si="31">ROUND(100/H19,4)</f>
        <v>0.96250000000000002</v>
      </c>
      <c r="J20" s="3168">
        <f t="shared" ref="J20" si="32">ROUND(100/I19,4)</f>
        <v>0.98429999999999995</v>
      </c>
      <c r="K20" s="3168">
        <f t="shared" ref="K20" si="33">ROUND(100/J19,4)</f>
        <v>0.98619999999999997</v>
      </c>
      <c r="L20" s="3168">
        <f t="shared" ref="L20" si="34">ROUND(100/K19,4)</f>
        <v>0.97750000000000004</v>
      </c>
      <c r="M20" s="3168">
        <f t="shared" ref="M20" si="35">ROUND(100/L19,4)</f>
        <v>0.96430000000000005</v>
      </c>
      <c r="N20" s="3168">
        <f t="shared" ref="N20" si="36">ROUND(100/M19,4)</f>
        <v>0.94069999999999998</v>
      </c>
      <c r="O20" s="3168">
        <f t="shared" ref="O20" si="37">ROUND(100/N19,4)</f>
        <v>0.96899999999999997</v>
      </c>
    </row>
    <row r="21" spans="1:15">
      <c r="A21" s="3174">
        <v>1</v>
      </c>
      <c r="B21" s="3169">
        <f t="shared" ref="B21" si="38">ROUND(A21*B20,4)</f>
        <v>0.97850000000000004</v>
      </c>
      <c r="C21" s="3169">
        <f t="shared" ref="C21" si="39">ROUND(B21*C20,4)</f>
        <v>0.96599999999999997</v>
      </c>
      <c r="D21" s="3169">
        <f t="shared" ref="D21" si="40">ROUND(C21*D20,4)</f>
        <v>0.95840000000000003</v>
      </c>
      <c r="E21" s="3169">
        <f t="shared" ref="E21" si="41">ROUND(D21*E20,4)</f>
        <v>0.95650000000000002</v>
      </c>
      <c r="F21" s="3169">
        <f t="shared" ref="F21" si="42">ROUND(E21*F20,4)</f>
        <v>0.9546</v>
      </c>
      <c r="G21" s="3169">
        <f t="shared" ref="G21" si="43">ROUND(F21*G20,4)</f>
        <v>0.94420000000000004</v>
      </c>
      <c r="H21" s="3169">
        <f t="shared" ref="H21" si="44">ROUND(G21*H20,4)</f>
        <v>0.89329999999999998</v>
      </c>
      <c r="I21" s="3169">
        <f t="shared" ref="I21" si="45">ROUND(H21*I20,4)</f>
        <v>0.85980000000000001</v>
      </c>
      <c r="J21" s="3169">
        <f t="shared" ref="J21" si="46">ROUND(I21*J20,4)</f>
        <v>0.84630000000000005</v>
      </c>
      <c r="K21" s="3169">
        <f t="shared" ref="K21" si="47">ROUND(J21*K20,4)</f>
        <v>0.83460000000000001</v>
      </c>
      <c r="L21" s="3169">
        <f t="shared" ref="L21" si="48">ROUND(K21*L20,4)</f>
        <v>0.81579999999999997</v>
      </c>
      <c r="M21" s="3169">
        <f t="shared" ref="M21" si="49">ROUND(L21*M20,4)</f>
        <v>0.78669999999999995</v>
      </c>
      <c r="N21" s="3169">
        <f t="shared" ref="N21" si="50">ROUND(M21*N20,4)</f>
        <v>0.74</v>
      </c>
      <c r="O21" s="3169">
        <f t="shared" ref="O21" si="51">ROUND(N21*O20,4)</f>
        <v>0.71709999999999996</v>
      </c>
    </row>
    <row r="22" spans="1:15">
      <c r="A22" s="3173">
        <v>100</v>
      </c>
      <c r="B22" s="3172">
        <f t="shared" ref="B22" si="52">ROUND(B21*100,1)</f>
        <v>97.9</v>
      </c>
      <c r="C22" s="3172">
        <f t="shared" ref="C22" si="53">ROUND(C21*100,1)</f>
        <v>96.6</v>
      </c>
      <c r="D22" s="3172">
        <f t="shared" ref="D22" si="54">ROUND(D21*100,1)</f>
        <v>95.8</v>
      </c>
      <c r="E22" s="3172">
        <f t="shared" ref="E22" si="55">ROUND(E21*100,1)</f>
        <v>95.7</v>
      </c>
      <c r="F22" s="3172">
        <f t="shared" ref="F22" si="56">ROUND(F21*100,1)</f>
        <v>95.5</v>
      </c>
      <c r="G22" s="3172">
        <f t="shared" ref="G22" si="57">ROUND(G21*100,1)</f>
        <v>94.4</v>
      </c>
      <c r="H22" s="3172">
        <f t="shared" ref="H22" si="58">ROUND(H21*100,1)</f>
        <v>89.3</v>
      </c>
      <c r="I22" s="3172">
        <f t="shared" ref="I22" si="59">ROUND(I21*100,1)</f>
        <v>86</v>
      </c>
      <c r="J22" s="3172">
        <f t="shared" ref="J22" si="60">ROUND(J21*100,1)</f>
        <v>84.6</v>
      </c>
      <c r="K22" s="3172">
        <f t="shared" ref="K22" si="61">ROUND(K21*100,1)</f>
        <v>83.5</v>
      </c>
      <c r="L22" s="3172">
        <f t="shared" ref="L22" si="62">ROUND(L21*100,1)</f>
        <v>81.599999999999994</v>
      </c>
      <c r="M22" s="3172">
        <f t="shared" ref="M22" si="63">ROUND(M21*100,1)</f>
        <v>78.7</v>
      </c>
      <c r="N22" s="3172">
        <f t="shared" ref="N22" si="64">ROUND(N21*100,1)</f>
        <v>74</v>
      </c>
      <c r="O22" s="3172">
        <f t="shared" ref="O22" si="65">ROUND(O21*100,1)</f>
        <v>71.7</v>
      </c>
    </row>
    <row r="23" spans="1:15">
      <c r="B23"/>
    </row>
    <row r="24" spans="1:15">
      <c r="A24">
        <v>30000</v>
      </c>
      <c r="B24">
        <f>A24*J15/100</f>
        <v>31770</v>
      </c>
    </row>
    <row r="25" spans="1:15">
      <c r="B25"/>
    </row>
    <row r="26" spans="1:15">
      <c r="A26" s="3165" t="s">
        <v>3598</v>
      </c>
      <c r="B26"/>
      <c r="E26" s="3165" t="s">
        <v>3599</v>
      </c>
    </row>
    <row r="27" spans="1:15">
      <c r="A27" s="3165" t="s">
        <v>3574</v>
      </c>
      <c r="B27">
        <v>36561</v>
      </c>
      <c r="E27" s="3165" t="s">
        <v>3574</v>
      </c>
      <c r="F27">
        <v>38419</v>
      </c>
    </row>
    <row r="28" spans="1:15">
      <c r="A28" s="3165" t="s">
        <v>3575</v>
      </c>
      <c r="B28">
        <v>37401</v>
      </c>
      <c r="E28" s="3165" t="s">
        <v>3575</v>
      </c>
      <c r="F28">
        <v>39453</v>
      </c>
    </row>
    <row r="29" spans="1:15">
      <c r="A29" s="3165" t="s">
        <v>3576</v>
      </c>
      <c r="B29">
        <v>37653</v>
      </c>
      <c r="E29" s="3165" t="s">
        <v>3576</v>
      </c>
      <c r="F29">
        <v>40059</v>
      </c>
    </row>
    <row r="30" spans="1:15">
      <c r="A30" s="3165" t="s">
        <v>3577</v>
      </c>
      <c r="B30">
        <v>39640</v>
      </c>
      <c r="E30" s="3165" t="s">
        <v>3577</v>
      </c>
      <c r="F30">
        <v>41154</v>
      </c>
    </row>
    <row r="31" spans="1:15">
      <c r="A31" s="3165" t="s">
        <v>3578</v>
      </c>
      <c r="B31">
        <v>40403</v>
      </c>
      <c r="E31" s="3165" t="s">
        <v>3578</v>
      </c>
      <c r="F31">
        <v>41905</v>
      </c>
    </row>
    <row r="32" spans="1:15">
      <c r="A32" s="3165" t="s">
        <v>3579</v>
      </c>
      <c r="B32">
        <v>40762</v>
      </c>
      <c r="E32" s="3165" t="s">
        <v>3579</v>
      </c>
      <c r="F32">
        <v>43366</v>
      </c>
    </row>
    <row r="33" spans="1:6">
      <c r="A33" s="3165" t="s">
        <v>3580</v>
      </c>
      <c r="B33">
        <v>41808</v>
      </c>
      <c r="E33" s="3165" t="s">
        <v>3580</v>
      </c>
      <c r="F33">
        <v>42486</v>
      </c>
    </row>
    <row r="34" spans="1:6">
      <c r="A34" s="3165" t="s">
        <v>3581</v>
      </c>
      <c r="B34">
        <v>42411</v>
      </c>
      <c r="E34" s="3165" t="s">
        <v>3581</v>
      </c>
      <c r="F34">
        <v>43909</v>
      </c>
    </row>
    <row r="35" spans="1:6">
      <c r="A35" s="3165" t="s">
        <v>3582</v>
      </c>
      <c r="B35">
        <v>45417</v>
      </c>
      <c r="E35" s="3165" t="s">
        <v>3582</v>
      </c>
      <c r="F35">
        <v>46946</v>
      </c>
    </row>
    <row r="36" spans="1:6">
      <c r="A36" s="3165" t="s">
        <v>3583</v>
      </c>
      <c r="B36">
        <v>52172</v>
      </c>
      <c r="E36" s="3165" t="s">
        <v>3583</v>
      </c>
      <c r="F36">
        <v>52988</v>
      </c>
    </row>
    <row r="37" spans="1:6">
      <c r="A37" s="3165" t="s">
        <v>3584</v>
      </c>
      <c r="B37">
        <v>55707</v>
      </c>
      <c r="E37" s="3165" t="s">
        <v>3584</v>
      </c>
      <c r="F37">
        <v>57025</v>
      </c>
    </row>
    <row r="38" spans="1:6">
      <c r="A38" s="3165" t="s">
        <v>3585</v>
      </c>
      <c r="B38">
        <v>56266</v>
      </c>
      <c r="E38" s="3165" t="s">
        <v>3585</v>
      </c>
      <c r="F38">
        <v>58590</v>
      </c>
    </row>
    <row r="39" spans="1:6">
      <c r="A39" s="3165" t="s">
        <v>3586</v>
      </c>
      <c r="B39">
        <v>55969</v>
      </c>
      <c r="E39" s="3165" t="s">
        <v>3586</v>
      </c>
      <c r="F39">
        <v>57404</v>
      </c>
    </row>
    <row r="40" spans="1:6">
      <c r="A40" s="3165" t="s">
        <v>3587</v>
      </c>
      <c r="B40">
        <v>58164</v>
      </c>
      <c r="E40" s="3165" t="s">
        <v>3587</v>
      </c>
      <c r="F40">
        <v>60291</v>
      </c>
    </row>
    <row r="41" spans="1:6">
      <c r="A41" s="3166" t="s">
        <v>3588</v>
      </c>
      <c r="B41" s="3162">
        <v>61171</v>
      </c>
      <c r="E41" s="3166" t="s">
        <v>3588</v>
      </c>
      <c r="F41" s="3162">
        <v>63735</v>
      </c>
    </row>
    <row r="42" spans="1:6">
      <c r="A42" s="3165" t="s">
        <v>3589</v>
      </c>
      <c r="B42">
        <v>63742</v>
      </c>
      <c r="E42" s="3165" t="s">
        <v>3589</v>
      </c>
      <c r="F42">
        <v>67349</v>
      </c>
    </row>
    <row r="43" spans="1:6">
      <c r="A43" s="3165" t="s">
        <v>3590</v>
      </c>
      <c r="B43">
        <v>63875</v>
      </c>
      <c r="E43" s="3165" t="s">
        <v>3590</v>
      </c>
      <c r="F43">
        <v>67129</v>
      </c>
    </row>
    <row r="44" spans="1:6">
      <c r="A44" s="3165" t="s">
        <v>3591</v>
      </c>
      <c r="B44">
        <v>62859</v>
      </c>
      <c r="E44" s="3165" t="s">
        <v>3591</v>
      </c>
      <c r="F44">
        <v>66013</v>
      </c>
    </row>
    <row r="45" spans="1:6">
      <c r="A45" s="3165" t="s">
        <v>3592</v>
      </c>
      <c r="B45">
        <v>59079</v>
      </c>
      <c r="E45" s="3165" t="s">
        <v>3592</v>
      </c>
      <c r="F45">
        <v>65087</v>
      </c>
    </row>
    <row r="46" spans="1:6">
      <c r="A46" s="3165" t="s">
        <v>3593</v>
      </c>
      <c r="B46">
        <v>57876</v>
      </c>
      <c r="E46" s="3165" t="s">
        <v>3593</v>
      </c>
      <c r="F46">
        <v>63156</v>
      </c>
    </row>
    <row r="47" spans="1:6">
      <c r="A47" s="3165" t="s">
        <v>3594</v>
      </c>
      <c r="B47">
        <v>57283</v>
      </c>
      <c r="E47" s="3165" t="s">
        <v>3594</v>
      </c>
      <c r="F47">
        <v>62696</v>
      </c>
    </row>
    <row r="48" spans="1:6">
      <c r="A48" s="3165" t="s">
        <v>3595</v>
      </c>
      <c r="B48">
        <v>57750</v>
      </c>
      <c r="E48" s="3165" t="s">
        <v>3595</v>
      </c>
      <c r="F48">
        <v>62973</v>
      </c>
    </row>
    <row r="49" spans="1:7">
      <c r="A49" s="3165" t="s">
        <v>3596</v>
      </c>
      <c r="B49">
        <v>56790</v>
      </c>
      <c r="E49" s="3165" t="s">
        <v>3596</v>
      </c>
      <c r="F49">
        <v>61007</v>
      </c>
    </row>
    <row r="50" spans="1:7">
      <c r="A50" s="3166" t="s">
        <v>3597</v>
      </c>
      <c r="B50" s="3162">
        <v>58169</v>
      </c>
      <c r="C50">
        <f>(B41-B50)/B50</f>
        <v>5.1608244941463668E-2</v>
      </c>
      <c r="E50" s="3166" t="s">
        <v>3597</v>
      </c>
      <c r="F50" s="3162">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35" sqref="E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3386</v>
      </c>
      <c r="D1" s="1271" t="s">
        <v>43</v>
      </c>
      <c r="E1" s="1272" t="s">
        <v>678</v>
      </c>
      <c r="F1" s="999">
        <f ca="1">J53</f>
        <v>56.21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494.22089999999997</v>
      </c>
      <c r="C2" s="1289" t="s">
        <v>879</v>
      </c>
      <c r="D2" s="1375">
        <f ca="1">C40+J29+L46</f>
        <v>4942209</v>
      </c>
      <c r="E2" s="1295" t="s">
        <v>880</v>
      </c>
      <c r="F2" s="1296"/>
      <c r="G2" s="2478"/>
      <c r="H2" s="2468"/>
      <c r="I2" s="2468"/>
      <c r="J2" s="2468"/>
      <c r="K2" s="2469"/>
      <c r="L2" s="2468"/>
      <c r="M2" s="2468"/>
    </row>
    <row r="3" spans="1:37" ht="18" customHeight="1" thickBot="1">
      <c r="A3" s="1297" t="s">
        <v>881</v>
      </c>
      <c r="B3" s="1298">
        <f ca="1">IF(ISERROR(D2/F43),0,ROUND(D2/F43,0))</f>
        <v>16818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162203</v>
      </c>
      <c r="D5" s="1273" t="s">
        <v>889</v>
      </c>
      <c r="E5" s="1008"/>
      <c r="F5" s="1009"/>
      <c r="G5" s="1292"/>
      <c r="H5" s="291">
        <v>1</v>
      </c>
      <c r="I5" s="292" t="s">
        <v>888</v>
      </c>
      <c r="J5" s="1007">
        <f ca="1">J6+J10+J12</f>
        <v>0</v>
      </c>
      <c r="K5" s="1273" t="s">
        <v>889</v>
      </c>
      <c r="L5" s="1008"/>
      <c r="M5" s="1009"/>
    </row>
    <row r="6" spans="1:37" ht="18" customHeight="1">
      <c r="A6" s="1006" t="s">
        <v>398</v>
      </c>
      <c r="B6" s="3398" t="s">
        <v>694</v>
      </c>
      <c r="C6" s="1011">
        <f ca="1">ROUND(F6*F8*F7*(1-F9),0)</f>
        <v>162000</v>
      </c>
      <c r="D6" s="147" t="s">
        <v>2105</v>
      </c>
      <c r="E6" s="294" t="s">
        <v>696</v>
      </c>
      <c r="F6" s="3277">
        <f ca="1">INDIRECT("'数据-取费表'!u"&amp;$G$1)</f>
        <v>15000</v>
      </c>
      <c r="G6" s="1292"/>
      <c r="H6" s="1006" t="s">
        <v>398</v>
      </c>
      <c r="I6" s="3398" t="s">
        <v>694</v>
      </c>
      <c r="J6" s="293">
        <f ca="1">ROUND(M6*M8*M7*(1-M9),0)</f>
        <v>0</v>
      </c>
      <c r="K6" s="1284" t="s">
        <v>2106</v>
      </c>
      <c r="L6" s="294" t="s">
        <v>696</v>
      </c>
      <c r="M6" s="295">
        <f ca="1">INDIRECT("'数据-取费表'!z"&amp;$G$1)</f>
        <v>0</v>
      </c>
    </row>
    <row r="7" spans="1:37" ht="18" customHeight="1">
      <c r="A7" s="1010"/>
      <c r="B7" s="3399"/>
      <c r="C7" s="1012"/>
      <c r="D7" s="299"/>
      <c r="E7" s="1013" t="s">
        <v>697</v>
      </c>
      <c r="F7" s="295">
        <f ca="1">IF(INDIRECT("'数据-取费表'!ah"&amp;$G$1)="",INDIRECT("'数据-取费表'!k"&amp;$G$1),INDIRECT("'数据-取费表'!ah"&amp;$G$1))</f>
        <v>1</v>
      </c>
      <c r="G7" s="1292"/>
      <c r="H7" s="296"/>
      <c r="I7" s="3399"/>
      <c r="J7" s="298"/>
      <c r="K7" s="299"/>
      <c r="L7" s="294" t="s">
        <v>697</v>
      </c>
      <c r="M7" s="295">
        <f ca="1">F7</f>
        <v>1</v>
      </c>
    </row>
    <row r="8" spans="1:37" ht="18" customHeight="1">
      <c r="A8" s="296"/>
      <c r="B8" s="3399"/>
      <c r="C8" s="298"/>
      <c r="D8" s="299"/>
      <c r="E8" s="294" t="s">
        <v>698</v>
      </c>
      <c r="F8" s="295">
        <f ca="1">INDIRECT("'数据-取费表'!ai"&amp;$G$1)</f>
        <v>12</v>
      </c>
      <c r="G8" s="1292"/>
      <c r="H8" s="296"/>
      <c r="I8" s="3399"/>
      <c r="J8" s="298"/>
      <c r="K8" s="299"/>
      <c r="L8" s="294" t="s">
        <v>698</v>
      </c>
      <c r="M8" s="295">
        <f ca="1">INDIRECT("'数据-取费表'!ai"&amp;$G$1)</f>
        <v>12</v>
      </c>
    </row>
    <row r="9" spans="1:37" ht="18" customHeight="1">
      <c r="A9" s="296"/>
      <c r="B9" s="3400"/>
      <c r="C9" s="298"/>
      <c r="D9" s="299"/>
      <c r="E9" s="294" t="s">
        <v>699</v>
      </c>
      <c r="F9" s="304">
        <f ca="1">INDIRECT("'数据-取费表'!w"&amp;$G$1)</f>
        <v>0.1</v>
      </c>
      <c r="G9" s="1292"/>
      <c r="H9" s="296"/>
      <c r="I9" s="3400"/>
      <c r="J9" s="298"/>
      <c r="K9" s="299"/>
      <c r="L9" s="305" t="s">
        <v>699</v>
      </c>
      <c r="M9" s="306">
        <f ca="1">INDIRECT("'数据-取费表'!ab"&amp;$G$1)</f>
        <v>0</v>
      </c>
    </row>
    <row r="10" spans="1:37" ht="18" customHeight="1">
      <c r="A10" s="1006" t="s">
        <v>402</v>
      </c>
      <c r="B10" s="1274" t="s">
        <v>700</v>
      </c>
      <c r="C10" s="308">
        <f ca="1">ROUND(IF(F10="押一",C6/12*F11,IF(F10="押二",C6/12*2*F11,IF(F10="押三",C6/12*3*F11,C11*F11))),0)</f>
        <v>203</v>
      </c>
      <c r="D10" s="150" t="s">
        <v>2115</v>
      </c>
      <c r="E10" s="305" t="s">
        <v>701</v>
      </c>
      <c r="F10" s="1053" t="s">
        <v>3393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1256655</v>
      </c>
      <c r="D13" s="1018" t="s">
        <v>705</v>
      </c>
      <c r="E13" s="1018" t="s">
        <v>706</v>
      </c>
      <c r="F13" s="1019">
        <f ca="1">INDIRECT("'数据-取费表'!y"&amp;$G$1)</f>
        <v>0.84000000000000008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881610</v>
      </c>
      <c r="D14" s="1257" t="s">
        <v>708</v>
      </c>
      <c r="E14" s="1255"/>
      <c r="F14" s="311"/>
      <c r="G14" s="1292"/>
      <c r="H14" s="928" t="s">
        <v>398</v>
      </c>
      <c r="I14" s="294" t="s">
        <v>709</v>
      </c>
      <c r="J14" s="21">
        <f ca="1">C29</f>
        <v>1496018</v>
      </c>
      <c r="K14" s="12"/>
      <c r="L14" s="759"/>
      <c r="M14" s="760"/>
    </row>
    <row r="15" spans="1:37" s="1304" customFormat="1" ht="18" customHeight="1" thickBot="1">
      <c r="A15" s="928" t="s">
        <v>399</v>
      </c>
      <c r="B15" s="294" t="s">
        <v>710</v>
      </c>
      <c r="C15" s="21">
        <f ca="1">ROUND(C14*F15,0)</f>
        <v>44081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44081</v>
      </c>
      <c r="D16" s="294" t="s">
        <v>711</v>
      </c>
      <c r="E16" s="294" t="s">
        <v>712</v>
      </c>
      <c r="F16" s="314">
        <f ca="1">IF(INDIRECT("'数据-取费表'!c"&amp;$G$1)="住宅",'数据-取费表'!B34,0)</f>
        <v>0.05</v>
      </c>
      <c r="G16" s="1292"/>
      <c r="H16" s="1016" t="s">
        <v>393</v>
      </c>
      <c r="I16" s="1017" t="s">
        <v>714</v>
      </c>
      <c r="J16" s="302">
        <f ca="1">ROUND(J17+J22+J23+J24,0)</f>
        <v>7480</v>
      </c>
      <c r="K16" s="1024" t="s">
        <v>715</v>
      </c>
      <c r="L16" s="1025"/>
      <c r="M16" s="1009"/>
    </row>
    <row r="17" spans="1:37" s="1304" customFormat="1" ht="18" customHeight="1">
      <c r="A17" s="928" t="s">
        <v>681</v>
      </c>
      <c r="B17" s="294" t="s">
        <v>716</v>
      </c>
      <c r="C17" s="21">
        <f ca="1">ROUND(F17*(F43+INDIRECT("'数据-取费表'!S"&amp;$G$1)),0)</f>
        <v>58774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1041770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20835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7480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50474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78">
        <f ca="1">'数据-取费表'!B40</f>
        <v>4.7500000000000001E-2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-7480</v>
      </c>
      <c r="K25" s="1032" t="s">
        <v>753</v>
      </c>
      <c r="L25" s="1033"/>
      <c r="M25" s="1034"/>
    </row>
    <row r="26" spans="1:37" ht="18" customHeight="1">
      <c r="A26" s="928" t="s">
        <v>397</v>
      </c>
      <c r="B26" s="294" t="s">
        <v>754</v>
      </c>
      <c r="C26" s="21">
        <f ca="1">ROUND((C19+C20)*F26,0)</f>
        <v>265651</v>
      </c>
      <c r="D26" s="315" t="s">
        <v>755</v>
      </c>
      <c r="E26" s="305" t="s">
        <v>756</v>
      </c>
      <c r="F26" s="3279">
        <f ca="1">INDIRECT("'数据-取费表'!q"&amp;$G$1)</f>
        <v>0.25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1496018</v>
      </c>
      <c r="D29" s="1029"/>
      <c r="E29" s="1027"/>
      <c r="F29" s="1030"/>
      <c r="G29" s="1303"/>
      <c r="H29" s="325" t="s">
        <v>396</v>
      </c>
      <c r="I29" s="326" t="s">
        <v>768</v>
      </c>
      <c r="J29" s="327">
        <f ca="1">ROUND(J26/(1+F40)^F41,0)</f>
        <v>0</v>
      </c>
      <c r="K29" s="328" t="s">
        <v>769</v>
      </c>
      <c r="L29" s="329"/>
      <c r="M29" s="330">
        <f ca="1">INDIRECT("'数据-取费表'!k"&amp;$G$1)</f>
        <v>293.87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13405</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3857</v>
      </c>
      <c r="D31" s="1257" t="s">
        <v>720</v>
      </c>
      <c r="E31" s="1256" t="s">
        <v>770</v>
      </c>
      <c r="F31" s="2138">
        <f ca="1">IF(项目基本情况!B11="企业","——",IF(M47="住宅",IF(F6*F7*F8/12/(1+'数据-取费表'!F30)&gt;100000,4%,2.5%),IF(F6*F7*F8/12/(1+'数据-取费表'!F30)&gt;100000,12%,7%)))</f>
        <v>2.5000000000000001E-2</v>
      </c>
      <c r="G31" s="1292"/>
      <c r="H31" s="2569" t="s">
        <v>2309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7480</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1257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811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148798</v>
      </c>
      <c r="D39" s="1032" t="s">
        <v>773</v>
      </c>
      <c r="E39" s="1033"/>
      <c r="F39" s="1034"/>
      <c r="G39" s="1292"/>
      <c r="H39" s="2473"/>
      <c r="I39" s="1305"/>
      <c r="J39" s="1306"/>
      <c r="K39" s="2471"/>
      <c r="L39" s="2473"/>
      <c r="M39" s="2473"/>
    </row>
    <row r="40" spans="1:18" ht="18" customHeight="1">
      <c r="A40" s="291" t="s">
        <v>395</v>
      </c>
      <c r="B40" s="292" t="s">
        <v>774</v>
      </c>
      <c r="C40" s="293">
        <f ca="1">ROUND(C39*(1-((1+F42)/(1+F40))^F41)/(F40-F42),0)</f>
        <v>4942209</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80">
        <f ca="1">IF(INDIRECT("'数据-取费表'!af"&amp;$G$1)=0,INDIRECT("'数据-取费表'!ae"&amp;$G$1),INDIRECT("'数据-取费表'!af"&amp;$G$1))</f>
        <v>56.21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16818</v>
      </c>
      <c r="D43" s="328" t="s">
        <v>777</v>
      </c>
      <c r="E43" s="329" t="s">
        <v>778</v>
      </c>
      <c r="F43" s="330">
        <f ca="1">INDIRECT("'数据-取费表'!k"&amp;$G$1)</f>
        <v>293.87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-513.65430000000003</v>
      </c>
      <c r="D45" s="3130" t="s">
        <v>3354</v>
      </c>
      <c r="E45" s="1307"/>
      <c r="F45" s="1307"/>
      <c r="O45" s="1310" t="s">
        <v>808</v>
      </c>
      <c r="P45" s="1366"/>
      <c r="Q45" s="1366"/>
      <c r="R45" s="1366"/>
    </row>
    <row r="46" spans="1:18" s="1292" customFormat="1" ht="13.8" thickBot="1">
      <c r="A46" s="1311" t="s">
        <v>809</v>
      </c>
      <c r="C46" s="1312">
        <f ca="1">ROUND(C45,0)</f>
        <v>-514</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3394</v>
      </c>
      <c r="K47" s="1323" t="s">
        <v>816</v>
      </c>
      <c r="L47" s="1324">
        <f ca="1">INDIRECT("'数据-取费表'!d"&amp;$G$1)</f>
        <v>70</v>
      </c>
      <c r="M47" s="1288" t="str">
        <f>IF(ISNUMBER(FIND("住宅",C1)),"住宅","非住宅")</f>
        <v>住宅</v>
      </c>
      <c r="O47" s="1325" t="s">
        <v>403</v>
      </c>
      <c r="P47" s="1326" t="s">
        <v>817</v>
      </c>
      <c r="Q47" s="1327">
        <f ca="1">C40+J29</f>
        <v>4942209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3395</v>
      </c>
      <c r="K48" s="1330" t="s">
        <v>820</v>
      </c>
      <c r="L48" s="1331">
        <f ca="1">INDIRECT("'数据-取费表'!f"&amp;$G$1)</f>
        <v>56.21</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1496018</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1432342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v>0.05</v>
      </c>
      <c r="O52" s="1334" t="s">
        <v>408</v>
      </c>
      <c r="P52" s="1326" t="s">
        <v>834</v>
      </c>
      <c r="Q52" s="1327">
        <f ca="1">J53</f>
        <v>56.21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56.21</v>
      </c>
      <c r="K53" s="3396" t="s">
        <v>837</v>
      </c>
      <c r="L53" s="3397"/>
      <c r="O53" s="1325" t="s">
        <v>409</v>
      </c>
      <c r="P53" s="1326" t="s">
        <v>838</v>
      </c>
      <c r="Q53" s="1327">
        <f ca="1">Q47+Q48</f>
        <v>4942209</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3397</v>
      </c>
      <c r="O55" s="1318" t="s">
        <v>811</v>
      </c>
      <c r="P55" s="1319" t="s">
        <v>812</v>
      </c>
      <c r="Q55" s="1320" t="s">
        <v>813</v>
      </c>
      <c r="R55" s="1320" t="s">
        <v>814</v>
      </c>
    </row>
    <row r="56" spans="1:18" s="1292" customFormat="1" ht="36" customHeight="1" thickTop="1" thickBot="1">
      <c r="A56" s="903">
        <v>2</v>
      </c>
      <c r="B56" s="904" t="s">
        <v>704</v>
      </c>
      <c r="C56" s="224">
        <f ca="1">C13</f>
        <v>1256655</v>
      </c>
      <c r="D56" s="1352"/>
      <c r="E56" s="1353"/>
      <c r="F56" s="1345"/>
      <c r="I56" s="1354" t="s">
        <v>842</v>
      </c>
      <c r="J56" s="1355" t="s">
        <v>3396</v>
      </c>
      <c r="K56" s="1328" t="s">
        <v>843</v>
      </c>
      <c r="L56" s="1331">
        <f ca="1">IF(L48&lt;J51,"——",L48-J51)</f>
        <v>7.2100000000000009</v>
      </c>
      <c r="O56" s="1325" t="s">
        <v>403</v>
      </c>
      <c r="P56" s="1326" t="s">
        <v>817</v>
      </c>
      <c r="Q56" s="1327">
        <f ca="1">C40+J29</f>
        <v>4942209</v>
      </c>
      <c r="R56" s="1327" t="s">
        <v>818</v>
      </c>
    </row>
    <row r="57" spans="1:18" s="1292" customFormat="1" ht="24.6" thickBot="1">
      <c r="A57" s="1356"/>
      <c r="B57" s="896" t="s">
        <v>767</v>
      </c>
      <c r="C57" s="230">
        <f ca="1">C29</f>
        <v>1496018</v>
      </c>
      <c r="D57" s="1357"/>
      <c r="E57" s="1358"/>
      <c r="F57" s="1359"/>
      <c r="I57" s="1360" t="s">
        <v>844</v>
      </c>
      <c r="J57" s="1361" t="str">
        <f ca="1">IF(OR(M47="住宅",J51&lt;L48,J56="是"),"——",J51-L48)</f>
        <v>——</v>
      </c>
      <c r="K57" s="1328" t="s">
        <v>892</v>
      </c>
      <c r="L57" s="1331">
        <f ca="1">IF(L48&lt;J51,"——",IF(L55="比较法",L49,IF(L55="基准地价",L50,L51)))</f>
        <v>1432342</v>
      </c>
      <c r="O57" s="1325" t="s">
        <v>404</v>
      </c>
      <c r="P57" s="1326" t="s">
        <v>893</v>
      </c>
      <c r="Q57" s="1327">
        <f ca="1">L60</f>
        <v>0</v>
      </c>
      <c r="R57" s="1327" t="s">
        <v>894</v>
      </c>
    </row>
    <row r="58" spans="1:18" s="1292" customFormat="1" ht="24.6" thickBot="1">
      <c r="A58" s="307" t="s">
        <v>393</v>
      </c>
      <c r="B58" s="904" t="s">
        <v>714</v>
      </c>
      <c r="C58" s="308">
        <f ca="1">ROUND(C59+C64+C65+C66,0)</f>
        <v>8737</v>
      </c>
      <c r="D58" s="906" t="s">
        <v>715</v>
      </c>
      <c r="E58" s="907"/>
      <c r="F58" s="908"/>
      <c r="I58" s="1360" t="s">
        <v>848</v>
      </c>
      <c r="J58" s="1362" t="e">
        <f ca="1">IF(J55&lt;0.4,0.4,J55)</f>
        <v>#VALUE!</v>
      </c>
      <c r="K58" s="1339" t="s">
        <v>895</v>
      </c>
      <c r="L58" s="1331">
        <f ca="1">ROUND(POWER(1+L52,L47-L48)*(POWER(1+L52,L48)-1)/(POWER(1+L52,L47)-1),4)</f>
        <v>0.96740000000000004</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0.93930000000000002</v>
      </c>
      <c r="M59" s="1289">
        <f ca="1">ROUND(POWER(1+L52,L47-(J51+'数据-取费表'!B24))*(POWER(1+L52,(J51+'数据-取费表'!B24))-1)/(POWER(1+L52,L47)-1),4)</f>
        <v>0.93930000000000002</v>
      </c>
      <c r="N59" s="1289">
        <f ca="1">ROUND(POWER(1+L52,L47-(J51+'数据-取费表'!B20))*(POWER(1+L52,(J51+'数据-取费表'!B20))-1)/(POWER(1+L52,L47)-1),4)</f>
        <v>0.94810000000000005</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0.96740000000000004</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f ca="1">L59</f>
        <v>0.93930000000000002</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4942209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7480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1257</v>
      </c>
      <c r="D65" s="910" t="s">
        <v>743</v>
      </c>
      <c r="E65" s="896" t="s">
        <v>744</v>
      </c>
      <c r="F65" s="321">
        <f t="shared" ca="1" si="0"/>
        <v>1E-3</v>
      </c>
      <c r="I65" s="1367" t="s">
        <v>867</v>
      </c>
      <c r="J65" s="610">
        <v>40</v>
      </c>
      <c r="K65" s="610">
        <v>30</v>
      </c>
      <c r="L65" s="610">
        <v>50</v>
      </c>
      <c r="M65" s="1369">
        <v>0.02</v>
      </c>
      <c r="O65" s="1325" t="s">
        <v>403</v>
      </c>
      <c r="P65" s="1326" t="s">
        <v>868</v>
      </c>
      <c r="Q65" s="1327">
        <f ca="1">C40+J29</f>
        <v>4942209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-8737</v>
      </c>
      <c r="D67" s="909" t="s">
        <v>753</v>
      </c>
      <c r="E67" s="914"/>
      <c r="F67" s="915"/>
      <c r="O67" s="1334" t="s">
        <v>405</v>
      </c>
      <c r="P67" s="1326" t="s">
        <v>850</v>
      </c>
      <c r="Q67" s="1370">
        <f ca="1">L51</f>
        <v>1432342</v>
      </c>
      <c r="R67" s="1327" t="s">
        <v>870</v>
      </c>
    </row>
    <row r="68" spans="1:18" s="1292" customFormat="1" ht="16.2" thickBot="1">
      <c r="A68" s="893" t="s">
        <v>395</v>
      </c>
      <c r="B68" s="894" t="s">
        <v>774</v>
      </c>
      <c r="C68" s="293">
        <f ca="1">ROUND(C67*(1-((1+F70)/(1+F68))^F69)/(F68-F70),0)</f>
        <v>-194334</v>
      </c>
      <c r="D68" s="911" t="s">
        <v>758</v>
      </c>
      <c r="E68" s="896" t="s">
        <v>759</v>
      </c>
      <c r="F68" s="304">
        <f ca="1">F40</f>
        <v>0.04</v>
      </c>
      <c r="O68" s="1334" t="s">
        <v>406</v>
      </c>
      <c r="P68" s="1371" t="s">
        <v>871</v>
      </c>
      <c r="Q68" s="1327">
        <f ca="1">ROUND(Q69-Q70*Q71,0)</f>
        <v>67115</v>
      </c>
      <c r="R68" s="1327" t="s">
        <v>414</v>
      </c>
    </row>
    <row r="69" spans="1:18" s="1292" customFormat="1" ht="13.8" thickBot="1">
      <c r="A69" s="897"/>
      <c r="B69" s="898"/>
      <c r="C69" s="298"/>
      <c r="D69" s="916" t="s">
        <v>762</v>
      </c>
      <c r="E69" s="896" t="s">
        <v>763</v>
      </c>
      <c r="F69" s="324">
        <f ca="1">F41</f>
        <v>56.21</v>
      </c>
      <c r="O69" s="1334" t="s">
        <v>411</v>
      </c>
      <c r="P69" s="1371" t="s">
        <v>872</v>
      </c>
      <c r="Q69" s="1327">
        <f ca="1">C39</f>
        <v>148798</v>
      </c>
      <c r="R69" s="1327" t="s">
        <v>818</v>
      </c>
    </row>
    <row r="70" spans="1:18" s="1292" customFormat="1" ht="13.8" thickBot="1">
      <c r="A70" s="900"/>
      <c r="B70" s="901"/>
      <c r="C70" s="302"/>
      <c r="D70" s="912"/>
      <c r="E70" s="896" t="s">
        <v>766</v>
      </c>
      <c r="F70" s="991"/>
      <c r="O70" s="1334" t="s">
        <v>412</v>
      </c>
      <c r="P70" s="1371" t="s">
        <v>873</v>
      </c>
      <c r="Q70" s="1327">
        <f ca="1">C13</f>
        <v>1256655</v>
      </c>
      <c r="R70" s="1327" t="s">
        <v>818</v>
      </c>
    </row>
    <row r="71" spans="1:18" s="1292" customFormat="1" ht="13.8" thickBot="1">
      <c r="A71" s="917" t="s">
        <v>396</v>
      </c>
      <c r="B71" s="918" t="s">
        <v>776</v>
      </c>
      <c r="C71" s="327">
        <f ca="1">ROUND(C68/F71,0)</f>
        <v>-661</v>
      </c>
      <c r="D71" s="919" t="s">
        <v>777</v>
      </c>
      <c r="E71" s="920" t="s">
        <v>778</v>
      </c>
      <c r="F71" s="330">
        <f ca="1">F43</f>
        <v>293.87</v>
      </c>
      <c r="O71" s="1334" t="s">
        <v>413</v>
      </c>
      <c r="P71" s="1371" t="s">
        <v>874</v>
      </c>
      <c r="Q71" s="1337">
        <f ca="1">C76</f>
        <v>6.5000000000000002E-2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0.96740000000000004</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0.93930000000000002</v>
      </c>
      <c r="R74" s="1327" t="s">
        <v>857</v>
      </c>
    </row>
    <row r="75" spans="1:18" ht="13.8" thickBot="1">
      <c r="A75" s="1292"/>
      <c r="B75" s="331" t="s">
        <v>795</v>
      </c>
      <c r="C75" s="332">
        <f ca="1">ROUND(C13*C76,0)</f>
        <v>81683</v>
      </c>
      <c r="D75" s="1292"/>
      <c r="E75" s="1292"/>
      <c r="F75" s="1292"/>
      <c r="K75" s="1309"/>
      <c r="L75" s="1292"/>
      <c r="O75" s="1325" t="s">
        <v>409</v>
      </c>
      <c r="P75" s="1326" t="s">
        <v>838</v>
      </c>
      <c r="Q75" s="1327">
        <f ca="1">Q65+Q66</f>
        <v>4942209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0.45099999999999996</v>
      </c>
    </row>
    <row r="80" spans="1:18">
      <c r="B80" s="331" t="s">
        <v>800</v>
      </c>
      <c r="C80" s="266">
        <f ca="1">ROUND(C75/C39,3)</f>
        <v>0.54900000000000004</v>
      </c>
    </row>
    <row r="81" spans="2:3">
      <c r="B81" s="262" t="s">
        <v>801</v>
      </c>
      <c r="C81" s="230"/>
    </row>
    <row r="82" spans="2:3">
      <c r="B82" s="265" t="s">
        <v>802</v>
      </c>
      <c r="C82" s="267">
        <f ca="1">1-C83</f>
        <v>0.746</v>
      </c>
    </row>
    <row r="83" spans="2:3">
      <c r="B83" s="265" t="s">
        <v>803</v>
      </c>
      <c r="C83" s="266">
        <f ca="1">ROUND(C13/C40,3)</f>
        <v>0.254</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49" sqref="B49"/>
    </sheetView>
  </sheetViews>
  <sheetFormatPr defaultRowHeight="14.4"/>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26"/>
  <sheetViews>
    <sheetView workbookViewId="0">
      <selection activeCell="L30" sqref="L30"/>
    </sheetView>
  </sheetViews>
  <sheetFormatPr defaultRowHeight="14.4"/>
  <cols>
    <col min="14" max="15" width="10.44140625" bestFit="1" customWidth="1"/>
    <col min="16" max="16" width="11.6640625" bestFit="1" customWidth="1"/>
  </cols>
  <sheetData>
    <row r="1" spans="11:16">
      <c r="K1" s="1405" t="s">
        <v>3390</v>
      </c>
      <c r="L1" s="1405" t="s">
        <v>3391</v>
      </c>
      <c r="M1" s="1405" t="s">
        <v>3392</v>
      </c>
    </row>
    <row r="2" spans="11:16">
      <c r="K2" s="3281">
        <v>126</v>
      </c>
      <c r="L2" s="3281">
        <v>8800</v>
      </c>
      <c r="M2" s="3282">
        <f>L2/K2</f>
        <v>69.841269841269835</v>
      </c>
    </row>
    <row r="3" spans="11:16">
      <c r="K3" s="3281">
        <v>106.33</v>
      </c>
      <c r="L3" s="3281">
        <v>5400</v>
      </c>
      <c r="M3" s="3282">
        <f t="shared" ref="M3:M15" si="0">L3/K3</f>
        <v>50.785291074955332</v>
      </c>
    </row>
    <row r="4" spans="11:16">
      <c r="K4" s="3281">
        <v>106</v>
      </c>
      <c r="L4" s="3281">
        <v>6000</v>
      </c>
      <c r="M4" s="3282">
        <f t="shared" si="0"/>
        <v>56.60377358490566</v>
      </c>
      <c r="N4" s="3264"/>
      <c r="O4" s="3227"/>
      <c r="P4" s="3227"/>
    </row>
    <row r="5" spans="11:16">
      <c r="K5" s="3281">
        <v>114.9</v>
      </c>
      <c r="L5" s="3281">
        <v>11500</v>
      </c>
      <c r="M5" s="3282">
        <f t="shared" si="0"/>
        <v>100.08703220191471</v>
      </c>
    </row>
    <row r="6" spans="11:16">
      <c r="K6" s="3281">
        <v>113</v>
      </c>
      <c r="L6" s="3281">
        <v>8300</v>
      </c>
      <c r="M6" s="3282">
        <f t="shared" si="0"/>
        <v>73.451327433628322</v>
      </c>
    </row>
    <row r="7" spans="11:16">
      <c r="K7" s="3281">
        <v>144.94</v>
      </c>
      <c r="L7" s="3281">
        <v>7800</v>
      </c>
      <c r="M7" s="3282">
        <f t="shared" si="0"/>
        <v>53.815371878018489</v>
      </c>
    </row>
    <row r="8" spans="11:16">
      <c r="K8" s="3281">
        <v>137.49</v>
      </c>
      <c r="L8" s="3281">
        <v>8500</v>
      </c>
      <c r="M8" s="3282">
        <f t="shared" si="0"/>
        <v>61.82267801294639</v>
      </c>
    </row>
    <row r="9" spans="11:16">
      <c r="K9" s="3281">
        <v>92</v>
      </c>
      <c r="L9" s="3281">
        <v>5500</v>
      </c>
      <c r="M9" s="3282">
        <f t="shared" si="0"/>
        <v>59.782608695652172</v>
      </c>
    </row>
    <row r="10" spans="11:16">
      <c r="K10">
        <v>98.82</v>
      </c>
      <c r="L10">
        <v>5000</v>
      </c>
      <c r="M10" s="3282">
        <f t="shared" si="0"/>
        <v>50.597045132564261</v>
      </c>
    </row>
    <row r="11" spans="11:16">
      <c r="K11" s="3271">
        <v>218.68</v>
      </c>
      <c r="L11" s="3271">
        <v>25000</v>
      </c>
      <c r="M11" s="3283">
        <f t="shared" si="0"/>
        <v>114.32229742088897</v>
      </c>
    </row>
    <row r="12" spans="11:16">
      <c r="K12">
        <v>144.94</v>
      </c>
      <c r="L12">
        <v>7800</v>
      </c>
      <c r="M12" s="3282">
        <f t="shared" si="0"/>
        <v>53.815371878018489</v>
      </c>
    </row>
    <row r="13" spans="11:16">
      <c r="K13">
        <v>104</v>
      </c>
      <c r="L13">
        <v>6500</v>
      </c>
      <c r="M13" s="3282">
        <f t="shared" si="0"/>
        <v>62.5</v>
      </c>
    </row>
    <row r="14" spans="11:16">
      <c r="K14" s="3267">
        <v>181.9</v>
      </c>
      <c r="L14" s="3267">
        <v>12500</v>
      </c>
      <c r="M14" s="3283">
        <f t="shared" si="0"/>
        <v>68.719076415612975</v>
      </c>
    </row>
    <row r="15" spans="11:16">
      <c r="K15">
        <v>98</v>
      </c>
      <c r="L15">
        <v>5800</v>
      </c>
      <c r="M15" s="3282">
        <f t="shared" si="0"/>
        <v>59.183673469387756</v>
      </c>
    </row>
    <row r="16" spans="11:16">
      <c r="M16" s="3297">
        <f>SUM(M2:M15)</f>
        <v>935.32681703976334</v>
      </c>
    </row>
    <row r="17" spans="11:14">
      <c r="M17" s="3297">
        <f>AVERAGE(M2:M16)</f>
        <v>124.71024227196844</v>
      </c>
      <c r="N17">
        <f>M17*'数据-汇总表'!E19</f>
        <v>36648.598896463365</v>
      </c>
    </row>
    <row r="19" spans="11:14">
      <c r="K19">
        <v>325</v>
      </c>
      <c r="L19">
        <v>20000</v>
      </c>
      <c r="M19">
        <f>L19/K19</f>
        <v>61.53846153846154</v>
      </c>
    </row>
    <row r="20" spans="11:14">
      <c r="K20">
        <v>326</v>
      </c>
      <c r="L20">
        <v>19000</v>
      </c>
      <c r="M20">
        <f t="shared" ref="M20" si="1">L20/K20</f>
        <v>58.282208588957054</v>
      </c>
    </row>
    <row r="21" spans="11:14">
      <c r="K21">
        <v>205</v>
      </c>
      <c r="L21">
        <v>15000</v>
      </c>
      <c r="M21">
        <f>L21/K21</f>
        <v>73.170731707317074</v>
      </c>
    </row>
    <row r="22" spans="11:14">
      <c r="M22">
        <f>AVERAGE(M19:M21)</f>
        <v>64.330467278245223</v>
      </c>
      <c r="N22">
        <f>M22*'数据-汇总表'!E19</f>
        <v>18904.794419057926</v>
      </c>
    </row>
    <row r="26" spans="11:14">
      <c r="K26">
        <v>220</v>
      </c>
      <c r="L26">
        <v>9999</v>
      </c>
      <c r="M26">
        <f>L26/K26</f>
        <v>45.45</v>
      </c>
    </row>
  </sheetData>
  <phoneticPr fontId="13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141.429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4813</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47019</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47019</v>
      </c>
      <c r="D8" s="214"/>
      <c r="E8" s="212"/>
      <c r="F8" s="213"/>
      <c r="G8" s="1714"/>
    </row>
    <row r="9" spans="1:8" s="206" customFormat="1" ht="13.5" customHeight="1">
      <c r="A9" s="733" t="s">
        <v>355</v>
      </c>
      <c r="B9" s="216" t="s">
        <v>1477</v>
      </c>
      <c r="C9" s="217">
        <f ca="1">ROUND(D9*E9,0)</f>
        <v>47019</v>
      </c>
      <c r="D9" s="795">
        <f ca="1">IF(B1="",'数据-汇总表'!E5,IF(INDIRECT("'数据-取费表'!c"&amp;$G$1)="住宅",INDIRECT("'数据-取费表'!k"&amp;$G$1),0))</f>
        <v>293.87</v>
      </c>
      <c r="E9" s="217">
        <f>'数据-取费表'!B27</f>
        <v>160</v>
      </c>
      <c r="F9" s="213"/>
      <c r="G9" s="218"/>
    </row>
    <row r="10" spans="1:8" s="206" customFormat="1" ht="13.5" customHeight="1">
      <c r="A10" s="733" t="s">
        <v>356</v>
      </c>
      <c r="B10" s="216" t="s">
        <v>1479</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58774</v>
      </c>
      <c r="D19" s="204">
        <f ca="1">D9+D10</f>
        <v>293.87</v>
      </c>
      <c r="E19" s="203">
        <f>'数据-取费表'!B31</f>
        <v>200</v>
      </c>
      <c r="F19" s="223"/>
      <c r="G19" s="1714"/>
    </row>
    <row r="20" spans="1:7" s="206" customFormat="1" ht="13.5" customHeight="1">
      <c r="A20" s="247" t="s">
        <v>1573</v>
      </c>
      <c r="B20" s="202" t="s">
        <v>1574</v>
      </c>
      <c r="C20" s="224">
        <f ca="1">ROUND((C5+C19)*F20,0)</f>
        <v>2116</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10390</v>
      </c>
      <c r="D22" s="227">
        <f ca="1">C26</f>
        <v>1E-3</v>
      </c>
      <c r="E22" s="228" t="s">
        <v>1578</v>
      </c>
      <c r="F22" s="229">
        <f ca="1">'数据-取费表'!B40</f>
        <v>4.7500000000000001E-2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4573</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5716</v>
      </c>
      <c r="D24" s="230"/>
      <c r="E24" s="230"/>
      <c r="F24" s="231"/>
      <c r="G24" s="232" t="s">
        <v>1585</v>
      </c>
    </row>
    <row r="25" spans="1:7" s="206" customFormat="1" ht="24">
      <c r="A25" s="734" t="s">
        <v>1475</v>
      </c>
      <c r="B25" s="207" t="s">
        <v>1586</v>
      </c>
      <c r="C25" s="230">
        <f ca="1">ROUND(IF('数据-取费表'!B22&lt;=1,C20*F22*'数据-取费表'!B22/2,C20*(POWER((1+F22),'数据-取费表'!B22/2)-1)),0)</f>
        <v>101</v>
      </c>
      <c r="D25" s="230"/>
      <c r="E25" s="233"/>
      <c r="F25" s="231"/>
      <c r="G25" s="234" t="s">
        <v>1587</v>
      </c>
    </row>
    <row r="26" spans="1:7" s="206" customFormat="1">
      <c r="A26" s="734" t="s">
        <v>350</v>
      </c>
      <c r="B26" s="207" t="s">
        <v>1510</v>
      </c>
      <c r="C26" s="230">
        <f ca="1">ROUND(IF('数据-取费表'!B22&lt;=1,F21*F22*'数据-取费表'!B22/2,F21*(POWER((1+F22),'数据-取费表'!B22/2)-1)),4)</f>
        <v>1E-3</v>
      </c>
      <c r="D26" s="230"/>
      <c r="E26" s="233"/>
      <c r="F26" s="231"/>
      <c r="G26" s="235"/>
    </row>
    <row r="27" spans="1:7" s="206" customFormat="1" ht="26.4">
      <c r="A27" s="247" t="s">
        <v>1511</v>
      </c>
      <c r="B27" s="236" t="s">
        <v>1512</v>
      </c>
      <c r="C27" s="237">
        <f ca="1">C28</f>
        <v>26977</v>
      </c>
      <c r="D27" s="227">
        <f ca="1">C29</f>
        <v>5.0000000000000001E-3</v>
      </c>
      <c r="E27" s="228" t="s">
        <v>1513</v>
      </c>
      <c r="F27" s="238">
        <f ca="1">IF(B1="",'数据-取费表'!Q16,INDIRECT("'数据-取费表'!q"&amp;$G$1))</f>
        <v>0.25</v>
      </c>
      <c r="G27" s="239" t="s">
        <v>1514</v>
      </c>
    </row>
    <row r="28" spans="1:7" s="206" customFormat="1" ht="13.5" customHeight="1">
      <c r="A28" s="734" t="s">
        <v>346</v>
      </c>
      <c r="B28" s="240" t="s">
        <v>1515</v>
      </c>
      <c r="C28" s="241">
        <f ca="1">ROUND((C5+C19+C20)*F27,0)</f>
        <v>26977</v>
      </c>
      <c r="D28" s="227"/>
      <c r="E28" s="228"/>
      <c r="F28" s="238"/>
      <c r="G28" s="239"/>
    </row>
    <row r="29" spans="1:7" s="206" customFormat="1" ht="13.5" customHeight="1">
      <c r="A29" s="734" t="s">
        <v>347</v>
      </c>
      <c r="B29" s="240" t="s">
        <v>1516</v>
      </c>
      <c r="C29" s="230">
        <f ca="1">ROUND(C21*F27,4)</f>
        <v>5.0000000000000001E-3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157635</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1041770</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881610</v>
      </c>
      <c r="D34" s="209"/>
      <c r="E34" s="212"/>
      <c r="F34" s="249"/>
      <c r="G34" s="211"/>
    </row>
    <row r="35" spans="1:7" ht="13.5" customHeight="1">
      <c r="A35" s="734" t="s">
        <v>351</v>
      </c>
      <c r="B35" s="207" t="s">
        <v>1526</v>
      </c>
      <c r="C35" s="212">
        <f ca="1">ROUND(C34*F35,0)</f>
        <v>44081</v>
      </c>
      <c r="D35" s="212"/>
      <c r="E35" s="212"/>
      <c r="F35" s="251">
        <f>'数据-取费表'!B33</f>
        <v>0.05</v>
      </c>
      <c r="G35" s="211" t="s">
        <v>1527</v>
      </c>
    </row>
    <row r="36" spans="1:7" ht="24">
      <c r="A36" s="734" t="s">
        <v>352</v>
      </c>
      <c r="B36" s="207" t="s">
        <v>1528</v>
      </c>
      <c r="C36" s="212">
        <f ca="1">ROUND(IF(B1="",SUM('数据-取费表'!AP6:AP13)*F36,IF(INDIRECT("'数据-取费表'!c"&amp;$G$1)="住宅",INDIRECT("'数据-取费表'!k"&amp;$G$1)*INDIRECT("'数据-取费表'!l"&amp;$G$1)*F36,0)),0)</f>
        <v>44081</v>
      </c>
      <c r="D36" s="212"/>
      <c r="E36" s="212"/>
      <c r="F36" s="251">
        <f>'数据-取费表'!B34</f>
        <v>0.05</v>
      </c>
      <c r="G36" s="252" t="s">
        <v>1529</v>
      </c>
    </row>
    <row r="37" spans="1:7" s="250" customFormat="1" ht="13.5" customHeight="1">
      <c r="A37" s="734" t="s">
        <v>353</v>
      </c>
      <c r="B37" s="207" t="s">
        <v>1530</v>
      </c>
      <c r="C37" s="241">
        <f ca="1">ROUND(E37*D37,0)</f>
        <v>58774</v>
      </c>
      <c r="D37" s="209">
        <f ca="1">D19</f>
        <v>293.87</v>
      </c>
      <c r="E37" s="241">
        <f>'数据-取费表'!B35</f>
        <v>200</v>
      </c>
      <c r="F37" s="251"/>
      <c r="G37" s="253"/>
    </row>
    <row r="38" spans="1:7" ht="13.5" customHeight="1">
      <c r="A38" s="734" t="s">
        <v>354</v>
      </c>
      <c r="B38" s="207" t="s">
        <v>1532</v>
      </c>
      <c r="C38" s="212">
        <f ca="1">ROUND(C34*F38,0)</f>
        <v>13224</v>
      </c>
      <c r="D38" s="212"/>
      <c r="E38" s="212"/>
      <c r="F38" s="251">
        <f>'数据-取费表'!B36</f>
        <v>1.4999999999999999E-2</v>
      </c>
      <c r="G38" s="211" t="s">
        <v>1527</v>
      </c>
    </row>
    <row r="39" spans="1:7" s="206" customFormat="1" ht="13.5" customHeight="1">
      <c r="A39" s="247" t="s">
        <v>1533</v>
      </c>
      <c r="B39" s="202" t="s">
        <v>1534</v>
      </c>
      <c r="C39" s="224">
        <f ca="1">ROUND(C33*F20,0)</f>
        <v>20835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50474</v>
      </c>
      <c r="D41" s="227">
        <f ca="1">C44</f>
        <v>1E-3</v>
      </c>
      <c r="E41" s="228" t="s">
        <v>1538</v>
      </c>
      <c r="F41" s="229">
        <f ca="1">F22</f>
        <v>4.7500000000000001E-2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49484</v>
      </c>
      <c r="D42" s="230"/>
      <c r="E42" s="230"/>
      <c r="F42" s="231"/>
      <c r="G42" s="3393" t="s">
        <v>1590</v>
      </c>
    </row>
    <row r="43" spans="1:7" ht="13.5" customHeight="1">
      <c r="A43" s="734" t="s">
        <v>347</v>
      </c>
      <c r="B43" s="207" t="s">
        <v>1544</v>
      </c>
      <c r="C43" s="230">
        <f ca="1">ROUND(IF('数据-取费表'!B22&lt;=1,C39*F22*'数据-取费表'!B20/2,C39*(POWER((1+F22),'数据-取费表'!B20/2)-1)),0)</f>
        <v>990</v>
      </c>
      <c r="D43" s="230"/>
      <c r="E43" s="230"/>
      <c r="F43" s="231"/>
      <c r="G43" s="3394"/>
    </row>
    <row r="44" spans="1:7" ht="13.5" customHeight="1">
      <c r="A44" s="734" t="s">
        <v>348</v>
      </c>
      <c r="B44" s="207" t="s">
        <v>1545</v>
      </c>
      <c r="C44" s="230">
        <f ca="1">ROUND(IF('数据-取费表'!B22&lt;=1,C40*F22*'数据-取费表'!B20/2,C40*(POWER((1+F22),'数据-取费表'!B20/2)-1)),4)</f>
        <v>1E-3</v>
      </c>
      <c r="D44" s="230"/>
      <c r="E44" s="230"/>
      <c r="F44" s="231"/>
      <c r="G44" s="3395"/>
    </row>
    <row r="45" spans="1:7" s="206" customFormat="1" ht="13.5" customHeight="1">
      <c r="A45" s="247" t="s">
        <v>1546</v>
      </c>
      <c r="B45" s="236" t="s">
        <v>1512</v>
      </c>
      <c r="C45" s="237">
        <f ca="1">C46</f>
        <v>265651</v>
      </c>
      <c r="D45" s="227">
        <f ca="1">C47</f>
        <v>5.0000000000000001E-3</v>
      </c>
      <c r="E45" s="228" t="s">
        <v>1538</v>
      </c>
      <c r="F45" s="238">
        <f ca="1">F27</f>
        <v>0.25</v>
      </c>
      <c r="G45" s="239" t="s">
        <v>1547</v>
      </c>
    </row>
    <row r="46" spans="1:7" s="206" customFormat="1" ht="13.5" customHeight="1">
      <c r="A46" s="734" t="s">
        <v>346</v>
      </c>
      <c r="B46" s="240" t="s">
        <v>1548</v>
      </c>
      <c r="C46" s="241">
        <f ca="1">ROUND((C33+C39)*F27,0)</f>
        <v>265651</v>
      </c>
      <c r="D46" s="255"/>
      <c r="E46" s="228"/>
      <c r="F46" s="238"/>
      <c r="G46" s="239"/>
    </row>
    <row r="47" spans="1:7" s="206" customFormat="1" ht="13.5" customHeight="1">
      <c r="A47" s="734" t="s">
        <v>347</v>
      </c>
      <c r="B47" s="240" t="s">
        <v>1549</v>
      </c>
      <c r="C47" s="230">
        <f ca="1">ROUND(C40*F27,4)</f>
        <v>5.0000000000000001E-3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1496018</v>
      </c>
      <c r="D49" s="224"/>
      <c r="E49" s="224"/>
      <c r="F49" s="256"/>
      <c r="G49" s="226" t="s">
        <v>1553</v>
      </c>
    </row>
    <row r="50" spans="1:7" s="250" customFormat="1">
      <c r="A50" s="247" t="s">
        <v>1554</v>
      </c>
      <c r="B50" s="202" t="s">
        <v>1555</v>
      </c>
      <c r="C50" s="224"/>
      <c r="D50" s="224"/>
      <c r="E50" s="224"/>
      <c r="F50" s="256">
        <f>IF('数据-取费表'!B24=0,'数据-取费表'!N16,1)</f>
        <v>0.84</v>
      </c>
      <c r="G50" s="239"/>
    </row>
    <row r="51" spans="1:7" ht="16.5" customHeight="1">
      <c r="A51" s="247" t="s">
        <v>1557</v>
      </c>
      <c r="B51" s="202" t="s">
        <v>1592</v>
      </c>
      <c r="C51" s="224">
        <f ca="1">ROUND(C49*F50,0)</f>
        <v>1256655</v>
      </c>
      <c r="D51" s="224"/>
      <c r="E51" s="224"/>
      <c r="F51" s="256"/>
      <c r="G51" s="226" t="s">
        <v>1559</v>
      </c>
    </row>
    <row r="52" spans="1:7" s="200" customFormat="1" ht="16.8" thickBot="1">
      <c r="A52" s="257" t="s">
        <v>1560</v>
      </c>
      <c r="B52" s="258"/>
      <c r="C52" s="259">
        <f ca="1">C31+C51</f>
        <v>1414290</v>
      </c>
      <c r="D52" s="258"/>
      <c r="E52" s="258"/>
      <c r="F52" s="258"/>
      <c r="G52" s="260"/>
    </row>
    <row r="55" spans="1:7" ht="15">
      <c r="B55" s="262" t="s">
        <v>1561</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3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0"/>
      <c r="C2" s="3310"/>
      <c r="D2" s="3310"/>
      <c r="E2" s="3310"/>
    </row>
    <row r="3" spans="1:5" ht="17.399999999999999">
      <c r="A3" s="3311" t="str">
        <f>IF(项目基本情况!B9="房地产市场价值","估价结果一览表（市场价值不需“结果表-1”）","估价结果一览表")</f>
        <v>估价结果一览表（市场价值不需“结果表-1”）</v>
      </c>
      <c r="B3" s="3311"/>
      <c r="C3" s="3311"/>
      <c r="D3" s="3311"/>
      <c r="E3" s="3311"/>
    </row>
    <row r="4" spans="1:5" ht="18" thickBot="1">
      <c r="A4" s="1391"/>
      <c r="B4" s="3309" t="s">
        <v>917</v>
      </c>
      <c r="C4" s="3309"/>
      <c r="D4" s="3309"/>
      <c r="E4" s="1391"/>
    </row>
    <row r="5" spans="1:5" ht="16.2" thickTop="1">
      <c r="B5" s="3307" t="s">
        <v>909</v>
      </c>
      <c r="C5" s="1392" t="s">
        <v>910</v>
      </c>
      <c r="D5" s="797" t="e">
        <f ca="1">结果表!H101</f>
        <v>#REF!</v>
      </c>
    </row>
    <row r="6" spans="1:5" ht="15.6">
      <c r="B6" s="3307"/>
      <c r="C6" s="1392" t="s">
        <v>911</v>
      </c>
      <c r="D6" s="797" t="e">
        <f ca="1">NUMBERSTRING(INT(D5*10000),2)&amp;"元整"</f>
        <v>#REF!</v>
      </c>
    </row>
    <row r="7" spans="1:5" ht="15.6">
      <c r="B7" s="3312"/>
      <c r="C7" s="1393" t="s">
        <v>912</v>
      </c>
      <c r="D7" s="798" t="e">
        <f ca="1">结果表!H102</f>
        <v>#REF!</v>
      </c>
    </row>
    <row r="8" spans="1:5" ht="15.6">
      <c r="B8" s="3313" t="str">
        <f>结果表!E103</f>
        <v>2.估价师知悉的法定优先受偿款</v>
      </c>
      <c r="C8" s="1394" t="s">
        <v>913</v>
      </c>
      <c r="D8" s="798">
        <f>结果表!H103</f>
        <v>0</v>
      </c>
    </row>
    <row r="9" spans="1:5" ht="15.6">
      <c r="B9" s="331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306" t="str">
        <f>结果表!E107</f>
        <v>3.房地产抵押价值</v>
      </c>
      <c r="C13" s="1397" t="s">
        <v>910</v>
      </c>
      <c r="D13" s="800" t="e">
        <f ca="1">结果表!H107</f>
        <v>#REF!</v>
      </c>
    </row>
    <row r="14" spans="1:5" ht="15.6">
      <c r="B14" s="3307"/>
      <c r="C14" s="1392" t="s">
        <v>911</v>
      </c>
      <c r="D14" s="797" t="e">
        <f ca="1">NUMBERSTRING(INT(D13*10000),2)&amp;"元整"</f>
        <v>#REF!</v>
      </c>
    </row>
    <row r="15" spans="1:5" ht="15.6">
      <c r="B15" s="3312"/>
      <c r="C15" s="1393" t="s">
        <v>921</v>
      </c>
      <c r="D15" s="806" t="e">
        <f ca="1">结果表!H108</f>
        <v>#REF!</v>
      </c>
    </row>
    <row r="16" spans="1:5" ht="15.6">
      <c r="B16" s="3313" t="str">
        <f>结果表!E109</f>
        <v>——</v>
      </c>
      <c r="C16" s="1397" t="s">
        <v>922</v>
      </c>
      <c r="D16" s="1398" t="str">
        <f>结果表!H109</f>
        <v>——</v>
      </c>
    </row>
    <row r="17" spans="1:5" ht="15.6">
      <c r="B17" s="3314"/>
      <c r="C17" s="1392" t="s">
        <v>923</v>
      </c>
      <c r="D17" s="797" t="e">
        <f>NUMBERSTRING(INT(D16*10000),2)&amp;"元整"</f>
        <v>#VALUE!</v>
      </c>
    </row>
    <row r="18" spans="1:5" ht="15.6">
      <c r="B18" s="3315"/>
      <c r="C18" s="1393" t="s">
        <v>912</v>
      </c>
      <c r="D18" s="806" t="str">
        <f>结果表!H110</f>
        <v>——</v>
      </c>
    </row>
    <row r="19" spans="1:5" ht="15.6">
      <c r="B19" s="3306" t="str">
        <f>结果表!E111</f>
        <v>——</v>
      </c>
      <c r="C19" s="1397" t="s">
        <v>910</v>
      </c>
      <c r="D19" s="798" t="str">
        <f>结果表!H111</f>
        <v>——</v>
      </c>
    </row>
    <row r="20" spans="1:5" ht="15.6">
      <c r="B20" s="3307"/>
      <c r="C20" s="1392" t="s">
        <v>923</v>
      </c>
      <c r="D20" s="797" t="e">
        <f>NUMBERSTRING(INT(D19*10000),2)&amp;"元整"</f>
        <v>#VALUE!</v>
      </c>
    </row>
    <row r="21" spans="1:5" ht="16.2" thickBot="1">
      <c r="B21" s="330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293.87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45593</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1126.6682000000001</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3357</v>
      </c>
      <c r="D10" s="2299" t="s">
        <v>3358</v>
      </c>
      <c r="E10" s="3136"/>
      <c r="F10" s="3140" t="s">
        <v>3359</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'数据-汇总表'!E19</f>
        <v>293.87</v>
      </c>
      <c r="C14" s="2305"/>
      <c r="D14" s="2305">
        <f ca="1">结果表!G23/10000</f>
        <v>1126.6682000000001</v>
      </c>
      <c r="E14" s="2305">
        <f ca="1">ROUND(D14*10000/B14,0)</f>
        <v>38339</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1463</v>
      </c>
      <c r="B3" s="536">
        <f>IF(C2="——",C49,ROUND(B2*10000/D3,0))</f>
        <v>0</v>
      </c>
      <c r="C3" s="344" t="s">
        <v>1767</v>
      </c>
      <c r="D3" s="343">
        <f>IF(D1="",'数据-汇总表'!E3,SUMIF('数据-汇总表'!$C19:$C33,D1,'数据-汇总表'!$E19:$E33))</f>
        <v>293.87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37" t="s">
        <v>1774</v>
      </c>
      <c r="Q4" s="3538"/>
      <c r="R4" s="3519" t="s">
        <v>1770</v>
      </c>
      <c r="S4" s="3520"/>
      <c r="T4" s="3519" t="s">
        <v>1771</v>
      </c>
      <c r="U4" s="3520"/>
      <c r="V4" s="3545" t="s">
        <v>1772</v>
      </c>
      <c r="W4" s="3545"/>
      <c r="X4" s="1265"/>
      <c r="Y4" s="3519" t="s">
        <v>1774</v>
      </c>
      <c r="Z4" s="3520"/>
      <c r="AA4" s="3514" t="s">
        <v>1770</v>
      </c>
      <c r="AB4" s="3545" t="s">
        <v>1771</v>
      </c>
      <c r="AC4" s="3514" t="s">
        <v>1772</v>
      </c>
    </row>
    <row r="5" spans="1:29">
      <c r="A5" s="348"/>
      <c r="B5" s="349"/>
      <c r="C5" s="3529" t="s">
        <v>1672</v>
      </c>
      <c r="D5" s="3526"/>
      <c r="E5" s="3523" t="s">
        <v>1673</v>
      </c>
      <c r="F5" s="3524"/>
      <c r="G5" s="3529" t="s">
        <v>1674</v>
      </c>
      <c r="H5" s="3526"/>
      <c r="I5" s="3529" t="s">
        <v>1675</v>
      </c>
      <c r="J5" s="3526"/>
      <c r="K5" s="537"/>
      <c r="L5" s="2486"/>
      <c r="M5" s="2487"/>
      <c r="N5" s="2487"/>
      <c r="O5" s="2487"/>
      <c r="P5" s="3539"/>
      <c r="Q5" s="3540"/>
      <c r="R5" s="3521"/>
      <c r="S5" s="3522"/>
      <c r="T5" s="3521"/>
      <c r="U5" s="3522"/>
      <c r="V5" s="3545"/>
      <c r="W5" s="3545"/>
      <c r="X5" s="1265"/>
      <c r="Y5" s="3521"/>
      <c r="Z5" s="3522"/>
      <c r="AA5" s="3515"/>
      <c r="AB5" s="3545"/>
      <c r="AC5" s="3515"/>
    </row>
    <row r="6" spans="1:29" ht="15" thickBot="1">
      <c r="A6" s="350"/>
      <c r="B6" s="351"/>
      <c r="C6" s="3527" t="s">
        <v>1676</v>
      </c>
      <c r="D6" s="3528"/>
      <c r="E6" s="3530" t="s">
        <v>1676</v>
      </c>
      <c r="F6" s="3531"/>
      <c r="G6" s="3527" t="s">
        <v>1676</v>
      </c>
      <c r="H6" s="3528"/>
      <c r="I6" s="3527" t="s">
        <v>1676</v>
      </c>
      <c r="J6" s="3528"/>
      <c r="K6" s="537" t="s">
        <v>1677</v>
      </c>
      <c r="L6" s="2486"/>
      <c r="M6" s="2487"/>
      <c r="N6" s="2487"/>
      <c r="O6" s="2487"/>
      <c r="P6" s="3541"/>
      <c r="Q6" s="3542"/>
      <c r="R6" s="3521"/>
      <c r="S6" s="3522"/>
      <c r="T6" s="3543"/>
      <c r="U6" s="3544"/>
      <c r="V6" s="3545"/>
      <c r="W6" s="3545"/>
      <c r="X6" s="1265"/>
      <c r="Y6" s="3543"/>
      <c r="Z6" s="3544"/>
      <c r="AA6" s="3516"/>
      <c r="AB6" s="3545"/>
      <c r="AC6" s="3516"/>
    </row>
    <row r="7" spans="1:29" s="102" customFormat="1" ht="15" thickBot="1">
      <c r="A7" s="352" t="s">
        <v>1678</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8"/>
      <c r="M7" s="2439"/>
      <c r="N7" s="2439"/>
      <c r="O7" s="2439"/>
      <c r="P7" s="3517" t="s">
        <v>1679</v>
      </c>
      <c r="Q7" s="3546"/>
      <c r="R7" s="664" t="s">
        <v>14</v>
      </c>
      <c r="S7" s="665">
        <f t="shared" ref="S7:S15" si="0">F7</f>
        <v>0</v>
      </c>
      <c r="T7" s="664" t="s">
        <v>14</v>
      </c>
      <c r="U7" s="665">
        <f t="shared" ref="U7:U15" si="1">H7</f>
        <v>0</v>
      </c>
      <c r="V7" s="664" t="s">
        <v>14</v>
      </c>
      <c r="W7" s="665">
        <f t="shared" ref="W7:W15" si="2">J7</f>
        <v>0</v>
      </c>
      <c r="X7" s="666"/>
      <c r="Y7" s="3517" t="s">
        <v>1679</v>
      </c>
      <c r="Z7" s="3518"/>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517" t="s">
        <v>1682</v>
      </c>
      <c r="Q8" s="3518"/>
      <c r="R8" s="664" t="s">
        <v>14</v>
      </c>
      <c r="S8" s="665">
        <f t="shared" si="0"/>
        <v>100</v>
      </c>
      <c r="T8" s="664" t="s">
        <v>14</v>
      </c>
      <c r="U8" s="665">
        <f t="shared" si="1"/>
        <v>100</v>
      </c>
      <c r="V8" s="664" t="s">
        <v>14</v>
      </c>
      <c r="W8" s="665">
        <f t="shared" si="2"/>
        <v>100</v>
      </c>
      <c r="X8" s="666"/>
      <c r="Y8" s="3517" t="s">
        <v>1682</v>
      </c>
      <c r="Z8" s="3518"/>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32"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32"/>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532"/>
      <c r="Q11" s="530" t="str">
        <f t="shared" si="6"/>
        <v>容积率</v>
      </c>
      <c r="R11" s="664" t="s">
        <v>14</v>
      </c>
      <c r="S11" s="665" t="e">
        <f t="shared" si="0"/>
        <v>#N/A</v>
      </c>
      <c r="T11" s="664" t="s">
        <v>14</v>
      </c>
      <c r="U11" s="665" t="e">
        <f t="shared" si="1"/>
        <v>#N/A</v>
      </c>
      <c r="V11" s="664" t="s">
        <v>14</v>
      </c>
      <c r="W11" s="665" t="e">
        <f t="shared" si="2"/>
        <v>#N/A</v>
      </c>
      <c r="X11" s="666"/>
      <c r="Y11" s="34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32"/>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32"/>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32"/>
      <c r="Q14" s="530">
        <f t="shared" si="6"/>
        <v>111</v>
      </c>
      <c r="R14" s="664" t="s">
        <v>14</v>
      </c>
      <c r="S14" s="665">
        <f t="shared" si="0"/>
        <v>100</v>
      </c>
      <c r="T14" s="664" t="s">
        <v>14</v>
      </c>
      <c r="U14" s="665">
        <f t="shared" si="1"/>
        <v>100</v>
      </c>
      <c r="V14" s="664" t="s">
        <v>14</v>
      </c>
      <c r="W14" s="665">
        <f t="shared" si="2"/>
        <v>100</v>
      </c>
      <c r="X14" s="666"/>
      <c r="Y14" s="3490"/>
      <c r="Z14" s="50">
        <f t="shared" si="7"/>
        <v>111</v>
      </c>
      <c r="AA14" s="50">
        <f t="shared" si="3"/>
        <v>1</v>
      </c>
      <c r="AB14" s="50">
        <f t="shared" si="4"/>
        <v>1</v>
      </c>
      <c r="AC14" s="50">
        <f t="shared" si="5"/>
        <v>1</v>
      </c>
    </row>
    <row r="15" spans="1:29" ht="69">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58" t="s">
        <v>1690</v>
      </c>
      <c r="Q15" s="1263" t="str">
        <f t="shared" si="6"/>
        <v>商业繁华度</v>
      </c>
      <c r="R15" s="667" t="s">
        <v>14</v>
      </c>
      <c r="S15" s="668">
        <f t="shared" si="0"/>
        <v>100</v>
      </c>
      <c r="T15" s="667" t="s">
        <v>14</v>
      </c>
      <c r="U15" s="668">
        <f t="shared" si="1"/>
        <v>100</v>
      </c>
      <c r="V15" s="667" t="s">
        <v>14</v>
      </c>
      <c r="W15" s="668">
        <f t="shared" si="2"/>
        <v>100</v>
      </c>
      <c r="X15" s="1265"/>
      <c r="Y15" s="3551"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559"/>
      <c r="Q16" s="1263"/>
      <c r="R16" s="667"/>
      <c r="S16" s="668"/>
      <c r="T16" s="667"/>
      <c r="U16" s="668"/>
      <c r="V16" s="667"/>
      <c r="W16" s="668"/>
      <c r="X16" s="1265"/>
      <c r="Y16" s="3552"/>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9"/>
      <c r="Q17" s="1263" t="str">
        <f>B17</f>
        <v>交通便捷度</v>
      </c>
      <c r="R17" s="667" t="s">
        <v>14</v>
      </c>
      <c r="S17" s="668">
        <f>F17</f>
        <v>100</v>
      </c>
      <c r="T17" s="667" t="s">
        <v>14</v>
      </c>
      <c r="U17" s="668">
        <f>H17</f>
        <v>100</v>
      </c>
      <c r="V17" s="667" t="s">
        <v>14</v>
      </c>
      <c r="W17" s="668">
        <f>J17</f>
        <v>100</v>
      </c>
      <c r="X17" s="1265"/>
      <c r="Y17" s="35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559"/>
      <c r="Q18" s="1263"/>
      <c r="R18" s="667"/>
      <c r="S18" s="668"/>
      <c r="T18" s="667"/>
      <c r="U18" s="668"/>
      <c r="V18" s="667"/>
      <c r="W18" s="668"/>
      <c r="X18" s="1265"/>
      <c r="Y18" s="3552"/>
      <c r="Z18" s="1264"/>
      <c r="AA18" s="1264">
        <v>1</v>
      </c>
      <c r="AB18" s="1264">
        <v>1</v>
      </c>
      <c r="AC18" s="1264">
        <v>1</v>
      </c>
    </row>
    <row r="19" spans="1:29" ht="41.4">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9"/>
      <c r="Q19" s="1263" t="str">
        <f>B19</f>
        <v>公共配套设施</v>
      </c>
      <c r="R19" s="667" t="s">
        <v>14</v>
      </c>
      <c r="S19" s="668">
        <f>F19</f>
        <v>100</v>
      </c>
      <c r="T19" s="667" t="s">
        <v>14</v>
      </c>
      <c r="U19" s="668">
        <f>H19</f>
        <v>100</v>
      </c>
      <c r="V19" s="667" t="s">
        <v>14</v>
      </c>
      <c r="W19" s="668">
        <f>J19</f>
        <v>100</v>
      </c>
      <c r="X19" s="1265"/>
      <c r="Y19" s="35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559"/>
      <c r="Q20" s="1263"/>
      <c r="R20" s="667"/>
      <c r="S20" s="668"/>
      <c r="T20" s="667"/>
      <c r="U20" s="668"/>
      <c r="V20" s="667"/>
      <c r="W20" s="668"/>
      <c r="X20" s="1265"/>
      <c r="Y20" s="3552"/>
      <c r="Z20" s="1264"/>
      <c r="AA20" s="1264">
        <v>1</v>
      </c>
      <c r="AB20" s="1264">
        <v>1</v>
      </c>
      <c r="AC20" s="1264">
        <v>1</v>
      </c>
    </row>
    <row r="21" spans="1:29" ht="27.6">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9"/>
      <c r="Q21" s="1263" t="str">
        <f>B21</f>
        <v>基础设施水平</v>
      </c>
      <c r="R21" s="667" t="s">
        <v>14</v>
      </c>
      <c r="S21" s="668">
        <f>F21</f>
        <v>100</v>
      </c>
      <c r="T21" s="667" t="s">
        <v>14</v>
      </c>
      <c r="U21" s="668">
        <f>H21</f>
        <v>100</v>
      </c>
      <c r="V21" s="667" t="s">
        <v>14</v>
      </c>
      <c r="W21" s="668">
        <f>J21</f>
        <v>100</v>
      </c>
      <c r="X21" s="1265"/>
      <c r="Y21" s="35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559"/>
      <c r="Q22" s="1263"/>
      <c r="R22" s="667"/>
      <c r="S22" s="668"/>
      <c r="T22" s="667"/>
      <c r="U22" s="668"/>
      <c r="V22" s="667"/>
      <c r="W22" s="668"/>
      <c r="X22" s="1265"/>
      <c r="Y22" s="3552"/>
      <c r="Z22" s="1264"/>
      <c r="AA22" s="1264">
        <v>1</v>
      </c>
      <c r="AB22" s="1264">
        <v>1</v>
      </c>
      <c r="AC22" s="1264">
        <v>1</v>
      </c>
    </row>
    <row r="23" spans="1:29" ht="55.2">
      <c r="A23" s="367"/>
      <c r="B23" s="390" t="s">
        <v>1260</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9"/>
      <c r="Q23" s="1263" t="str">
        <f>B23</f>
        <v>自然及人文环境</v>
      </c>
      <c r="R23" s="667" t="s">
        <v>14</v>
      </c>
      <c r="S23" s="668">
        <f>F23</f>
        <v>100</v>
      </c>
      <c r="T23" s="667" t="s">
        <v>14</v>
      </c>
      <c r="U23" s="668">
        <f>H23</f>
        <v>100</v>
      </c>
      <c r="V23" s="667" t="s">
        <v>14</v>
      </c>
      <c r="W23" s="668">
        <f>J23</f>
        <v>100</v>
      </c>
      <c r="X23" s="1265"/>
      <c r="Y23" s="355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559"/>
      <c r="Q24" s="1263"/>
      <c r="R24" s="667"/>
      <c r="S24" s="668"/>
      <c r="T24" s="667"/>
      <c r="U24" s="668"/>
      <c r="V24" s="667"/>
      <c r="W24" s="668"/>
      <c r="X24" s="1265"/>
      <c r="Y24" s="3552"/>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59"/>
      <c r="Q25" s="1263" t="str">
        <f t="shared" ref="Q25:Q46" si="11">B25</f>
        <v>临街状况</v>
      </c>
      <c r="R25" s="667" t="s">
        <v>14</v>
      </c>
      <c r="S25" s="668">
        <f>F25</f>
        <v>100</v>
      </c>
      <c r="T25" s="667" t="s">
        <v>14</v>
      </c>
      <c r="U25" s="668">
        <f>H25</f>
        <v>100</v>
      </c>
      <c r="V25" s="667" t="s">
        <v>14</v>
      </c>
      <c r="W25" s="668">
        <f>J25</f>
        <v>100</v>
      </c>
      <c r="X25" s="1265"/>
      <c r="Y25" s="3552"/>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9"/>
      <c r="Q26" s="1263" t="str">
        <f t="shared" si="11"/>
        <v>平面位置/可视性</v>
      </c>
      <c r="R26" s="667" t="s">
        <v>14</v>
      </c>
      <c r="S26" s="668">
        <f>F26</f>
        <v>100</v>
      </c>
      <c r="T26" s="667" t="s">
        <v>14</v>
      </c>
      <c r="U26" s="668">
        <f>H26</f>
        <v>100</v>
      </c>
      <c r="V26" s="667" t="s">
        <v>14</v>
      </c>
      <c r="W26" s="668">
        <f>J26</f>
        <v>100</v>
      </c>
      <c r="X26" s="1265"/>
      <c r="Y26" s="3552"/>
      <c r="Z26" s="1264" t="str">
        <f>Q26</f>
        <v>平面位置/可视性</v>
      </c>
      <c r="AA26" s="1264">
        <f t="shared" si="3"/>
        <v>1</v>
      </c>
      <c r="AB26" s="1264">
        <f t="shared" si="4"/>
        <v>1</v>
      </c>
      <c r="AC26" s="1264">
        <f t="shared" si="5"/>
        <v>1</v>
      </c>
    </row>
    <row r="27" spans="1:29" s="102" customFormat="1" ht="15">
      <c r="A27" s="370"/>
      <c r="B27" s="390" t="s">
        <v>1781</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559"/>
      <c r="Q27" s="530" t="str">
        <f t="shared" si="11"/>
        <v>人流量</v>
      </c>
      <c r="R27" s="664" t="s">
        <v>14</v>
      </c>
      <c r="S27" s="665">
        <f>F27</f>
        <v>100</v>
      </c>
      <c r="T27" s="664" t="s">
        <v>14</v>
      </c>
      <c r="U27" s="665">
        <f>H27</f>
        <v>100</v>
      </c>
      <c r="V27" s="664" t="s">
        <v>14</v>
      </c>
      <c r="W27" s="665">
        <f>J27</f>
        <v>100</v>
      </c>
      <c r="X27" s="666"/>
      <c r="Y27" s="3552"/>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5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5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559"/>
      <c r="Q29" s="1263">
        <f t="shared" si="11"/>
        <v>111</v>
      </c>
      <c r="R29" s="667" t="s">
        <v>14</v>
      </c>
      <c r="S29" s="668">
        <f t="shared" si="12"/>
        <v>100</v>
      </c>
      <c r="T29" s="667" t="s">
        <v>14</v>
      </c>
      <c r="U29" s="668">
        <f t="shared" si="13"/>
        <v>100</v>
      </c>
      <c r="V29" s="667" t="s">
        <v>14</v>
      </c>
      <c r="W29" s="668">
        <f t="shared" si="14"/>
        <v>100</v>
      </c>
      <c r="X29" s="1265"/>
      <c r="Y29" s="355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59"/>
      <c r="Q30" s="1263">
        <f t="shared" si="11"/>
        <v>111</v>
      </c>
      <c r="R30" s="667" t="s">
        <v>14</v>
      </c>
      <c r="S30" s="668">
        <f t="shared" si="12"/>
        <v>100</v>
      </c>
      <c r="T30" s="667" t="s">
        <v>14</v>
      </c>
      <c r="U30" s="668">
        <f t="shared" si="13"/>
        <v>100</v>
      </c>
      <c r="V30" s="667" t="s">
        <v>14</v>
      </c>
      <c r="W30" s="668">
        <f t="shared" si="14"/>
        <v>100</v>
      </c>
      <c r="X30" s="1265"/>
      <c r="Y30" s="355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9"/>
      <c r="Q31" s="1263">
        <f t="shared" si="11"/>
        <v>111</v>
      </c>
      <c r="R31" s="667" t="s">
        <v>14</v>
      </c>
      <c r="S31" s="668">
        <f t="shared" si="12"/>
        <v>100</v>
      </c>
      <c r="T31" s="667" t="s">
        <v>14</v>
      </c>
      <c r="U31" s="668">
        <f t="shared" si="13"/>
        <v>100</v>
      </c>
      <c r="V31" s="667" t="s">
        <v>14</v>
      </c>
      <c r="W31" s="668">
        <f t="shared" si="14"/>
        <v>100</v>
      </c>
      <c r="X31" s="1265"/>
      <c r="Y31" s="3552"/>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553" t="s">
        <v>1695</v>
      </c>
      <c r="Q32" s="1263" t="str">
        <f t="shared" si="11"/>
        <v>商业类型</v>
      </c>
      <c r="R32" s="667" t="s">
        <v>14</v>
      </c>
      <c r="S32" s="668">
        <f t="shared" si="12"/>
        <v>100</v>
      </c>
      <c r="T32" s="667" t="s">
        <v>14</v>
      </c>
      <c r="U32" s="668">
        <f t="shared" si="13"/>
        <v>100</v>
      </c>
      <c r="V32" s="667" t="s">
        <v>14</v>
      </c>
      <c r="W32" s="668">
        <f t="shared" si="14"/>
        <v>100</v>
      </c>
      <c r="X32" s="1265"/>
      <c r="Y32" s="3556"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554"/>
      <c r="Q33" s="531" t="str">
        <f t="shared" si="11"/>
        <v>项目建筑规模</v>
      </c>
      <c r="R33" s="669" t="s">
        <v>14</v>
      </c>
      <c r="S33" s="670" t="e">
        <f t="shared" si="12"/>
        <v>#N/A</v>
      </c>
      <c r="T33" s="669" t="s">
        <v>14</v>
      </c>
      <c r="U33" s="670" t="e">
        <f t="shared" si="13"/>
        <v>#N/A</v>
      </c>
      <c r="V33" s="669" t="s">
        <v>14</v>
      </c>
      <c r="W33" s="670" t="e">
        <f t="shared" si="14"/>
        <v>#N/A</v>
      </c>
      <c r="X33" s="671"/>
      <c r="Y33" s="3556"/>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54"/>
      <c r="Q34" s="1263" t="str">
        <f t="shared" si="11"/>
        <v>建筑结构</v>
      </c>
      <c r="R34" s="667" t="s">
        <v>14</v>
      </c>
      <c r="S34" s="668">
        <f t="shared" si="12"/>
        <v>100</v>
      </c>
      <c r="T34" s="667" t="s">
        <v>14</v>
      </c>
      <c r="U34" s="668">
        <f t="shared" si="13"/>
        <v>100</v>
      </c>
      <c r="V34" s="667" t="s">
        <v>14</v>
      </c>
      <c r="W34" s="668">
        <f t="shared" si="14"/>
        <v>100</v>
      </c>
      <c r="X34" s="1265"/>
      <c r="Y34" s="3556"/>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554"/>
      <c r="Q35" s="1263" t="str">
        <f t="shared" si="11"/>
        <v>公共部分装修</v>
      </c>
      <c r="R35" s="667" t="s">
        <v>14</v>
      </c>
      <c r="S35" s="668">
        <f t="shared" si="12"/>
        <v>100</v>
      </c>
      <c r="T35" s="667" t="s">
        <v>14</v>
      </c>
      <c r="U35" s="668">
        <f t="shared" si="13"/>
        <v>100</v>
      </c>
      <c r="V35" s="667" t="s">
        <v>14</v>
      </c>
      <c r="W35" s="668">
        <f t="shared" si="14"/>
        <v>100</v>
      </c>
      <c r="X35" s="1265"/>
      <c r="Y35" s="3556"/>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554"/>
      <c r="Q36" s="1263" t="str">
        <f t="shared" si="11"/>
        <v>成新度</v>
      </c>
      <c r="R36" s="667" t="s">
        <v>14</v>
      </c>
      <c r="S36" s="668" t="e">
        <f t="shared" si="12"/>
        <v>#N/A</v>
      </c>
      <c r="T36" s="667" t="s">
        <v>14</v>
      </c>
      <c r="U36" s="668" t="e">
        <f t="shared" si="13"/>
        <v>#N/A</v>
      </c>
      <c r="V36" s="667" t="s">
        <v>14</v>
      </c>
      <c r="W36" s="668" t="e">
        <f t="shared" si="14"/>
        <v>#N/A</v>
      </c>
      <c r="X36" s="1265"/>
      <c r="Y36" s="3556"/>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554"/>
      <c r="Q37" s="530" t="str">
        <f t="shared" si="11"/>
        <v>市政基础设施</v>
      </c>
      <c r="R37" s="664" t="s">
        <v>14</v>
      </c>
      <c r="S37" s="665">
        <f t="shared" si="12"/>
        <v>100</v>
      </c>
      <c r="T37" s="664" t="s">
        <v>14</v>
      </c>
      <c r="U37" s="665">
        <f t="shared" si="13"/>
        <v>100</v>
      </c>
      <c r="V37" s="664" t="s">
        <v>14</v>
      </c>
      <c r="W37" s="665">
        <f t="shared" si="14"/>
        <v>100</v>
      </c>
      <c r="X37" s="666"/>
      <c r="Y37" s="3556"/>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54" t="s">
        <v>1695</v>
      </c>
      <c r="Q38" s="1263" t="str">
        <f t="shared" si="11"/>
        <v>业态</v>
      </c>
      <c r="R38" s="667" t="s">
        <v>14</v>
      </c>
      <c r="S38" s="668">
        <f t="shared" si="12"/>
        <v>100</v>
      </c>
      <c r="T38" s="667" t="s">
        <v>14</v>
      </c>
      <c r="U38" s="668">
        <f t="shared" si="13"/>
        <v>100</v>
      </c>
      <c r="V38" s="667" t="s">
        <v>14</v>
      </c>
      <c r="W38" s="668">
        <f t="shared" si="14"/>
        <v>100</v>
      </c>
      <c r="X38" s="1265"/>
      <c r="Y38" s="3556"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554"/>
      <c r="Q39" s="1263" t="str">
        <f t="shared" si="11"/>
        <v>层高</v>
      </c>
      <c r="R39" s="667" t="s">
        <v>14</v>
      </c>
      <c r="S39" s="668">
        <f t="shared" si="12"/>
        <v>100</v>
      </c>
      <c r="T39" s="667" t="s">
        <v>14</v>
      </c>
      <c r="U39" s="668">
        <f t="shared" si="13"/>
        <v>100</v>
      </c>
      <c r="V39" s="667" t="s">
        <v>14</v>
      </c>
      <c r="W39" s="668">
        <f t="shared" si="14"/>
        <v>100</v>
      </c>
      <c r="X39" s="1265"/>
      <c r="Y39" s="3556"/>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54"/>
      <c r="Q40" s="1263" t="str">
        <f t="shared" si="11"/>
        <v>单套建筑面积</v>
      </c>
      <c r="R40" s="667" t="s">
        <v>14</v>
      </c>
      <c r="S40" s="668">
        <f t="shared" si="12"/>
        <v>100</v>
      </c>
      <c r="T40" s="667" t="s">
        <v>14</v>
      </c>
      <c r="U40" s="668">
        <f t="shared" si="13"/>
        <v>100</v>
      </c>
      <c r="V40" s="667" t="s">
        <v>14</v>
      </c>
      <c r="W40" s="668">
        <f t="shared" si="14"/>
        <v>100</v>
      </c>
      <c r="X40" s="1265"/>
      <c r="Y40" s="3556"/>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54"/>
      <c r="Q41" s="531" t="str">
        <f t="shared" si="11"/>
        <v>进深比</v>
      </c>
      <c r="R41" s="669" t="s">
        <v>14</v>
      </c>
      <c r="S41" s="670">
        <f t="shared" si="12"/>
        <v>100</v>
      </c>
      <c r="T41" s="669" t="s">
        <v>14</v>
      </c>
      <c r="U41" s="670">
        <f t="shared" si="13"/>
        <v>100</v>
      </c>
      <c r="V41" s="669" t="s">
        <v>14</v>
      </c>
      <c r="W41" s="670">
        <f t="shared" si="14"/>
        <v>100</v>
      </c>
      <c r="X41" s="671"/>
      <c r="Y41" s="3556"/>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554"/>
      <c r="Q42" s="1263" t="str">
        <f t="shared" si="11"/>
        <v>内部装修</v>
      </c>
      <c r="R42" s="667" t="s">
        <v>14</v>
      </c>
      <c r="S42" s="668">
        <f t="shared" si="12"/>
        <v>100</v>
      </c>
      <c r="T42" s="667" t="s">
        <v>14</v>
      </c>
      <c r="U42" s="668">
        <f t="shared" si="13"/>
        <v>100</v>
      </c>
      <c r="V42" s="667" t="s">
        <v>14</v>
      </c>
      <c r="W42" s="668">
        <f t="shared" si="14"/>
        <v>100</v>
      </c>
      <c r="X42" s="1265"/>
      <c r="Y42" s="3556"/>
      <c r="Z42" s="1264" t="str">
        <f t="shared" si="15"/>
        <v>内部装修</v>
      </c>
      <c r="AA42" s="1264">
        <f t="shared" si="3"/>
        <v>1</v>
      </c>
      <c r="AB42" s="1264">
        <f t="shared" si="4"/>
        <v>1</v>
      </c>
      <c r="AC42" s="1264">
        <f t="shared" si="5"/>
        <v>1</v>
      </c>
    </row>
    <row r="43" spans="1:29" ht="28.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554"/>
      <c r="Q43" s="1263" t="str">
        <f t="shared" si="11"/>
        <v>内部装修维护情况</v>
      </c>
      <c r="R43" s="667" t="s">
        <v>14</v>
      </c>
      <c r="S43" s="668">
        <f t="shared" si="12"/>
        <v>100</v>
      </c>
      <c r="T43" s="667" t="s">
        <v>14</v>
      </c>
      <c r="U43" s="668">
        <f t="shared" si="13"/>
        <v>100</v>
      </c>
      <c r="V43" s="667" t="s">
        <v>14</v>
      </c>
      <c r="W43" s="668">
        <f t="shared" si="14"/>
        <v>100</v>
      </c>
      <c r="X43" s="1265"/>
      <c r="Y43" s="35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54"/>
      <c r="Q44" s="530">
        <f t="shared" si="11"/>
        <v>111</v>
      </c>
      <c r="R44" s="664" t="s">
        <v>14</v>
      </c>
      <c r="S44" s="665">
        <f t="shared" si="12"/>
        <v>100</v>
      </c>
      <c r="T44" s="664" t="s">
        <v>14</v>
      </c>
      <c r="U44" s="665">
        <f t="shared" si="13"/>
        <v>100</v>
      </c>
      <c r="V44" s="664" t="s">
        <v>14</v>
      </c>
      <c r="W44" s="665">
        <f t="shared" si="14"/>
        <v>100</v>
      </c>
      <c r="X44" s="666"/>
      <c r="Y44" s="35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54"/>
      <c r="Q45" s="1263">
        <f t="shared" si="11"/>
        <v>111</v>
      </c>
      <c r="R45" s="667" t="s">
        <v>14</v>
      </c>
      <c r="S45" s="668">
        <f t="shared" si="12"/>
        <v>100</v>
      </c>
      <c r="T45" s="667" t="s">
        <v>14</v>
      </c>
      <c r="U45" s="668">
        <f t="shared" si="13"/>
        <v>100</v>
      </c>
      <c r="V45" s="667" t="s">
        <v>14</v>
      </c>
      <c r="W45" s="668">
        <f t="shared" si="14"/>
        <v>100</v>
      </c>
      <c r="X45" s="1265"/>
      <c r="Y45" s="355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55"/>
      <c r="Q46" s="1263">
        <f t="shared" si="11"/>
        <v>111</v>
      </c>
      <c r="R46" s="667" t="s">
        <v>14</v>
      </c>
      <c r="S46" s="668">
        <f t="shared" si="12"/>
        <v>100</v>
      </c>
      <c r="T46" s="667" t="s">
        <v>14</v>
      </c>
      <c r="U46" s="668">
        <f t="shared" si="13"/>
        <v>100</v>
      </c>
      <c r="V46" s="667" t="s">
        <v>14</v>
      </c>
      <c r="W46" s="668">
        <f t="shared" si="14"/>
        <v>100</v>
      </c>
      <c r="X46" s="1265"/>
      <c r="Y46" s="3557"/>
      <c r="Z46" s="1264">
        <f t="shared" si="15"/>
        <v>111</v>
      </c>
      <c r="AA46" s="1264">
        <f t="shared" si="3"/>
        <v>1</v>
      </c>
      <c r="AB46" s="1264">
        <f t="shared" si="4"/>
        <v>1</v>
      </c>
      <c r="AC46" s="1264">
        <f t="shared" si="5"/>
        <v>1</v>
      </c>
    </row>
    <row r="47" spans="1:29" ht="14.4">
      <c r="A47" s="416" t="s">
        <v>1707</v>
      </c>
      <c r="B47" s="417"/>
      <c r="C47" s="1081" t="s">
        <v>0</v>
      </c>
      <c r="D47" s="418"/>
      <c r="E47" s="419"/>
      <c r="F47" s="420"/>
      <c r="G47" s="421"/>
      <c r="H47" s="422"/>
      <c r="I47" s="419"/>
      <c r="J47" s="422"/>
      <c r="K47" s="674"/>
      <c r="L47" s="2494"/>
      <c r="M47" s="2487"/>
      <c r="N47" s="2487"/>
      <c r="O47" s="2487"/>
      <c r="P47" s="3550" t="str">
        <f>A47</f>
        <v>成交单价（元/平方米）</v>
      </c>
      <c r="Q47" s="3550"/>
      <c r="R47" s="3545">
        <f>E47</f>
        <v>0</v>
      </c>
      <c r="S47" s="3545"/>
      <c r="T47" s="3545">
        <f>G47</f>
        <v>0</v>
      </c>
      <c r="U47" s="3545"/>
      <c r="V47" s="3545">
        <f>I47</f>
        <v>0</v>
      </c>
      <c r="W47" s="3545"/>
      <c r="X47" s="385"/>
      <c r="Y47" s="673"/>
      <c r="Z47" s="385"/>
      <c r="AA47" s="385"/>
      <c r="AB47" s="385"/>
      <c r="AC47" s="385"/>
    </row>
    <row r="48" spans="1:29" ht="15" thickBot="1">
      <c r="A48" s="423" t="s">
        <v>1792</v>
      </c>
      <c r="B48" s="424"/>
      <c r="C48" s="1082" t="e">
        <f>R49</f>
        <v>#DIV/0!</v>
      </c>
      <c r="D48" s="2140" t="s">
        <v>2137</v>
      </c>
      <c r="E48" s="1083" t="e">
        <f>R48</f>
        <v>#DIV/0!</v>
      </c>
      <c r="F48" s="2141"/>
      <c r="G48" s="1082" t="e">
        <f>T48</f>
        <v>#DIV/0!</v>
      </c>
      <c r="H48" s="2141"/>
      <c r="I48" s="1083" t="e">
        <f>V48</f>
        <v>#DIV/0!</v>
      </c>
      <c r="J48" s="2141"/>
      <c r="K48" s="2143">
        <f>F48+H48+J48</f>
        <v>0</v>
      </c>
      <c r="L48" s="2494"/>
      <c r="M48" s="2487"/>
      <c r="N48" s="2487"/>
      <c r="O48" s="2487"/>
      <c r="P48" s="3550" t="str">
        <f>A48</f>
        <v>比较价值（元/平方米）</v>
      </c>
      <c r="Q48" s="3550"/>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385"/>
      <c r="Y48" s="385"/>
      <c r="Z48" s="385"/>
      <c r="AA48" s="385"/>
      <c r="AB48" s="385"/>
      <c r="AC48" s="385"/>
    </row>
    <row r="49" spans="1:29" ht="15" thickBot="1">
      <c r="A49" s="427" t="s">
        <v>1793</v>
      </c>
      <c r="B49" s="428"/>
      <c r="C49" s="351" t="e">
        <f>R49</f>
        <v>#DIV/0!</v>
      </c>
      <c r="D49" s="351"/>
      <c r="E49" s="351"/>
      <c r="F49" s="351"/>
      <c r="G49" s="351"/>
      <c r="H49" s="351"/>
      <c r="I49" s="351"/>
      <c r="J49" s="351"/>
      <c r="K49" s="675"/>
      <c r="L49" s="2494"/>
      <c r="M49" s="2487"/>
      <c r="N49" s="2487"/>
      <c r="O49" s="2487"/>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1678</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1809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293.87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87" t="s">
        <v>1774</v>
      </c>
      <c r="Q4" s="3588"/>
      <c r="R4" s="3582" t="s">
        <v>1770</v>
      </c>
      <c r="S4" s="3583"/>
      <c r="T4" s="3582" t="s">
        <v>1771</v>
      </c>
      <c r="U4" s="3583"/>
      <c r="V4" s="3591" t="s">
        <v>1772</v>
      </c>
      <c r="W4" s="3591"/>
      <c r="X4" s="1808"/>
      <c r="Y4" s="3582" t="s">
        <v>1774</v>
      </c>
      <c r="Z4" s="3583"/>
      <c r="AA4" s="3581" t="s">
        <v>1770</v>
      </c>
      <c r="AB4" s="3581" t="s">
        <v>1771</v>
      </c>
      <c r="AC4" s="3584" t="s">
        <v>1772</v>
      </c>
    </row>
    <row r="5" spans="1:29">
      <c r="A5" s="348"/>
      <c r="B5" s="349"/>
      <c r="C5" s="3529" t="s">
        <v>1672</v>
      </c>
      <c r="D5" s="3526"/>
      <c r="E5" s="3523" t="s">
        <v>1673</v>
      </c>
      <c r="F5" s="3524"/>
      <c r="G5" s="3529" t="s">
        <v>1674</v>
      </c>
      <c r="H5" s="3526"/>
      <c r="I5" s="3529" t="s">
        <v>1675</v>
      </c>
      <c r="J5" s="3526"/>
      <c r="K5" s="537"/>
      <c r="L5" s="2486"/>
      <c r="M5" s="2487"/>
      <c r="N5" s="2487"/>
      <c r="O5" s="2487"/>
      <c r="P5" s="3589"/>
      <c r="Q5" s="3540"/>
      <c r="R5" s="3521"/>
      <c r="S5" s="3522"/>
      <c r="T5" s="3521"/>
      <c r="U5" s="3522"/>
      <c r="V5" s="3545"/>
      <c r="W5" s="3545"/>
      <c r="X5" s="1265"/>
      <c r="Y5" s="3521"/>
      <c r="Z5" s="3522"/>
      <c r="AA5" s="3515"/>
      <c r="AB5" s="3515"/>
      <c r="AC5" s="3585"/>
    </row>
    <row r="6" spans="1:29" ht="15" thickBot="1">
      <c r="A6" s="350"/>
      <c r="B6" s="351"/>
      <c r="C6" s="3527" t="s">
        <v>1676</v>
      </c>
      <c r="D6" s="3528"/>
      <c r="E6" s="3530" t="s">
        <v>1676</v>
      </c>
      <c r="F6" s="3531"/>
      <c r="G6" s="3527" t="s">
        <v>1676</v>
      </c>
      <c r="H6" s="3528"/>
      <c r="I6" s="3527" t="s">
        <v>1676</v>
      </c>
      <c r="J6" s="3528"/>
      <c r="K6" s="537" t="s">
        <v>1677</v>
      </c>
      <c r="L6" s="2486"/>
      <c r="M6" s="2487"/>
      <c r="N6" s="2487"/>
      <c r="O6" s="2487"/>
      <c r="P6" s="3590"/>
      <c r="Q6" s="3542"/>
      <c r="R6" s="3521"/>
      <c r="S6" s="3522"/>
      <c r="T6" s="3543"/>
      <c r="U6" s="3544"/>
      <c r="V6" s="3545"/>
      <c r="W6" s="3545"/>
      <c r="X6" s="1265"/>
      <c r="Y6" s="3543"/>
      <c r="Z6" s="3544"/>
      <c r="AA6" s="3516"/>
      <c r="AB6" s="3516"/>
      <c r="AC6" s="3586"/>
    </row>
    <row r="7" spans="1:29" s="102" customFormat="1" ht="15" thickBot="1">
      <c r="A7" s="352" t="s">
        <v>1678</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92" t="s">
        <v>1679</v>
      </c>
      <c r="Q7" s="3546"/>
      <c r="R7" s="664" t="s">
        <v>14</v>
      </c>
      <c r="S7" s="665">
        <f t="shared" ref="S7:S15" si="0">F7</f>
        <v>0</v>
      </c>
      <c r="T7" s="664" t="s">
        <v>14</v>
      </c>
      <c r="U7" s="665">
        <f t="shared" ref="U7:U15" si="1">H7</f>
        <v>0</v>
      </c>
      <c r="V7" s="664" t="s">
        <v>14</v>
      </c>
      <c r="W7" s="665">
        <f t="shared" ref="W7:W15" si="2">J7</f>
        <v>0</v>
      </c>
      <c r="X7" s="666"/>
      <c r="Y7" s="3517" t="s">
        <v>1679</v>
      </c>
      <c r="Z7" s="3518"/>
      <c r="AA7" s="50" t="e">
        <f>D7/F7</f>
        <v>#DIV/0!</v>
      </c>
      <c r="AB7" s="50" t="e">
        <f>D7/H7</f>
        <v>#DIV/0!</v>
      </c>
      <c r="AC7" s="802"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92" t="s">
        <v>1682</v>
      </c>
      <c r="Q8" s="3518"/>
      <c r="R8" s="664" t="s">
        <v>14</v>
      </c>
      <c r="S8" s="665">
        <f t="shared" si="0"/>
        <v>100</v>
      </c>
      <c r="T8" s="664" t="s">
        <v>14</v>
      </c>
      <c r="U8" s="665">
        <f t="shared" si="1"/>
        <v>100</v>
      </c>
      <c r="V8" s="664" t="s">
        <v>14</v>
      </c>
      <c r="W8" s="665">
        <f t="shared" si="2"/>
        <v>100</v>
      </c>
      <c r="X8" s="666"/>
      <c r="Y8" s="3517" t="s">
        <v>1682</v>
      </c>
      <c r="Z8" s="3518"/>
      <c r="AA8" s="50">
        <f t="shared" ref="AA8:AA47" si="3">D8/F8</f>
        <v>1</v>
      </c>
      <c r="AB8" s="50">
        <f t="shared" ref="AB8:AB47" si="4">D8/H8</f>
        <v>1</v>
      </c>
      <c r="AC8" s="802">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32"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802">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32"/>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32"/>
      <c r="Q11" s="530" t="str">
        <f t="shared" si="6"/>
        <v>容积率</v>
      </c>
      <c r="R11" s="664" t="s">
        <v>14</v>
      </c>
      <c r="S11" s="665">
        <f t="shared" si="0"/>
        <v>100</v>
      </c>
      <c r="T11" s="664" t="s">
        <v>14</v>
      </c>
      <c r="U11" s="665">
        <f t="shared" si="1"/>
        <v>100</v>
      </c>
      <c r="V11" s="664" t="s">
        <v>14</v>
      </c>
      <c r="W11" s="665">
        <f t="shared" si="2"/>
        <v>100</v>
      </c>
      <c r="X11" s="666"/>
      <c r="Y11" s="34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32"/>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32"/>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532"/>
      <c r="Q14" s="530">
        <f t="shared" si="6"/>
        <v>111</v>
      </c>
      <c r="R14" s="664" t="s">
        <v>14</v>
      </c>
      <c r="S14" s="665">
        <f t="shared" si="0"/>
        <v>100</v>
      </c>
      <c r="T14" s="664" t="s">
        <v>14</v>
      </c>
      <c r="U14" s="665">
        <f t="shared" si="1"/>
        <v>100</v>
      </c>
      <c r="V14" s="664" t="s">
        <v>14</v>
      </c>
      <c r="W14" s="665">
        <f t="shared" si="2"/>
        <v>100</v>
      </c>
      <c r="X14" s="666"/>
      <c r="Y14" s="3490"/>
      <c r="Z14" s="50">
        <f t="shared" si="7"/>
        <v>111</v>
      </c>
      <c r="AA14" s="50">
        <f t="shared" si="3"/>
        <v>1</v>
      </c>
      <c r="AB14" s="50">
        <f t="shared" si="4"/>
        <v>1</v>
      </c>
      <c r="AC14" s="802">
        <f t="shared" si="5"/>
        <v>1</v>
      </c>
    </row>
    <row r="15" spans="1:29" ht="69">
      <c r="A15" s="379" t="s">
        <v>1689</v>
      </c>
      <c r="B15" s="554" t="s">
        <v>1810</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58" t="s">
        <v>1690</v>
      </c>
      <c r="Q15" s="1263" t="str">
        <f t="shared" si="6"/>
        <v>办公集聚程度</v>
      </c>
      <c r="R15" s="667" t="s">
        <v>14</v>
      </c>
      <c r="S15" s="668">
        <f t="shared" si="0"/>
        <v>100</v>
      </c>
      <c r="T15" s="667" t="s">
        <v>14</v>
      </c>
      <c r="U15" s="668">
        <f t="shared" si="1"/>
        <v>100</v>
      </c>
      <c r="V15" s="667" t="s">
        <v>14</v>
      </c>
      <c r="W15" s="668">
        <f t="shared" si="2"/>
        <v>100</v>
      </c>
      <c r="X15" s="1265"/>
      <c r="Y15" s="3551" t="s">
        <v>1690</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559"/>
      <c r="Q16" s="1263"/>
      <c r="R16" s="667"/>
      <c r="S16" s="668"/>
      <c r="T16" s="667"/>
      <c r="U16" s="668"/>
      <c r="V16" s="667"/>
      <c r="W16" s="668"/>
      <c r="X16" s="1265"/>
      <c r="Y16" s="3552"/>
      <c r="Z16" s="1264"/>
      <c r="AA16" s="1264">
        <v>1</v>
      </c>
      <c r="AB16" s="1264">
        <v>1</v>
      </c>
      <c r="AC16" s="1811">
        <v>1</v>
      </c>
    </row>
    <row r="17" spans="1:29" ht="82.8">
      <c r="A17" s="367"/>
      <c r="B17" s="556" t="s">
        <v>1258</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59"/>
      <c r="Q17" s="1263" t="str">
        <f>B17</f>
        <v>交通便捷度</v>
      </c>
      <c r="R17" s="667" t="s">
        <v>14</v>
      </c>
      <c r="S17" s="668">
        <f>F17</f>
        <v>100</v>
      </c>
      <c r="T17" s="667" t="s">
        <v>14</v>
      </c>
      <c r="U17" s="668">
        <f>H17</f>
        <v>100</v>
      </c>
      <c r="V17" s="667" t="s">
        <v>14</v>
      </c>
      <c r="W17" s="668">
        <f>J17</f>
        <v>100</v>
      </c>
      <c r="X17" s="1265"/>
      <c r="Y17" s="3552"/>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559"/>
      <c r="Q18" s="1263"/>
      <c r="R18" s="667"/>
      <c r="S18" s="668"/>
      <c r="T18" s="667"/>
      <c r="U18" s="668"/>
      <c r="V18" s="667"/>
      <c r="W18" s="668"/>
      <c r="X18" s="1265"/>
      <c r="Y18" s="3552"/>
      <c r="Z18" s="1264"/>
      <c r="AA18" s="1264">
        <v>1</v>
      </c>
      <c r="AB18" s="1264">
        <v>1</v>
      </c>
      <c r="AC18" s="1811">
        <v>1</v>
      </c>
    </row>
    <row r="19" spans="1:29" ht="41.4">
      <c r="A19" s="367"/>
      <c r="B19" s="556" t="s">
        <v>1811</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59"/>
      <c r="Q19" s="1263" t="str">
        <f>B19</f>
        <v>公共配套设施</v>
      </c>
      <c r="R19" s="667" t="s">
        <v>14</v>
      </c>
      <c r="S19" s="668">
        <f>F19</f>
        <v>100</v>
      </c>
      <c r="T19" s="667" t="s">
        <v>14</v>
      </c>
      <c r="U19" s="668">
        <f>H19</f>
        <v>100</v>
      </c>
      <c r="V19" s="667" t="s">
        <v>14</v>
      </c>
      <c r="W19" s="668">
        <f>J19</f>
        <v>100</v>
      </c>
      <c r="X19" s="1265"/>
      <c r="Y19" s="3552"/>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559"/>
      <c r="Q20" s="1263"/>
      <c r="R20" s="667"/>
      <c r="S20" s="668"/>
      <c r="T20" s="667"/>
      <c r="U20" s="668"/>
      <c r="V20" s="667"/>
      <c r="W20" s="668"/>
      <c r="X20" s="1265"/>
      <c r="Y20" s="3552"/>
      <c r="Z20" s="1264"/>
      <c r="AA20" s="1264">
        <v>1</v>
      </c>
      <c r="AB20" s="1264">
        <v>1</v>
      </c>
      <c r="AC20" s="1811">
        <v>1</v>
      </c>
    </row>
    <row r="21" spans="1:29" ht="27.6">
      <c r="A21" s="367"/>
      <c r="B21" s="557" t="s">
        <v>1812</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59"/>
      <c r="Q21" s="1263" t="str">
        <f>B21</f>
        <v>基础设施水平</v>
      </c>
      <c r="R21" s="667" t="s">
        <v>14</v>
      </c>
      <c r="S21" s="668">
        <f>F21</f>
        <v>100</v>
      </c>
      <c r="T21" s="667" t="s">
        <v>14</v>
      </c>
      <c r="U21" s="668">
        <f>H21</f>
        <v>100</v>
      </c>
      <c r="V21" s="667" t="s">
        <v>14</v>
      </c>
      <c r="W21" s="668">
        <f>J21</f>
        <v>100</v>
      </c>
      <c r="X21" s="1265"/>
      <c r="Y21" s="3552"/>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559"/>
      <c r="Q22" s="1263"/>
      <c r="R22" s="667"/>
      <c r="S22" s="668"/>
      <c r="T22" s="667"/>
      <c r="U22" s="668"/>
      <c r="V22" s="667"/>
      <c r="W22" s="668"/>
      <c r="X22" s="1265"/>
      <c r="Y22" s="3552"/>
      <c r="Z22" s="1264"/>
      <c r="AA22" s="1264">
        <v>1</v>
      </c>
      <c r="AB22" s="1264">
        <v>1</v>
      </c>
      <c r="AC22" s="1811">
        <v>1</v>
      </c>
    </row>
    <row r="23" spans="1:29" ht="55.2">
      <c r="A23" s="367"/>
      <c r="B23" s="556" t="s">
        <v>1813</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59"/>
      <c r="Q23" s="1263" t="str">
        <f>B23</f>
        <v>环境质量</v>
      </c>
      <c r="R23" s="667" t="s">
        <v>14</v>
      </c>
      <c r="S23" s="668">
        <f>F23</f>
        <v>100</v>
      </c>
      <c r="T23" s="667" t="s">
        <v>14</v>
      </c>
      <c r="U23" s="668">
        <f>H23</f>
        <v>100</v>
      </c>
      <c r="V23" s="667" t="s">
        <v>14</v>
      </c>
      <c r="W23" s="668">
        <f>J23</f>
        <v>100</v>
      </c>
      <c r="X23" s="1265"/>
      <c r="Y23" s="3552"/>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559"/>
      <c r="Q24" s="1263"/>
      <c r="R24" s="667"/>
      <c r="S24" s="668"/>
      <c r="T24" s="667"/>
      <c r="U24" s="668"/>
      <c r="V24" s="667"/>
      <c r="W24" s="668"/>
      <c r="X24" s="1265"/>
      <c r="Y24" s="3552"/>
      <c r="Z24" s="1264"/>
      <c r="AA24" s="1264">
        <v>1</v>
      </c>
      <c r="AB24" s="1264">
        <v>1</v>
      </c>
      <c r="AC24" s="1811">
        <v>1</v>
      </c>
    </row>
    <row r="25" spans="1:29" ht="28.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59"/>
      <c r="Q25" s="1263" t="str">
        <f>B25</f>
        <v>毗邻道路的类型与等级</v>
      </c>
      <c r="R25" s="667" t="s">
        <v>14</v>
      </c>
      <c r="S25" s="668">
        <f>F25</f>
        <v>100</v>
      </c>
      <c r="T25" s="667" t="s">
        <v>14</v>
      </c>
      <c r="U25" s="668">
        <f>H25</f>
        <v>100</v>
      </c>
      <c r="V25" s="667" t="s">
        <v>14</v>
      </c>
      <c r="W25" s="668">
        <f>J25</f>
        <v>100</v>
      </c>
      <c r="X25" s="1265"/>
      <c r="Y25" s="3552"/>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559"/>
      <c r="Q26" s="1263"/>
      <c r="R26" s="667"/>
      <c r="S26" s="668"/>
      <c r="T26" s="667"/>
      <c r="U26" s="668"/>
      <c r="V26" s="667"/>
      <c r="W26" s="668"/>
      <c r="X26" s="1265"/>
      <c r="Y26" s="3552"/>
      <c r="Z26" s="1264"/>
      <c r="AA26" s="1264">
        <v>1</v>
      </c>
      <c r="AB26" s="1264">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59"/>
      <c r="Q27" s="1263" t="str">
        <f t="shared" ref="Q27:Q47" si="11">B27</f>
        <v>楼层</v>
      </c>
      <c r="R27" s="667" t="s">
        <v>14</v>
      </c>
      <c r="S27" s="668">
        <f>F27</f>
        <v>100</v>
      </c>
      <c r="T27" s="667" t="s">
        <v>14</v>
      </c>
      <c r="U27" s="668">
        <f>H27</f>
        <v>100</v>
      </c>
      <c r="V27" s="667" t="s">
        <v>14</v>
      </c>
      <c r="W27" s="668">
        <f>J27</f>
        <v>100</v>
      </c>
      <c r="X27" s="1265"/>
      <c r="Y27" s="3552"/>
      <c r="Z27" s="1264" t="str">
        <f>Q27</f>
        <v>楼层</v>
      </c>
      <c r="AA27" s="1264">
        <f t="shared" si="3"/>
        <v>1</v>
      </c>
      <c r="AB27" s="1264">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59"/>
      <c r="Q28" s="530" t="str">
        <f t="shared" si="11"/>
        <v>朝向</v>
      </c>
      <c r="R28" s="664" t="s">
        <v>14</v>
      </c>
      <c r="S28" s="665">
        <f>F28</f>
        <v>100</v>
      </c>
      <c r="T28" s="664" t="s">
        <v>14</v>
      </c>
      <c r="U28" s="665">
        <f>H28</f>
        <v>100</v>
      </c>
      <c r="V28" s="664" t="s">
        <v>14</v>
      </c>
      <c r="W28" s="665">
        <f>J28</f>
        <v>100</v>
      </c>
      <c r="X28" s="666"/>
      <c r="Y28" s="3552"/>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59"/>
      <c r="Q29" s="1263">
        <f t="shared" si="11"/>
        <v>111</v>
      </c>
      <c r="R29" s="667" t="s">
        <v>14</v>
      </c>
      <c r="S29" s="668">
        <f t="shared" ref="S29:S47" si="12">F29</f>
        <v>100</v>
      </c>
      <c r="T29" s="667" t="s">
        <v>14</v>
      </c>
      <c r="U29" s="668">
        <f t="shared" ref="U29:U47" si="13">H29</f>
        <v>100</v>
      </c>
      <c r="V29" s="667" t="s">
        <v>14</v>
      </c>
      <c r="W29" s="668">
        <f t="shared" ref="W29:W47" si="14">J29</f>
        <v>100</v>
      </c>
      <c r="X29" s="1265"/>
      <c r="Y29" s="3552"/>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59"/>
      <c r="Q30" s="1263">
        <f t="shared" si="11"/>
        <v>111</v>
      </c>
      <c r="R30" s="667" t="s">
        <v>14</v>
      </c>
      <c r="S30" s="668">
        <f t="shared" si="12"/>
        <v>100</v>
      </c>
      <c r="T30" s="667" t="s">
        <v>14</v>
      </c>
      <c r="U30" s="668">
        <f t="shared" si="13"/>
        <v>100</v>
      </c>
      <c r="V30" s="667" t="s">
        <v>14</v>
      </c>
      <c r="W30" s="668">
        <f t="shared" si="14"/>
        <v>100</v>
      </c>
      <c r="X30" s="1265"/>
      <c r="Y30" s="3552"/>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59"/>
      <c r="Q31" s="1263">
        <f t="shared" si="11"/>
        <v>111</v>
      </c>
      <c r="R31" s="667" t="s">
        <v>14</v>
      </c>
      <c r="S31" s="668">
        <f t="shared" si="12"/>
        <v>100</v>
      </c>
      <c r="T31" s="667" t="s">
        <v>14</v>
      </c>
      <c r="U31" s="668">
        <f t="shared" si="13"/>
        <v>100</v>
      </c>
      <c r="V31" s="667" t="s">
        <v>14</v>
      </c>
      <c r="W31" s="668">
        <f t="shared" si="14"/>
        <v>100</v>
      </c>
      <c r="X31" s="1265"/>
      <c r="Y31" s="3552"/>
      <c r="Z31" s="1264">
        <f t="shared" si="15"/>
        <v>111</v>
      </c>
      <c r="AA31" s="1264">
        <f t="shared" si="3"/>
        <v>1</v>
      </c>
      <c r="AB31" s="1264">
        <f t="shared" si="4"/>
        <v>1</v>
      </c>
      <c r="AC31" s="1811">
        <f t="shared" si="5"/>
        <v>1</v>
      </c>
    </row>
    <row r="32" spans="1:29" ht="15.6"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59"/>
      <c r="Q32" s="1263">
        <f t="shared" si="11"/>
        <v>111</v>
      </c>
      <c r="R32" s="667" t="s">
        <v>14</v>
      </c>
      <c r="S32" s="668">
        <f t="shared" si="12"/>
        <v>100</v>
      </c>
      <c r="T32" s="667" t="s">
        <v>14</v>
      </c>
      <c r="U32" s="668">
        <f t="shared" si="13"/>
        <v>100</v>
      </c>
      <c r="V32" s="667" t="s">
        <v>14</v>
      </c>
      <c r="W32" s="668">
        <f t="shared" si="14"/>
        <v>100</v>
      </c>
      <c r="X32" s="1265"/>
      <c r="Y32" s="3552"/>
      <c r="Z32" s="1264">
        <f t="shared" si="15"/>
        <v>111</v>
      </c>
      <c r="AA32" s="1264">
        <f t="shared" si="3"/>
        <v>1</v>
      </c>
      <c r="AB32" s="1264">
        <f t="shared" si="4"/>
        <v>1</v>
      </c>
      <c r="AC32" s="1811">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53" t="s">
        <v>1695</v>
      </c>
      <c r="Q33" s="1263" t="str">
        <f t="shared" si="11"/>
        <v>建筑类型</v>
      </c>
      <c r="R33" s="667" t="s">
        <v>14</v>
      </c>
      <c r="S33" s="668">
        <f t="shared" si="12"/>
        <v>100</v>
      </c>
      <c r="T33" s="667" t="s">
        <v>14</v>
      </c>
      <c r="U33" s="668">
        <f t="shared" si="13"/>
        <v>100</v>
      </c>
      <c r="V33" s="667" t="s">
        <v>14</v>
      </c>
      <c r="W33" s="668">
        <f t="shared" si="14"/>
        <v>100</v>
      </c>
      <c r="X33" s="1265"/>
      <c r="Y33" s="3556" t="s">
        <v>1695</v>
      </c>
      <c r="Z33" s="1264" t="str">
        <f t="shared" si="15"/>
        <v>建筑类型</v>
      </c>
      <c r="AA33" s="1264">
        <f t="shared" si="3"/>
        <v>1</v>
      </c>
      <c r="AB33" s="1264">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54"/>
      <c r="Q34" s="531" t="str">
        <f t="shared" si="11"/>
        <v>项目建筑规模</v>
      </c>
      <c r="R34" s="669" t="s">
        <v>14</v>
      </c>
      <c r="S34" s="670" t="e">
        <f t="shared" si="12"/>
        <v>#N/A</v>
      </c>
      <c r="T34" s="669" t="s">
        <v>14</v>
      </c>
      <c r="U34" s="670" t="e">
        <f t="shared" si="13"/>
        <v>#N/A</v>
      </c>
      <c r="V34" s="669" t="s">
        <v>14</v>
      </c>
      <c r="W34" s="670" t="e">
        <f t="shared" si="14"/>
        <v>#N/A</v>
      </c>
      <c r="X34" s="671"/>
      <c r="Y34" s="3556"/>
      <c r="Z34" s="672" t="str">
        <f t="shared" si="15"/>
        <v>项目建筑规模</v>
      </c>
      <c r="AA34" s="1264" t="e">
        <f t="shared" si="3"/>
        <v>#N/A</v>
      </c>
      <c r="AB34" s="1264"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54"/>
      <c r="Q35" s="1263" t="str">
        <f t="shared" si="11"/>
        <v>建筑结构</v>
      </c>
      <c r="R35" s="667" t="s">
        <v>14</v>
      </c>
      <c r="S35" s="668">
        <f t="shared" si="12"/>
        <v>100</v>
      </c>
      <c r="T35" s="667" t="s">
        <v>14</v>
      </c>
      <c r="U35" s="668">
        <f t="shared" si="13"/>
        <v>100</v>
      </c>
      <c r="V35" s="667" t="s">
        <v>14</v>
      </c>
      <c r="W35" s="668">
        <f t="shared" si="14"/>
        <v>100</v>
      </c>
      <c r="X35" s="1265"/>
      <c r="Y35" s="3556"/>
      <c r="Z35" s="1264" t="str">
        <f t="shared" si="15"/>
        <v>建筑结构</v>
      </c>
      <c r="AA35" s="1264">
        <f t="shared" si="3"/>
        <v>1</v>
      </c>
      <c r="AB35" s="1264">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54"/>
      <c r="Q36" s="1263" t="str">
        <f t="shared" si="11"/>
        <v>公共部分装修</v>
      </c>
      <c r="R36" s="667" t="s">
        <v>14</v>
      </c>
      <c r="S36" s="668">
        <f t="shared" si="12"/>
        <v>100</v>
      </c>
      <c r="T36" s="667" t="s">
        <v>14</v>
      </c>
      <c r="U36" s="668">
        <f t="shared" si="13"/>
        <v>100</v>
      </c>
      <c r="V36" s="667" t="s">
        <v>14</v>
      </c>
      <c r="W36" s="668">
        <f t="shared" si="14"/>
        <v>100</v>
      </c>
      <c r="X36" s="1265"/>
      <c r="Y36" s="3556"/>
      <c r="Z36" s="1264" t="str">
        <f t="shared" si="15"/>
        <v>公共部分装修</v>
      </c>
      <c r="AA36" s="1264">
        <f t="shared" si="3"/>
        <v>1</v>
      </c>
      <c r="AB36" s="1264">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54"/>
      <c r="Q37" s="1263" t="str">
        <f t="shared" si="11"/>
        <v>成新度</v>
      </c>
      <c r="R37" s="667" t="s">
        <v>14</v>
      </c>
      <c r="S37" s="668" t="e">
        <f t="shared" si="12"/>
        <v>#N/A</v>
      </c>
      <c r="T37" s="667" t="s">
        <v>14</v>
      </c>
      <c r="U37" s="668" t="e">
        <f t="shared" si="13"/>
        <v>#N/A</v>
      </c>
      <c r="V37" s="667" t="s">
        <v>14</v>
      </c>
      <c r="W37" s="668" t="e">
        <f t="shared" si="14"/>
        <v>#N/A</v>
      </c>
      <c r="X37" s="1265"/>
      <c r="Y37" s="3556"/>
      <c r="Z37" s="1264" t="str">
        <f t="shared" si="15"/>
        <v>成新度</v>
      </c>
      <c r="AA37" s="1264" t="e">
        <f t="shared" si="3"/>
        <v>#N/A</v>
      </c>
      <c r="AB37" s="1264"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54"/>
      <c r="Q38" s="530" t="str">
        <f t="shared" si="11"/>
        <v>写字楼等级</v>
      </c>
      <c r="R38" s="664" t="s">
        <v>14</v>
      </c>
      <c r="S38" s="665">
        <f t="shared" si="12"/>
        <v>100</v>
      </c>
      <c r="T38" s="664" t="s">
        <v>14</v>
      </c>
      <c r="U38" s="665">
        <f t="shared" si="13"/>
        <v>100</v>
      </c>
      <c r="V38" s="664" t="s">
        <v>14</v>
      </c>
      <c r="W38" s="665">
        <f t="shared" si="14"/>
        <v>100</v>
      </c>
      <c r="X38" s="666"/>
      <c r="Y38" s="3556"/>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54" t="s">
        <v>1695</v>
      </c>
      <c r="Q39" s="1263" t="str">
        <f t="shared" si="11"/>
        <v>物业管理</v>
      </c>
      <c r="R39" s="667" t="s">
        <v>14</v>
      </c>
      <c r="S39" s="668">
        <f t="shared" si="12"/>
        <v>100</v>
      </c>
      <c r="T39" s="667" t="s">
        <v>14</v>
      </c>
      <c r="U39" s="668">
        <f t="shared" si="13"/>
        <v>100</v>
      </c>
      <c r="V39" s="667" t="s">
        <v>14</v>
      </c>
      <c r="W39" s="668">
        <f t="shared" si="14"/>
        <v>100</v>
      </c>
      <c r="X39" s="1265"/>
      <c r="Y39" s="3556" t="s">
        <v>1695</v>
      </c>
      <c r="Z39" s="1264" t="str">
        <f t="shared" si="15"/>
        <v>物业管理</v>
      </c>
      <c r="AA39" s="1264">
        <f t="shared" si="3"/>
        <v>1</v>
      </c>
      <c r="AB39" s="1264">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54"/>
      <c r="Q40" s="1263" t="str">
        <f t="shared" si="11"/>
        <v>市政基础设施</v>
      </c>
      <c r="R40" s="667" t="s">
        <v>14</v>
      </c>
      <c r="S40" s="668">
        <f t="shared" si="12"/>
        <v>100</v>
      </c>
      <c r="T40" s="667" t="s">
        <v>14</v>
      </c>
      <c r="U40" s="668">
        <f t="shared" si="13"/>
        <v>100</v>
      </c>
      <c r="V40" s="667" t="s">
        <v>14</v>
      </c>
      <c r="W40" s="668">
        <f t="shared" si="14"/>
        <v>100</v>
      </c>
      <c r="X40" s="1265"/>
      <c r="Y40" s="3556"/>
      <c r="Z40" s="1264" t="str">
        <f t="shared" si="15"/>
        <v>市政基础设施</v>
      </c>
      <c r="AA40" s="1264">
        <f t="shared" si="3"/>
        <v>1</v>
      </c>
      <c r="AB40" s="1264">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54"/>
      <c r="Q41" s="1263" t="str">
        <f t="shared" si="11"/>
        <v>层高</v>
      </c>
      <c r="R41" s="667" t="s">
        <v>14</v>
      </c>
      <c r="S41" s="668">
        <f t="shared" si="12"/>
        <v>100</v>
      </c>
      <c r="T41" s="667" t="s">
        <v>14</v>
      </c>
      <c r="U41" s="668">
        <f t="shared" si="13"/>
        <v>100</v>
      </c>
      <c r="V41" s="667" t="s">
        <v>14</v>
      </c>
      <c r="W41" s="668">
        <f t="shared" si="14"/>
        <v>100</v>
      </c>
      <c r="X41" s="1265"/>
      <c r="Y41" s="3556"/>
      <c r="Z41" s="1264" t="str">
        <f t="shared" si="15"/>
        <v>层高</v>
      </c>
      <c r="AA41" s="1264">
        <f t="shared" si="3"/>
        <v>1</v>
      </c>
      <c r="AB41" s="1264">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54"/>
      <c r="Q42" s="531" t="str">
        <f t="shared" si="11"/>
        <v>单套建筑面积</v>
      </c>
      <c r="R42" s="669" t="s">
        <v>14</v>
      </c>
      <c r="S42" s="670">
        <f t="shared" si="12"/>
        <v>100</v>
      </c>
      <c r="T42" s="669" t="s">
        <v>14</v>
      </c>
      <c r="U42" s="670">
        <f t="shared" si="13"/>
        <v>100</v>
      </c>
      <c r="V42" s="669" t="s">
        <v>14</v>
      </c>
      <c r="W42" s="670">
        <f t="shared" si="14"/>
        <v>100</v>
      </c>
      <c r="X42" s="671"/>
      <c r="Y42" s="3556"/>
      <c r="Z42" s="672" t="str">
        <f t="shared" si="15"/>
        <v>单套建筑面积</v>
      </c>
      <c r="AA42" s="1264">
        <f t="shared" si="3"/>
        <v>1</v>
      </c>
      <c r="AB42" s="1264">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54"/>
      <c r="Q43" s="1263" t="str">
        <f t="shared" si="11"/>
        <v>内部装修</v>
      </c>
      <c r="R43" s="667" t="s">
        <v>14</v>
      </c>
      <c r="S43" s="668">
        <f t="shared" si="12"/>
        <v>100</v>
      </c>
      <c r="T43" s="667" t="s">
        <v>14</v>
      </c>
      <c r="U43" s="668">
        <f t="shared" si="13"/>
        <v>100</v>
      </c>
      <c r="V43" s="667" t="s">
        <v>14</v>
      </c>
      <c r="W43" s="668">
        <f t="shared" si="14"/>
        <v>100</v>
      </c>
      <c r="X43" s="1265"/>
      <c r="Y43" s="3556"/>
      <c r="Z43" s="1264" t="str">
        <f t="shared" si="15"/>
        <v>内部装修</v>
      </c>
      <c r="AA43" s="1264">
        <f t="shared" si="3"/>
        <v>1</v>
      </c>
      <c r="AB43" s="1264">
        <f t="shared" si="4"/>
        <v>1</v>
      </c>
      <c r="AC43" s="1811">
        <f t="shared" si="5"/>
        <v>1</v>
      </c>
    </row>
    <row r="44" spans="1:29" ht="28.8">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54"/>
      <c r="Q44" s="1263" t="str">
        <f t="shared" si="11"/>
        <v>内部装修维护情况</v>
      </c>
      <c r="R44" s="667" t="s">
        <v>14</v>
      </c>
      <c r="S44" s="668">
        <f t="shared" si="12"/>
        <v>100</v>
      </c>
      <c r="T44" s="667" t="s">
        <v>14</v>
      </c>
      <c r="U44" s="668">
        <f t="shared" si="13"/>
        <v>100</v>
      </c>
      <c r="V44" s="667" t="s">
        <v>14</v>
      </c>
      <c r="W44" s="668">
        <f t="shared" si="14"/>
        <v>100</v>
      </c>
      <c r="X44" s="1265"/>
      <c r="Y44" s="3556"/>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54"/>
      <c r="Q45" s="530">
        <f t="shared" si="11"/>
        <v>111</v>
      </c>
      <c r="R45" s="664" t="s">
        <v>14</v>
      </c>
      <c r="S45" s="665">
        <f t="shared" si="12"/>
        <v>100</v>
      </c>
      <c r="T45" s="664" t="s">
        <v>14</v>
      </c>
      <c r="U45" s="665">
        <f t="shared" si="13"/>
        <v>100</v>
      </c>
      <c r="V45" s="664" t="s">
        <v>14</v>
      </c>
      <c r="W45" s="665">
        <f t="shared" si="14"/>
        <v>100</v>
      </c>
      <c r="X45" s="666"/>
      <c r="Y45" s="35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54"/>
      <c r="Q46" s="1263">
        <f t="shared" si="11"/>
        <v>111</v>
      </c>
      <c r="R46" s="667" t="s">
        <v>14</v>
      </c>
      <c r="S46" s="668">
        <f t="shared" si="12"/>
        <v>100</v>
      </c>
      <c r="T46" s="667" t="s">
        <v>14</v>
      </c>
      <c r="U46" s="668">
        <f t="shared" si="13"/>
        <v>100</v>
      </c>
      <c r="V46" s="667" t="s">
        <v>14</v>
      </c>
      <c r="W46" s="668">
        <f t="shared" si="14"/>
        <v>100</v>
      </c>
      <c r="X46" s="1265"/>
      <c r="Y46" s="3556"/>
      <c r="Z46" s="1264">
        <f t="shared" si="15"/>
        <v>111</v>
      </c>
      <c r="AA46" s="1264">
        <f t="shared" si="3"/>
        <v>1</v>
      </c>
      <c r="AB46" s="1264">
        <f t="shared" si="4"/>
        <v>1</v>
      </c>
      <c r="AC46" s="1811">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55"/>
      <c r="Q47" s="1263">
        <f t="shared" si="11"/>
        <v>111</v>
      </c>
      <c r="R47" s="667" t="s">
        <v>14</v>
      </c>
      <c r="S47" s="668">
        <f t="shared" si="12"/>
        <v>100</v>
      </c>
      <c r="T47" s="667" t="s">
        <v>14</v>
      </c>
      <c r="U47" s="668">
        <f t="shared" si="13"/>
        <v>100</v>
      </c>
      <c r="V47" s="667" t="s">
        <v>14</v>
      </c>
      <c r="W47" s="668">
        <f t="shared" si="14"/>
        <v>100</v>
      </c>
      <c r="X47" s="1265"/>
      <c r="Y47" s="3557"/>
      <c r="Z47" s="1264">
        <f t="shared" si="15"/>
        <v>111</v>
      </c>
      <c r="AA47" s="1264">
        <f t="shared" si="3"/>
        <v>1</v>
      </c>
      <c r="AB47" s="1264">
        <f t="shared" si="4"/>
        <v>1</v>
      </c>
      <c r="AC47" s="1811">
        <f t="shared" si="5"/>
        <v>1</v>
      </c>
    </row>
    <row r="48" spans="1:29" ht="14.4">
      <c r="A48" s="416" t="s">
        <v>1707</v>
      </c>
      <c r="B48" s="417"/>
      <c r="C48" s="1081" t="s">
        <v>0</v>
      </c>
      <c r="D48" s="418"/>
      <c r="E48" s="419"/>
      <c r="F48" s="420"/>
      <c r="G48" s="421"/>
      <c r="H48" s="422"/>
      <c r="I48" s="419"/>
      <c r="J48" s="422"/>
      <c r="K48" s="674"/>
      <c r="L48" s="2494"/>
      <c r="M48" s="2487"/>
      <c r="N48" s="2487"/>
      <c r="O48" s="2487"/>
      <c r="P48" s="3532" t="str">
        <f>A48</f>
        <v>成交单价（元/平方米）</v>
      </c>
      <c r="Q48" s="3550"/>
      <c r="R48" s="3545">
        <f>E48</f>
        <v>0</v>
      </c>
      <c r="S48" s="3545"/>
      <c r="T48" s="3545">
        <f>G48</f>
        <v>0</v>
      </c>
      <c r="U48" s="3545"/>
      <c r="V48" s="3545">
        <f>I48</f>
        <v>0</v>
      </c>
      <c r="W48" s="3545"/>
      <c r="X48" s="385"/>
      <c r="Y48" s="673"/>
      <c r="Z48" s="385"/>
      <c r="AA48" s="385"/>
      <c r="AB48" s="385"/>
      <c r="AC48" s="555"/>
    </row>
    <row r="49" spans="1:29" ht="15" thickBot="1">
      <c r="A49" s="423" t="s">
        <v>1792</v>
      </c>
      <c r="B49" s="424"/>
      <c r="C49" s="1082" t="e">
        <f>R50</f>
        <v>#DIV/0!</v>
      </c>
      <c r="D49" s="2140" t="s">
        <v>2137</v>
      </c>
      <c r="E49" s="1083" t="e">
        <f>R49</f>
        <v>#DIV/0!</v>
      </c>
      <c r="F49" s="2141"/>
      <c r="G49" s="1082" t="e">
        <f>T49</f>
        <v>#DIV/0!</v>
      </c>
      <c r="H49" s="2141"/>
      <c r="I49" s="1083" t="e">
        <f>V49</f>
        <v>#DIV/0!</v>
      </c>
      <c r="J49" s="2141"/>
      <c r="K49" s="2143">
        <f>F49+H49+J49</f>
        <v>0</v>
      </c>
      <c r="L49" s="2494"/>
      <c r="M49" s="2487"/>
      <c r="N49" s="2487"/>
      <c r="O49" s="2487"/>
      <c r="P49" s="3532" t="str">
        <f>A49</f>
        <v>比较价值（元/平方米）</v>
      </c>
      <c r="Q49" s="3550"/>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385"/>
      <c r="Y49" s="385"/>
      <c r="Z49" s="385"/>
      <c r="AA49" s="385"/>
      <c r="AB49" s="385"/>
      <c r="AC49" s="555"/>
    </row>
    <row r="50" spans="1:29" ht="15" thickBot="1">
      <c r="A50" s="427" t="s">
        <v>1793</v>
      </c>
      <c r="B50" s="428"/>
      <c r="C50" s="351" t="e">
        <f>R50</f>
        <v>#DIV/0!</v>
      </c>
      <c r="D50" s="351"/>
      <c r="E50" s="351"/>
      <c r="F50" s="351"/>
      <c r="G50" s="351"/>
      <c r="H50" s="351"/>
      <c r="I50" s="351"/>
      <c r="J50" s="429"/>
      <c r="K50" s="675"/>
      <c r="L50" s="2494"/>
      <c r="M50" s="2487"/>
      <c r="N50" s="2487"/>
      <c r="O50" s="2487"/>
      <c r="P50" s="3593" t="str">
        <f>A50</f>
        <v>估价对象XX用房的比较价值（楼面单价，元/平方米）</v>
      </c>
      <c r="Q50" s="3594"/>
      <c r="R50" s="3595" t="e">
        <f>IF(F1="售价",ROUND(IF(D49="简单平均",AVERAGE(R49:V49),R49*F49+T49*H49+V49*J49),0),ROUND(IF(D49="简单平均",AVERAGE(R49:V49),R49*F49+T49*H49+V49*J49),1))</f>
        <v>#DIV/0!</v>
      </c>
      <c r="S50" s="3595"/>
      <c r="T50" s="3595"/>
      <c r="U50" s="3595"/>
      <c r="V50" s="3595"/>
      <c r="W50" s="359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7"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293.87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1768</v>
      </c>
      <c r="B4" s="346"/>
      <c r="C4" s="3533" t="s">
        <v>1769</v>
      </c>
      <c r="D4" s="3534"/>
      <c r="E4" s="3535" t="s">
        <v>1770</v>
      </c>
      <c r="F4" s="3536"/>
      <c r="G4" s="3533" t="s">
        <v>1771</v>
      </c>
      <c r="H4" s="3534"/>
      <c r="I4" s="3533" t="s">
        <v>1772</v>
      </c>
      <c r="J4" s="3534"/>
      <c r="K4" s="537" t="s">
        <v>1773</v>
      </c>
      <c r="L4" s="860"/>
      <c r="M4" s="861"/>
      <c r="N4" s="861"/>
      <c r="O4" s="861"/>
      <c r="P4" s="3537" t="s">
        <v>1774</v>
      </c>
      <c r="Q4" s="3538"/>
      <c r="R4" s="3519" t="s">
        <v>1770</v>
      </c>
      <c r="S4" s="3520"/>
      <c r="T4" s="3519" t="s">
        <v>1771</v>
      </c>
      <c r="U4" s="3520"/>
      <c r="V4" s="3545" t="s">
        <v>1772</v>
      </c>
      <c r="W4" s="3545"/>
      <c r="X4" s="1265"/>
      <c r="Y4" s="3519" t="s">
        <v>1774</v>
      </c>
      <c r="Z4" s="3520"/>
      <c r="AA4" s="3514" t="s">
        <v>1770</v>
      </c>
      <c r="AB4" s="3515" t="s">
        <v>1771</v>
      </c>
      <c r="AC4" s="3514" t="s">
        <v>1772</v>
      </c>
    </row>
    <row r="5" spans="1:29">
      <c r="A5" s="348"/>
      <c r="B5" s="349"/>
      <c r="C5" s="3529" t="s">
        <v>1672</v>
      </c>
      <c r="D5" s="3526"/>
      <c r="E5" s="3523" t="s">
        <v>1673</v>
      </c>
      <c r="F5" s="3524"/>
      <c r="G5" s="3529" t="s">
        <v>1674</v>
      </c>
      <c r="H5" s="3526"/>
      <c r="I5" s="3529" t="s">
        <v>1675</v>
      </c>
      <c r="J5" s="3526"/>
      <c r="K5" s="537"/>
      <c r="L5" s="860"/>
      <c r="M5" s="861"/>
      <c r="N5" s="861"/>
      <c r="O5" s="861"/>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537" t="s">
        <v>1677</v>
      </c>
      <c r="L6" s="860"/>
      <c r="M6" s="861"/>
      <c r="N6" s="861"/>
      <c r="O6" s="861"/>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56"/>
      <c r="F7" s="357">
        <f>SUMIF(52:52,YEAR(E7)&amp;"-"&amp;MONTH(E7),53:53)</f>
        <v>0</v>
      </c>
      <c r="G7" s="356"/>
      <c r="H7" s="355">
        <f>SUMIF(52:52,YEAR(G7)&amp;"-"&amp;MONTH(G7),53:53)</f>
        <v>0</v>
      </c>
      <c r="I7" s="356"/>
      <c r="J7" s="355">
        <f>SUMIF(52:52,YEAR(I7)&amp;"-"&amp;MONTH(I7),53:53)</f>
        <v>0</v>
      </c>
      <c r="K7" s="38"/>
      <c r="L7" s="862"/>
      <c r="M7" s="863"/>
      <c r="N7" s="863"/>
      <c r="O7" s="863"/>
      <c r="P7" s="3517" t="s">
        <v>1679</v>
      </c>
      <c r="Q7" s="3546"/>
      <c r="R7" s="664" t="s">
        <v>14</v>
      </c>
      <c r="S7" s="665">
        <f t="shared" ref="S7:S15" si="0">F7</f>
        <v>0</v>
      </c>
      <c r="T7" s="664" t="s">
        <v>14</v>
      </c>
      <c r="U7" s="665">
        <f t="shared" ref="U7:U15" si="1">H7</f>
        <v>0</v>
      </c>
      <c r="V7" s="664" t="s">
        <v>14</v>
      </c>
      <c r="W7" s="665">
        <f t="shared" ref="W7:W15" si="2">J7</f>
        <v>0</v>
      </c>
      <c r="X7" s="666"/>
      <c r="Y7" s="3517" t="s">
        <v>1679</v>
      </c>
      <c r="Z7" s="3518"/>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7" t="s">
        <v>1682</v>
      </c>
      <c r="Q8" s="3518"/>
      <c r="R8" s="664" t="s">
        <v>14</v>
      </c>
      <c r="S8" s="665">
        <f t="shared" si="0"/>
        <v>100</v>
      </c>
      <c r="T8" s="664" t="s">
        <v>14</v>
      </c>
      <c r="U8" s="665">
        <f t="shared" si="1"/>
        <v>100</v>
      </c>
      <c r="V8" s="664" t="s">
        <v>14</v>
      </c>
      <c r="W8" s="665">
        <f t="shared" si="2"/>
        <v>100</v>
      </c>
      <c r="X8" s="666"/>
      <c r="Y8" s="3517" t="s">
        <v>1682</v>
      </c>
      <c r="Z8" s="3518"/>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50"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50"/>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50"/>
      <c r="Q11" s="530" t="str">
        <f t="shared" si="6"/>
        <v>容积率</v>
      </c>
      <c r="R11" s="664" t="s">
        <v>14</v>
      </c>
      <c r="S11" s="665">
        <f t="shared" si="0"/>
        <v>100</v>
      </c>
      <c r="T11" s="664" t="s">
        <v>14</v>
      </c>
      <c r="U11" s="665">
        <f t="shared" si="1"/>
        <v>100</v>
      </c>
      <c r="V11" s="664" t="s">
        <v>14</v>
      </c>
      <c r="W11" s="665">
        <f t="shared" si="2"/>
        <v>100</v>
      </c>
      <c r="X11" s="666"/>
      <c r="Y11" s="34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50"/>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50"/>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50"/>
      <c r="Q14" s="530">
        <f t="shared" si="6"/>
        <v>111</v>
      </c>
      <c r="R14" s="664" t="s">
        <v>14</v>
      </c>
      <c r="S14" s="665">
        <f t="shared" si="0"/>
        <v>100</v>
      </c>
      <c r="T14" s="664" t="s">
        <v>14</v>
      </c>
      <c r="U14" s="665">
        <f t="shared" si="1"/>
        <v>100</v>
      </c>
      <c r="V14" s="664" t="s">
        <v>14</v>
      </c>
      <c r="W14" s="665">
        <f t="shared" si="2"/>
        <v>100</v>
      </c>
      <c r="X14" s="666"/>
      <c r="Y14" s="3490"/>
      <c r="Z14" s="50">
        <f t="shared" si="7"/>
        <v>111</v>
      </c>
      <c r="AA14" s="50">
        <f t="shared" si="3"/>
        <v>1</v>
      </c>
      <c r="AB14" s="50">
        <f t="shared" si="4"/>
        <v>1</v>
      </c>
      <c r="AC14" s="50">
        <f t="shared" si="5"/>
        <v>1</v>
      </c>
    </row>
    <row r="15" spans="1:29" ht="69">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51" t="s">
        <v>1690</v>
      </c>
      <c r="Q15" s="1263" t="str">
        <f t="shared" si="6"/>
        <v>产业集聚程度</v>
      </c>
      <c r="R15" s="667" t="s">
        <v>14</v>
      </c>
      <c r="S15" s="668">
        <f t="shared" si="0"/>
        <v>100</v>
      </c>
      <c r="T15" s="667" t="s">
        <v>14</v>
      </c>
      <c r="U15" s="668">
        <f t="shared" si="1"/>
        <v>100</v>
      </c>
      <c r="V15" s="667" t="s">
        <v>14</v>
      </c>
      <c r="W15" s="668">
        <f t="shared" si="2"/>
        <v>100</v>
      </c>
      <c r="X15" s="1265"/>
      <c r="Y15" s="3551"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52"/>
      <c r="Q16" s="1263"/>
      <c r="R16" s="667"/>
      <c r="S16" s="668"/>
      <c r="T16" s="667"/>
      <c r="U16" s="668"/>
      <c r="V16" s="667"/>
      <c r="W16" s="668"/>
      <c r="X16" s="1265"/>
      <c r="Y16" s="3552"/>
      <c r="Z16" s="1264"/>
      <c r="AA16" s="1264">
        <v>1</v>
      </c>
      <c r="AB16" s="1264">
        <v>1</v>
      </c>
      <c r="AC16" s="1264">
        <v>1</v>
      </c>
    </row>
    <row r="17" spans="1:29" ht="96.6">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52"/>
      <c r="Q17" s="1263" t="str">
        <f>B17</f>
        <v>交通便捷度</v>
      </c>
      <c r="R17" s="667" t="s">
        <v>14</v>
      </c>
      <c r="S17" s="668">
        <f>F17</f>
        <v>100</v>
      </c>
      <c r="T17" s="667" t="s">
        <v>14</v>
      </c>
      <c r="U17" s="668">
        <f>H17</f>
        <v>100</v>
      </c>
      <c r="V17" s="667" t="s">
        <v>14</v>
      </c>
      <c r="W17" s="668">
        <f>J17</f>
        <v>100</v>
      </c>
      <c r="X17" s="1265"/>
      <c r="Y17" s="35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52"/>
      <c r="Q18" s="1263"/>
      <c r="R18" s="667"/>
      <c r="S18" s="668"/>
      <c r="T18" s="667"/>
      <c r="U18" s="668"/>
      <c r="V18" s="667"/>
      <c r="W18" s="668"/>
      <c r="X18" s="1265"/>
      <c r="Y18" s="3552"/>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52"/>
      <c r="Q19" s="1263" t="str">
        <f>B19</f>
        <v>公共配套设施</v>
      </c>
      <c r="R19" s="667" t="s">
        <v>14</v>
      </c>
      <c r="S19" s="668">
        <f>F19</f>
        <v>100</v>
      </c>
      <c r="T19" s="667" t="s">
        <v>14</v>
      </c>
      <c r="U19" s="668">
        <f>H19</f>
        <v>100</v>
      </c>
      <c r="V19" s="667" t="s">
        <v>14</v>
      </c>
      <c r="W19" s="668">
        <f>J19</f>
        <v>100</v>
      </c>
      <c r="X19" s="1265"/>
      <c r="Y19" s="35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52"/>
      <c r="Q20" s="1263"/>
      <c r="R20" s="667"/>
      <c r="S20" s="668"/>
      <c r="T20" s="667"/>
      <c r="U20" s="668"/>
      <c r="V20" s="667"/>
      <c r="W20" s="668"/>
      <c r="X20" s="1265"/>
      <c r="Y20" s="3552"/>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52"/>
      <c r="Q21" s="1263" t="str">
        <f>B21</f>
        <v>基础设施水平</v>
      </c>
      <c r="R21" s="667" t="s">
        <v>14</v>
      </c>
      <c r="S21" s="668">
        <f>F21</f>
        <v>100</v>
      </c>
      <c r="T21" s="667" t="s">
        <v>14</v>
      </c>
      <c r="U21" s="668">
        <f>H21</f>
        <v>100</v>
      </c>
      <c r="V21" s="667" t="s">
        <v>14</v>
      </c>
      <c r="W21" s="668">
        <f>J21</f>
        <v>100</v>
      </c>
      <c r="X21" s="1265"/>
      <c r="Y21" s="35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52"/>
      <c r="Q22" s="1263"/>
      <c r="R22" s="667"/>
      <c r="S22" s="668"/>
      <c r="T22" s="667"/>
      <c r="U22" s="668"/>
      <c r="V22" s="667"/>
      <c r="W22" s="668"/>
      <c r="X22" s="1265"/>
      <c r="Y22" s="3552"/>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52"/>
      <c r="Q23" s="1263" t="str">
        <f>B23</f>
        <v>环境质量</v>
      </c>
      <c r="R23" s="667" t="s">
        <v>14</v>
      </c>
      <c r="S23" s="668">
        <f>F23</f>
        <v>100</v>
      </c>
      <c r="T23" s="667" t="s">
        <v>14</v>
      </c>
      <c r="U23" s="668">
        <f>H23</f>
        <v>100</v>
      </c>
      <c r="V23" s="667" t="s">
        <v>14</v>
      </c>
      <c r="W23" s="668">
        <f>J23</f>
        <v>100</v>
      </c>
      <c r="X23" s="1265"/>
      <c r="Y23" s="35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52"/>
      <c r="Q24" s="1263"/>
      <c r="R24" s="667"/>
      <c r="S24" s="668"/>
      <c r="T24" s="667"/>
      <c r="U24" s="668"/>
      <c r="V24" s="667"/>
      <c r="W24" s="668"/>
      <c r="X24" s="1265"/>
      <c r="Y24" s="35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52"/>
      <c r="Q25" s="1263">
        <f>B25</f>
        <v>111</v>
      </c>
      <c r="R25" s="667" t="s">
        <v>14</v>
      </c>
      <c r="S25" s="668">
        <f>F25</f>
        <v>100</v>
      </c>
      <c r="T25" s="667" t="s">
        <v>14</v>
      </c>
      <c r="U25" s="668">
        <f>H25</f>
        <v>100</v>
      </c>
      <c r="V25" s="667" t="s">
        <v>14</v>
      </c>
      <c r="W25" s="668">
        <f>J25</f>
        <v>100</v>
      </c>
      <c r="X25" s="1265"/>
      <c r="Y25" s="35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52"/>
      <c r="Q26" s="1263">
        <f t="shared" ref="Q26:Q40" si="11">B26</f>
        <v>111</v>
      </c>
      <c r="R26" s="667" t="s">
        <v>14</v>
      </c>
      <c r="S26" s="668">
        <f>F26</f>
        <v>100</v>
      </c>
      <c r="T26" s="667" t="s">
        <v>14</v>
      </c>
      <c r="U26" s="668">
        <f>H26</f>
        <v>100</v>
      </c>
      <c r="V26" s="667" t="s">
        <v>14</v>
      </c>
      <c r="W26" s="668">
        <f>J26</f>
        <v>100</v>
      </c>
      <c r="X26" s="1265"/>
      <c r="Y26" s="35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52"/>
      <c r="Q27" s="530">
        <f t="shared" si="11"/>
        <v>111</v>
      </c>
      <c r="R27" s="664" t="s">
        <v>14</v>
      </c>
      <c r="S27" s="665">
        <f>F27</f>
        <v>100</v>
      </c>
      <c r="T27" s="664" t="s">
        <v>14</v>
      </c>
      <c r="U27" s="665">
        <f>H27</f>
        <v>100</v>
      </c>
      <c r="V27" s="664" t="s">
        <v>14</v>
      </c>
      <c r="W27" s="665">
        <f>J27</f>
        <v>100</v>
      </c>
      <c r="X27" s="666"/>
      <c r="Y27" s="355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52"/>
      <c r="Q28" s="1263">
        <f t="shared" si="11"/>
        <v>111</v>
      </c>
      <c r="R28" s="667" t="s">
        <v>14</v>
      </c>
      <c r="S28" s="668">
        <f t="shared" ref="S28:S40" si="12">F28</f>
        <v>100</v>
      </c>
      <c r="T28" s="667" t="s">
        <v>14</v>
      </c>
      <c r="U28" s="668">
        <f t="shared" ref="U28:U40" si="13">H28</f>
        <v>100</v>
      </c>
      <c r="V28" s="667" t="s">
        <v>14</v>
      </c>
      <c r="W28" s="668">
        <f t="shared" ref="W28:W40" si="14">J28</f>
        <v>100</v>
      </c>
      <c r="X28" s="1265"/>
      <c r="Y28" s="3552"/>
      <c r="Z28" s="1264">
        <f t="shared" ref="Z28:Z40" si="15">Q28</f>
        <v>111</v>
      </c>
      <c r="AA28" s="1264">
        <f t="shared" si="3"/>
        <v>1</v>
      </c>
      <c r="AB28" s="1264">
        <f t="shared" si="4"/>
        <v>1</v>
      </c>
      <c r="AC28" s="1264">
        <f t="shared" si="5"/>
        <v>1</v>
      </c>
    </row>
    <row r="29" spans="1:29" ht="30">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96" t="s">
        <v>1695</v>
      </c>
      <c r="Q29" s="1263" t="str">
        <f t="shared" si="11"/>
        <v>建筑类型</v>
      </c>
      <c r="R29" s="667" t="s">
        <v>14</v>
      </c>
      <c r="S29" s="668">
        <f t="shared" si="12"/>
        <v>100</v>
      </c>
      <c r="T29" s="667" t="s">
        <v>14</v>
      </c>
      <c r="U29" s="668">
        <f t="shared" si="13"/>
        <v>100</v>
      </c>
      <c r="V29" s="667" t="s">
        <v>14</v>
      </c>
      <c r="W29" s="668">
        <f t="shared" si="14"/>
        <v>100</v>
      </c>
      <c r="X29" s="1265"/>
      <c r="Y29" s="3556"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56"/>
      <c r="Q30" s="531" t="str">
        <f t="shared" si="11"/>
        <v>项目建筑规模</v>
      </c>
      <c r="R30" s="669" t="s">
        <v>14</v>
      </c>
      <c r="S30" s="670" t="e">
        <f t="shared" si="12"/>
        <v>#N/A</v>
      </c>
      <c r="T30" s="669" t="s">
        <v>14</v>
      </c>
      <c r="U30" s="670" t="e">
        <f t="shared" si="13"/>
        <v>#N/A</v>
      </c>
      <c r="V30" s="669" t="s">
        <v>14</v>
      </c>
      <c r="W30" s="670" t="e">
        <f t="shared" si="14"/>
        <v>#N/A</v>
      </c>
      <c r="X30" s="671"/>
      <c r="Y30" s="3556"/>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56"/>
      <c r="Q31" s="1263" t="str">
        <f t="shared" si="11"/>
        <v>建筑结构</v>
      </c>
      <c r="R31" s="667" t="s">
        <v>14</v>
      </c>
      <c r="S31" s="668">
        <f t="shared" si="12"/>
        <v>100</v>
      </c>
      <c r="T31" s="667" t="s">
        <v>14</v>
      </c>
      <c r="U31" s="668">
        <f t="shared" si="13"/>
        <v>100</v>
      </c>
      <c r="V31" s="667" t="s">
        <v>14</v>
      </c>
      <c r="W31" s="668">
        <f t="shared" si="14"/>
        <v>100</v>
      </c>
      <c r="X31" s="1265"/>
      <c r="Y31" s="3556"/>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56"/>
      <c r="Q32" s="1263" t="str">
        <f t="shared" si="11"/>
        <v>公共部分装修</v>
      </c>
      <c r="R32" s="667" t="s">
        <v>14</v>
      </c>
      <c r="S32" s="668">
        <f t="shared" si="12"/>
        <v>100</v>
      </c>
      <c r="T32" s="667" t="s">
        <v>14</v>
      </c>
      <c r="U32" s="668">
        <f t="shared" si="13"/>
        <v>100</v>
      </c>
      <c r="V32" s="667" t="s">
        <v>14</v>
      </c>
      <c r="W32" s="668">
        <f t="shared" si="14"/>
        <v>100</v>
      </c>
      <c r="X32" s="1265"/>
      <c r="Y32" s="3556"/>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56"/>
      <c r="Q33" s="1263" t="str">
        <f t="shared" si="11"/>
        <v>成新度</v>
      </c>
      <c r="R33" s="667" t="s">
        <v>14</v>
      </c>
      <c r="S33" s="668" t="e">
        <f t="shared" si="12"/>
        <v>#N/A</v>
      </c>
      <c r="T33" s="667" t="s">
        <v>14</v>
      </c>
      <c r="U33" s="668" t="e">
        <f t="shared" si="13"/>
        <v>#N/A</v>
      </c>
      <c r="V33" s="667" t="s">
        <v>14</v>
      </c>
      <c r="W33" s="668" t="e">
        <f t="shared" si="14"/>
        <v>#N/A</v>
      </c>
      <c r="X33" s="1265"/>
      <c r="Y33" s="3556"/>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56"/>
      <c r="Q34" s="530" t="str">
        <f t="shared" si="11"/>
        <v>物业管理</v>
      </c>
      <c r="R34" s="664" t="s">
        <v>14</v>
      </c>
      <c r="S34" s="665">
        <f t="shared" si="12"/>
        <v>100</v>
      </c>
      <c r="T34" s="664" t="s">
        <v>14</v>
      </c>
      <c r="U34" s="665">
        <f t="shared" si="13"/>
        <v>100</v>
      </c>
      <c r="V34" s="664" t="s">
        <v>14</v>
      </c>
      <c r="W34" s="665">
        <f t="shared" si="14"/>
        <v>100</v>
      </c>
      <c r="X34" s="666"/>
      <c r="Y34" s="355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56" t="s">
        <v>1695</v>
      </c>
      <c r="Q35" s="1263" t="str">
        <f t="shared" si="11"/>
        <v>市政基础设施</v>
      </c>
      <c r="R35" s="667" t="s">
        <v>14</v>
      </c>
      <c r="S35" s="668">
        <f t="shared" si="12"/>
        <v>100</v>
      </c>
      <c r="T35" s="667" t="s">
        <v>14</v>
      </c>
      <c r="U35" s="668">
        <f t="shared" si="13"/>
        <v>100</v>
      </c>
      <c r="V35" s="667" t="s">
        <v>14</v>
      </c>
      <c r="W35" s="668">
        <f t="shared" si="14"/>
        <v>100</v>
      </c>
      <c r="X35" s="1265"/>
      <c r="Y35" s="3556"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56"/>
      <c r="Q36" s="1263" t="str">
        <f t="shared" si="11"/>
        <v>内部装修</v>
      </c>
      <c r="R36" s="667" t="s">
        <v>14</v>
      </c>
      <c r="S36" s="668">
        <f t="shared" si="12"/>
        <v>100</v>
      </c>
      <c r="T36" s="667" t="s">
        <v>14</v>
      </c>
      <c r="U36" s="668">
        <f t="shared" si="13"/>
        <v>100</v>
      </c>
      <c r="V36" s="667" t="s">
        <v>14</v>
      </c>
      <c r="W36" s="668">
        <f t="shared" si="14"/>
        <v>100</v>
      </c>
      <c r="X36" s="1265"/>
      <c r="Y36" s="3556"/>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56"/>
      <c r="Q37" s="1263" t="str">
        <f t="shared" si="11"/>
        <v>内部装修状况</v>
      </c>
      <c r="R37" s="667" t="s">
        <v>14</v>
      </c>
      <c r="S37" s="668">
        <f t="shared" si="12"/>
        <v>100</v>
      </c>
      <c r="T37" s="667" t="s">
        <v>14</v>
      </c>
      <c r="U37" s="668">
        <f t="shared" si="13"/>
        <v>100</v>
      </c>
      <c r="V37" s="667" t="s">
        <v>14</v>
      </c>
      <c r="W37" s="668">
        <f t="shared" si="14"/>
        <v>100</v>
      </c>
      <c r="X37" s="1265"/>
      <c r="Y37" s="35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56"/>
      <c r="Q38" s="531">
        <f t="shared" si="11"/>
        <v>111</v>
      </c>
      <c r="R38" s="669" t="s">
        <v>14</v>
      </c>
      <c r="S38" s="670">
        <f t="shared" si="12"/>
        <v>100</v>
      </c>
      <c r="T38" s="669" t="s">
        <v>14</v>
      </c>
      <c r="U38" s="670">
        <f t="shared" si="13"/>
        <v>100</v>
      </c>
      <c r="V38" s="669" t="s">
        <v>14</v>
      </c>
      <c r="W38" s="670">
        <f t="shared" si="14"/>
        <v>100</v>
      </c>
      <c r="X38" s="671"/>
      <c r="Y38" s="35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56"/>
      <c r="Q39" s="1263">
        <f t="shared" si="11"/>
        <v>111</v>
      </c>
      <c r="R39" s="667" t="s">
        <v>14</v>
      </c>
      <c r="S39" s="668">
        <f t="shared" si="12"/>
        <v>100</v>
      </c>
      <c r="T39" s="667" t="s">
        <v>14</v>
      </c>
      <c r="U39" s="668">
        <f t="shared" si="13"/>
        <v>100</v>
      </c>
      <c r="V39" s="667" t="s">
        <v>14</v>
      </c>
      <c r="W39" s="668">
        <f t="shared" si="14"/>
        <v>100</v>
      </c>
      <c r="X39" s="1265"/>
      <c r="Y39" s="355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57"/>
      <c r="Q40" s="1263">
        <f t="shared" si="11"/>
        <v>111</v>
      </c>
      <c r="R40" s="667" t="s">
        <v>14</v>
      </c>
      <c r="S40" s="668">
        <f t="shared" si="12"/>
        <v>100</v>
      </c>
      <c r="T40" s="667" t="s">
        <v>14</v>
      </c>
      <c r="U40" s="668">
        <f t="shared" si="13"/>
        <v>100</v>
      </c>
      <c r="V40" s="667" t="s">
        <v>14</v>
      </c>
      <c r="W40" s="668">
        <f t="shared" si="14"/>
        <v>100</v>
      </c>
      <c r="X40" s="1265"/>
      <c r="Y40" s="3557"/>
      <c r="Z40" s="1264">
        <f t="shared" si="15"/>
        <v>111</v>
      </c>
      <c r="AA40" s="1264">
        <f t="shared" si="3"/>
        <v>1</v>
      </c>
      <c r="AB40" s="1264">
        <f t="shared" si="4"/>
        <v>1</v>
      </c>
      <c r="AC40" s="1264">
        <f t="shared" si="5"/>
        <v>1</v>
      </c>
    </row>
    <row r="41" spans="1:29" ht="14.4">
      <c r="A41" s="416" t="s">
        <v>1707</v>
      </c>
      <c r="B41" s="417"/>
      <c r="C41" s="1081" t="s">
        <v>0</v>
      </c>
      <c r="D41" s="418"/>
      <c r="E41" s="419"/>
      <c r="F41" s="420"/>
      <c r="G41" s="421"/>
      <c r="H41" s="422"/>
      <c r="I41" s="419"/>
      <c r="J41" s="422"/>
      <c r="K41" s="674"/>
      <c r="L41" s="873"/>
      <c r="M41" s="861"/>
      <c r="N41" s="861"/>
      <c r="O41" s="861"/>
      <c r="P41" s="3550" t="str">
        <f>A41</f>
        <v>成交单价（元/平方米）</v>
      </c>
      <c r="Q41" s="3550"/>
      <c r="R41" s="3545">
        <f>E41</f>
        <v>0</v>
      </c>
      <c r="S41" s="3545"/>
      <c r="T41" s="3545">
        <f>G41</f>
        <v>0</v>
      </c>
      <c r="U41" s="3545"/>
      <c r="V41" s="3545">
        <f>I41</f>
        <v>0</v>
      </c>
      <c r="W41" s="3545"/>
      <c r="X41" s="385"/>
      <c r="Y41" s="673"/>
      <c r="Z41" s="385"/>
      <c r="AA41" s="385"/>
      <c r="AB41" s="385"/>
      <c r="AC41" s="385"/>
    </row>
    <row r="42" spans="1:29" ht="1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550" t="str">
        <f>A42</f>
        <v>比较价值（元/平方米）</v>
      </c>
      <c r="Q42" s="3550"/>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385"/>
      <c r="Y42" s="385"/>
      <c r="Z42" s="385"/>
      <c r="AA42" s="385"/>
      <c r="AB42" s="385"/>
      <c r="AC42" s="385"/>
    </row>
    <row r="43" spans="1:29" ht="15" thickBot="1">
      <c r="A43" s="427" t="s">
        <v>1793</v>
      </c>
      <c r="B43" s="428"/>
      <c r="C43" s="351" t="e">
        <f>R43</f>
        <v>#DIV/0!</v>
      </c>
      <c r="D43" s="351"/>
      <c r="E43" s="351"/>
      <c r="F43" s="351"/>
      <c r="G43" s="351"/>
      <c r="H43" s="351"/>
      <c r="I43" s="351"/>
      <c r="J43" s="351"/>
      <c r="K43" s="675"/>
      <c r="L43" s="873"/>
      <c r="M43" s="861"/>
      <c r="N43" s="861"/>
      <c r="O43" s="861"/>
      <c r="P43" s="3547" t="str">
        <f>A43</f>
        <v>估价对象XX用房的比较价值（楼面单价，元/平方米）</v>
      </c>
      <c r="Q43" s="3548"/>
      <c r="R43" s="3549" t="e">
        <f>IF(F1="售价",ROUND(IF(D42="简单平均",AVERAGE(R42:V42),R42*F42+T42*H42+V42*J42),0),ROUND(IF(D42="简单平均",AVERAGE(R42:V42),R42*F42+T42*H42+V42*J42),1))</f>
        <v>#DIV/0!</v>
      </c>
      <c r="S43" s="3549"/>
      <c r="T43" s="3549"/>
      <c r="U43" s="3549"/>
      <c r="V43" s="3549"/>
      <c r="W43" s="35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1797</v>
      </c>
      <c r="B51" s="385"/>
      <c r="C51" s="659"/>
      <c r="D51" s="659"/>
      <c r="E51" s="659"/>
      <c r="F51" s="660"/>
      <c r="G51" s="660"/>
      <c r="H51" s="659"/>
      <c r="I51" s="659"/>
      <c r="J51" s="659"/>
      <c r="K51" s="887"/>
      <c r="L51" s="888"/>
      <c r="M51" s="886"/>
      <c r="N51" s="886"/>
      <c r="O51" s="886"/>
      <c r="P51" s="438"/>
      <c r="Q51" s="439"/>
    </row>
    <row r="52" spans="1:17" s="442" customFormat="1" ht="14.4">
      <c r="A52" s="440" t="s">
        <v>1678</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1718</v>
      </c>
      <c r="B57" s="460" t="s">
        <v>1684</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1687</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1693</v>
      </c>
      <c r="B88" s="460" t="s">
        <v>1735</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3334</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37" t="s">
        <v>1774</v>
      </c>
      <c r="Q4" s="3538"/>
      <c r="R4" s="3519" t="s">
        <v>1770</v>
      </c>
      <c r="S4" s="3520"/>
      <c r="T4" s="3519" t="s">
        <v>1771</v>
      </c>
      <c r="U4" s="3520"/>
      <c r="V4" s="3545" t="s">
        <v>1772</v>
      </c>
      <c r="W4" s="3545"/>
      <c r="X4" s="1265"/>
      <c r="Y4" s="3519" t="s">
        <v>1774</v>
      </c>
      <c r="Z4" s="3520"/>
      <c r="AA4" s="3514" t="s">
        <v>1770</v>
      </c>
      <c r="AB4" s="3515" t="s">
        <v>1771</v>
      </c>
      <c r="AC4" s="3514" t="s">
        <v>1772</v>
      </c>
    </row>
    <row r="5" spans="1:29">
      <c r="A5" s="348"/>
      <c r="B5" s="349"/>
      <c r="C5" s="3529" t="s">
        <v>1672</v>
      </c>
      <c r="D5" s="3526"/>
      <c r="E5" s="3523" t="s">
        <v>1673</v>
      </c>
      <c r="F5" s="3524"/>
      <c r="G5" s="3529" t="s">
        <v>1674</v>
      </c>
      <c r="H5" s="3526"/>
      <c r="I5" s="3529" t="s">
        <v>1675</v>
      </c>
      <c r="J5" s="3526"/>
      <c r="K5" s="537"/>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537"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517" t="s">
        <v>1679</v>
      </c>
      <c r="Q7" s="3546"/>
      <c r="R7" s="664" t="s">
        <v>14</v>
      </c>
      <c r="S7" s="665">
        <f t="shared" ref="S7:S14" si="0">F7</f>
        <v>0</v>
      </c>
      <c r="T7" s="664" t="s">
        <v>14</v>
      </c>
      <c r="U7" s="665">
        <f t="shared" ref="U7:U14" si="1">H7</f>
        <v>0</v>
      </c>
      <c r="V7" s="664" t="s">
        <v>14</v>
      </c>
      <c r="W7" s="665">
        <f t="shared" ref="W7:W14" si="2">J7</f>
        <v>0</v>
      </c>
      <c r="X7" s="666"/>
      <c r="Y7" s="3517" t="s">
        <v>1679</v>
      </c>
      <c r="Z7" s="3518"/>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17" t="s">
        <v>1682</v>
      </c>
      <c r="Q8" s="3518"/>
      <c r="R8" s="664" t="s">
        <v>14</v>
      </c>
      <c r="S8" s="665">
        <f t="shared" si="0"/>
        <v>100</v>
      </c>
      <c r="T8" s="664" t="s">
        <v>14</v>
      </c>
      <c r="U8" s="665">
        <f t="shared" si="1"/>
        <v>100</v>
      </c>
      <c r="V8" s="664" t="s">
        <v>14</v>
      </c>
      <c r="W8" s="665">
        <f t="shared" si="2"/>
        <v>100</v>
      </c>
      <c r="X8" s="666"/>
      <c r="Y8" s="3517" t="s">
        <v>1682</v>
      </c>
      <c r="Z8" s="3518"/>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50" t="s">
        <v>1685</v>
      </c>
      <c r="Q9" s="530" t="str">
        <f t="shared" ref="Q9:Q14" si="6">B9</f>
        <v>用途</v>
      </c>
      <c r="R9" s="664" t="s">
        <v>14</v>
      </c>
      <c r="S9" s="665">
        <f t="shared" si="0"/>
        <v>100</v>
      </c>
      <c r="T9" s="664" t="s">
        <v>14</v>
      </c>
      <c r="U9" s="665">
        <f t="shared" si="1"/>
        <v>100</v>
      </c>
      <c r="V9" s="664" t="s">
        <v>14</v>
      </c>
      <c r="W9" s="665">
        <f t="shared" si="2"/>
        <v>100</v>
      </c>
      <c r="X9" s="666"/>
      <c r="Y9" s="3490" t="s">
        <v>1686</v>
      </c>
      <c r="Z9" s="50" t="str">
        <f t="shared" ref="Z9:Z14" si="7">Q9</f>
        <v>用途</v>
      </c>
      <c r="AA9" s="50">
        <f t="shared" si="3"/>
        <v>1</v>
      </c>
      <c r="AB9" s="50">
        <f t="shared" si="4"/>
        <v>1</v>
      </c>
      <c r="AC9" s="50">
        <f t="shared" si="5"/>
        <v>1</v>
      </c>
    </row>
    <row r="10" spans="1:29" s="366" customFormat="1" ht="28.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50"/>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50"/>
      <c r="Q11" s="530">
        <f t="shared" si="6"/>
        <v>111</v>
      </c>
      <c r="R11" s="664" t="s">
        <v>14</v>
      </c>
      <c r="S11" s="665">
        <f t="shared" si="0"/>
        <v>100</v>
      </c>
      <c r="T11" s="664" t="s">
        <v>14</v>
      </c>
      <c r="U11" s="665">
        <f t="shared" si="1"/>
        <v>100</v>
      </c>
      <c r="V11" s="664" t="s">
        <v>14</v>
      </c>
      <c r="W11" s="665">
        <f t="shared" si="2"/>
        <v>100</v>
      </c>
      <c r="X11" s="666"/>
      <c r="Y11" s="34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50"/>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50"/>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50">
        <f t="shared" si="5"/>
        <v>1</v>
      </c>
    </row>
    <row r="14" spans="1:29" ht="96.6">
      <c r="A14" s="345" t="s">
        <v>1689</v>
      </c>
      <c r="B14" s="554" t="s">
        <v>1832</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51" t="s">
        <v>1690</v>
      </c>
      <c r="Q14" s="1263" t="str">
        <f t="shared" si="6"/>
        <v>交通便捷度</v>
      </c>
      <c r="R14" s="667" t="s">
        <v>14</v>
      </c>
      <c r="S14" s="668">
        <f t="shared" si="0"/>
        <v>100</v>
      </c>
      <c r="T14" s="667" t="s">
        <v>14</v>
      </c>
      <c r="U14" s="668">
        <f t="shared" si="1"/>
        <v>100</v>
      </c>
      <c r="V14" s="667" t="s">
        <v>14</v>
      </c>
      <c r="W14" s="668">
        <f t="shared" si="2"/>
        <v>100</v>
      </c>
      <c r="X14" s="1265"/>
      <c r="Y14" s="3551"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552"/>
      <c r="Q15" s="1263"/>
      <c r="R15" s="667"/>
      <c r="S15" s="668"/>
      <c r="T15" s="667"/>
      <c r="U15" s="668"/>
      <c r="V15" s="667"/>
      <c r="W15" s="668"/>
      <c r="X15" s="1265"/>
      <c r="Y15" s="3552"/>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52"/>
      <c r="Q16" s="1263" t="str">
        <f>B16</f>
        <v>公共配套设施</v>
      </c>
      <c r="R16" s="667" t="s">
        <v>14</v>
      </c>
      <c r="S16" s="668">
        <f>F16</f>
        <v>100</v>
      </c>
      <c r="T16" s="667" t="s">
        <v>14</v>
      </c>
      <c r="U16" s="668">
        <f>H16</f>
        <v>100</v>
      </c>
      <c r="V16" s="667" t="s">
        <v>14</v>
      </c>
      <c r="W16" s="668">
        <f>J16</f>
        <v>100</v>
      </c>
      <c r="X16" s="1265"/>
      <c r="Y16" s="35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552"/>
      <c r="Q17" s="1263"/>
      <c r="R17" s="667"/>
      <c r="S17" s="668"/>
      <c r="T17" s="667"/>
      <c r="U17" s="668"/>
      <c r="V17" s="667"/>
      <c r="W17" s="668"/>
      <c r="X17" s="1265"/>
      <c r="Y17" s="3552"/>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52"/>
      <c r="Q18" s="1263" t="str">
        <f>B18</f>
        <v>基础设施水平</v>
      </c>
      <c r="R18" s="667" t="s">
        <v>14</v>
      </c>
      <c r="S18" s="668">
        <f>F18</f>
        <v>100</v>
      </c>
      <c r="T18" s="667" t="s">
        <v>14</v>
      </c>
      <c r="U18" s="668">
        <f>H18</f>
        <v>100</v>
      </c>
      <c r="V18" s="667" t="s">
        <v>14</v>
      </c>
      <c r="W18" s="668">
        <f>J18</f>
        <v>100</v>
      </c>
      <c r="X18" s="1265"/>
      <c r="Y18" s="35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552"/>
      <c r="Q19" s="1263"/>
      <c r="R19" s="667"/>
      <c r="S19" s="668"/>
      <c r="T19" s="667"/>
      <c r="U19" s="668"/>
      <c r="V19" s="667"/>
      <c r="W19" s="668"/>
      <c r="X19" s="1265"/>
      <c r="Y19" s="3552"/>
      <c r="Z19" s="1264"/>
      <c r="AA19" s="1264">
        <v>1</v>
      </c>
      <c r="AB19" s="1264">
        <v>1</v>
      </c>
      <c r="AC19" s="1264">
        <v>1</v>
      </c>
    </row>
    <row r="20" spans="1:29" ht="55.2">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52"/>
      <c r="Q20" s="1263" t="str">
        <f>B20</f>
        <v>自然及人文环境</v>
      </c>
      <c r="R20" s="667" t="s">
        <v>14</v>
      </c>
      <c r="S20" s="668">
        <f>F20</f>
        <v>100</v>
      </c>
      <c r="T20" s="667" t="s">
        <v>14</v>
      </c>
      <c r="U20" s="668">
        <f>H20</f>
        <v>100</v>
      </c>
      <c r="V20" s="667" t="s">
        <v>14</v>
      </c>
      <c r="W20" s="668">
        <f>J20</f>
        <v>100</v>
      </c>
      <c r="X20" s="1265"/>
      <c r="Y20" s="35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552"/>
      <c r="Q21" s="1263"/>
      <c r="R21" s="667"/>
      <c r="S21" s="668"/>
      <c r="T21" s="667"/>
      <c r="U21" s="668"/>
      <c r="V21" s="667"/>
      <c r="W21" s="668"/>
      <c r="X21" s="1265"/>
      <c r="Y21" s="3552"/>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52"/>
      <c r="Q22" s="1263" t="str">
        <f>B22</f>
        <v>楼层</v>
      </c>
      <c r="R22" s="667" t="s">
        <v>14</v>
      </c>
      <c r="S22" s="668">
        <f>F22</f>
        <v>100</v>
      </c>
      <c r="T22" s="667" t="s">
        <v>14</v>
      </c>
      <c r="U22" s="668">
        <f>H22</f>
        <v>100</v>
      </c>
      <c r="V22" s="667" t="s">
        <v>14</v>
      </c>
      <c r="W22" s="668">
        <f>J22</f>
        <v>100</v>
      </c>
      <c r="X22" s="1265"/>
      <c r="Y22" s="35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52"/>
      <c r="Q23" s="1263">
        <f>B23</f>
        <v>111</v>
      </c>
      <c r="R23" s="667" t="s">
        <v>14</v>
      </c>
      <c r="S23" s="668">
        <f>F23</f>
        <v>100</v>
      </c>
      <c r="T23" s="667" t="s">
        <v>14</v>
      </c>
      <c r="U23" s="668">
        <f>H23</f>
        <v>100</v>
      </c>
      <c r="V23" s="667" t="s">
        <v>14</v>
      </c>
      <c r="W23" s="668">
        <f>J23</f>
        <v>100</v>
      </c>
      <c r="X23" s="1265"/>
      <c r="Y23" s="35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52"/>
      <c r="Q24" s="1263">
        <f t="shared" ref="Q24:Q36" si="11">B24</f>
        <v>111</v>
      </c>
      <c r="R24" s="667" t="s">
        <v>14</v>
      </c>
      <c r="S24" s="668">
        <f>F24</f>
        <v>100</v>
      </c>
      <c r="T24" s="667" t="s">
        <v>14</v>
      </c>
      <c r="U24" s="668">
        <f>H24</f>
        <v>100</v>
      </c>
      <c r="V24" s="667" t="s">
        <v>14</v>
      </c>
      <c r="W24" s="668">
        <f>J24</f>
        <v>100</v>
      </c>
      <c r="X24" s="1265"/>
      <c r="Y24" s="355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52"/>
      <c r="Q25" s="530">
        <f t="shared" si="11"/>
        <v>111</v>
      </c>
      <c r="R25" s="664" t="s">
        <v>14</v>
      </c>
      <c r="S25" s="665">
        <f>F25</f>
        <v>100</v>
      </c>
      <c r="T25" s="664" t="s">
        <v>14</v>
      </c>
      <c r="U25" s="665">
        <f>H25</f>
        <v>100</v>
      </c>
      <c r="V25" s="664" t="s">
        <v>14</v>
      </c>
      <c r="W25" s="665">
        <f>J25</f>
        <v>100</v>
      </c>
      <c r="X25" s="666"/>
      <c r="Y25" s="3552"/>
      <c r="Z25" s="50">
        <f>Q25</f>
        <v>111</v>
      </c>
      <c r="AA25" s="1264">
        <f>D25/F25</f>
        <v>1</v>
      </c>
      <c r="AB25" s="1264">
        <f>D25/H25</f>
        <v>1</v>
      </c>
      <c r="AC25" s="1264">
        <f>D25/J25</f>
        <v>1</v>
      </c>
    </row>
    <row r="26" spans="1:29" ht="30">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96"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56"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56"/>
      <c r="Q27" s="531" t="str">
        <f t="shared" si="11"/>
        <v>项目停车位配比</v>
      </c>
      <c r="R27" s="669" t="s">
        <v>14</v>
      </c>
      <c r="S27" s="670">
        <f t="shared" si="12"/>
        <v>100</v>
      </c>
      <c r="T27" s="669" t="s">
        <v>14</v>
      </c>
      <c r="U27" s="670">
        <f t="shared" si="13"/>
        <v>100</v>
      </c>
      <c r="V27" s="669" t="s">
        <v>14</v>
      </c>
      <c r="W27" s="670">
        <f t="shared" si="14"/>
        <v>100</v>
      </c>
      <c r="X27" s="671"/>
      <c r="Y27" s="3556"/>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56"/>
      <c r="Q28" s="1263" t="str">
        <f t="shared" si="11"/>
        <v>公共部分装修</v>
      </c>
      <c r="R28" s="667" t="s">
        <v>14</v>
      </c>
      <c r="S28" s="668">
        <f t="shared" si="12"/>
        <v>100</v>
      </c>
      <c r="T28" s="667" t="s">
        <v>14</v>
      </c>
      <c r="U28" s="668">
        <f t="shared" si="13"/>
        <v>100</v>
      </c>
      <c r="V28" s="667" t="s">
        <v>14</v>
      </c>
      <c r="W28" s="668">
        <f t="shared" si="14"/>
        <v>100</v>
      </c>
      <c r="X28" s="1265"/>
      <c r="Y28" s="3556"/>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56"/>
      <c r="Q29" s="1263" t="str">
        <f t="shared" si="11"/>
        <v>成新率</v>
      </c>
      <c r="R29" s="667" t="s">
        <v>14</v>
      </c>
      <c r="S29" s="668" t="e">
        <f t="shared" si="12"/>
        <v>#N/A</v>
      </c>
      <c r="T29" s="667" t="s">
        <v>14</v>
      </c>
      <c r="U29" s="668" t="e">
        <f t="shared" si="13"/>
        <v>#N/A</v>
      </c>
      <c r="V29" s="667" t="s">
        <v>14</v>
      </c>
      <c r="W29" s="668" t="e">
        <f t="shared" si="14"/>
        <v>#N/A</v>
      </c>
      <c r="X29" s="1265"/>
      <c r="Y29" s="3556"/>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56"/>
      <c r="Q30" s="1263" t="str">
        <f t="shared" si="11"/>
        <v>物业等级</v>
      </c>
      <c r="R30" s="667" t="s">
        <v>14</v>
      </c>
      <c r="S30" s="668">
        <f t="shared" si="12"/>
        <v>100</v>
      </c>
      <c r="T30" s="667" t="s">
        <v>14</v>
      </c>
      <c r="U30" s="668">
        <f t="shared" si="13"/>
        <v>100</v>
      </c>
      <c r="V30" s="667" t="s">
        <v>14</v>
      </c>
      <c r="W30" s="668">
        <f t="shared" si="14"/>
        <v>100</v>
      </c>
      <c r="X30" s="1265"/>
      <c r="Y30" s="3556"/>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56"/>
      <c r="Q31" s="530" t="str">
        <f t="shared" si="11"/>
        <v>停车位面积</v>
      </c>
      <c r="R31" s="664" t="s">
        <v>14</v>
      </c>
      <c r="S31" s="665" t="e">
        <f t="shared" si="12"/>
        <v>#N/A</v>
      </c>
      <c r="T31" s="664" t="s">
        <v>14</v>
      </c>
      <c r="U31" s="665" t="e">
        <f t="shared" si="13"/>
        <v>#N/A</v>
      </c>
      <c r="V31" s="664" t="s">
        <v>14</v>
      </c>
      <c r="W31" s="665" t="e">
        <f t="shared" si="14"/>
        <v>#N/A</v>
      </c>
      <c r="X31" s="666"/>
      <c r="Y31" s="3556"/>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56" t="s">
        <v>1695</v>
      </c>
      <c r="Q32" s="1263" t="str">
        <f t="shared" si="11"/>
        <v>车位类型</v>
      </c>
      <c r="R32" s="667" t="s">
        <v>14</v>
      </c>
      <c r="S32" s="668">
        <f t="shared" si="12"/>
        <v>100</v>
      </c>
      <c r="T32" s="667" t="s">
        <v>14</v>
      </c>
      <c r="U32" s="668">
        <f t="shared" si="13"/>
        <v>100</v>
      </c>
      <c r="V32" s="667" t="s">
        <v>14</v>
      </c>
      <c r="W32" s="668">
        <f t="shared" si="14"/>
        <v>100</v>
      </c>
      <c r="X32" s="1265"/>
      <c r="Y32" s="3556"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56"/>
      <c r="Q33" s="1263" t="str">
        <f t="shared" si="11"/>
        <v>是否直接入户</v>
      </c>
      <c r="R33" s="667" t="s">
        <v>14</v>
      </c>
      <c r="S33" s="668">
        <f t="shared" si="12"/>
        <v>100</v>
      </c>
      <c r="T33" s="667" t="s">
        <v>14</v>
      </c>
      <c r="U33" s="668">
        <f t="shared" si="13"/>
        <v>100</v>
      </c>
      <c r="V33" s="667" t="s">
        <v>14</v>
      </c>
      <c r="W33" s="668">
        <f t="shared" si="14"/>
        <v>100</v>
      </c>
      <c r="X33" s="1265"/>
      <c r="Y33" s="35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56"/>
      <c r="Q34" s="1263">
        <f t="shared" si="11"/>
        <v>111</v>
      </c>
      <c r="R34" s="667" t="s">
        <v>14</v>
      </c>
      <c r="S34" s="668">
        <f t="shared" si="12"/>
        <v>100</v>
      </c>
      <c r="T34" s="667" t="s">
        <v>14</v>
      </c>
      <c r="U34" s="668">
        <f t="shared" si="13"/>
        <v>100</v>
      </c>
      <c r="V34" s="667" t="s">
        <v>14</v>
      </c>
      <c r="W34" s="668">
        <f t="shared" si="14"/>
        <v>100</v>
      </c>
      <c r="X34" s="1265"/>
      <c r="Y34" s="35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56"/>
      <c r="Q35" s="531">
        <f t="shared" si="11"/>
        <v>111</v>
      </c>
      <c r="R35" s="669" t="s">
        <v>14</v>
      </c>
      <c r="S35" s="670">
        <f t="shared" si="12"/>
        <v>100</v>
      </c>
      <c r="T35" s="669" t="s">
        <v>14</v>
      </c>
      <c r="U35" s="670">
        <f t="shared" si="13"/>
        <v>100</v>
      </c>
      <c r="V35" s="669" t="s">
        <v>14</v>
      </c>
      <c r="W35" s="670">
        <f t="shared" si="14"/>
        <v>100</v>
      </c>
      <c r="X35" s="671"/>
      <c r="Y35" s="355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56"/>
      <c r="Q36" s="1263">
        <f t="shared" si="11"/>
        <v>111</v>
      </c>
      <c r="R36" s="667" t="s">
        <v>14</v>
      </c>
      <c r="S36" s="668">
        <f t="shared" si="12"/>
        <v>100</v>
      </c>
      <c r="T36" s="667" t="s">
        <v>14</v>
      </c>
      <c r="U36" s="668">
        <f t="shared" si="13"/>
        <v>100</v>
      </c>
      <c r="V36" s="667" t="s">
        <v>14</v>
      </c>
      <c r="W36" s="668">
        <f t="shared" si="14"/>
        <v>100</v>
      </c>
      <c r="X36" s="1265"/>
      <c r="Y36" s="3556"/>
      <c r="Z36" s="1264">
        <f t="shared" si="15"/>
        <v>111</v>
      </c>
      <c r="AA36" s="1264">
        <f t="shared" si="3"/>
        <v>1</v>
      </c>
      <c r="AB36" s="1264">
        <f t="shared" si="4"/>
        <v>1</v>
      </c>
      <c r="AC36" s="1264">
        <f t="shared" si="5"/>
        <v>1</v>
      </c>
    </row>
    <row r="37" spans="1:29" ht="14.4">
      <c r="A37" s="416" t="s">
        <v>1843</v>
      </c>
      <c r="B37" s="1820" t="s">
        <v>3355</v>
      </c>
      <c r="C37" s="1081" t="s">
        <v>0</v>
      </c>
      <c r="D37" s="418"/>
      <c r="E37" s="419"/>
      <c r="F37" s="420"/>
      <c r="G37" s="421"/>
      <c r="H37" s="422"/>
      <c r="I37" s="419"/>
      <c r="J37" s="422"/>
      <c r="K37" s="545"/>
      <c r="L37" s="2494"/>
      <c r="M37" s="2487"/>
      <c r="N37" s="2487"/>
      <c r="O37" s="2487"/>
      <c r="P37" s="3550" t="str">
        <f>A37</f>
        <v>成交单价</v>
      </c>
      <c r="Q37" s="3550"/>
      <c r="R37" s="3545">
        <f>E37</f>
        <v>0</v>
      </c>
      <c r="S37" s="3545"/>
      <c r="T37" s="3545">
        <f>G37</f>
        <v>0</v>
      </c>
      <c r="U37" s="3545"/>
      <c r="V37" s="3545">
        <f>I37</f>
        <v>0</v>
      </c>
      <c r="W37" s="3545"/>
      <c r="X37" s="385"/>
      <c r="Y37" s="673"/>
      <c r="Z37" s="385"/>
      <c r="AA37" s="385"/>
      <c r="AB37" s="385"/>
      <c r="AC37" s="385"/>
    </row>
    <row r="38" spans="1:29" ht="1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4"/>
      <c r="M38" s="2487"/>
      <c r="N38" s="2487"/>
      <c r="O38" s="2487"/>
      <c r="P38" s="3550" t="str">
        <f>A38</f>
        <v>比较价值（元/平方米）</v>
      </c>
      <c r="Q38" s="3550"/>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4"/>
      <c r="M39" s="2487"/>
      <c r="N39" s="2487"/>
      <c r="O39" s="2487"/>
      <c r="P39" s="3547" t="str">
        <f>A39</f>
        <v>估价对象XX用房的比较价值（楼面单价，元/平方米）</v>
      </c>
      <c r="Q39" s="3548"/>
      <c r="R39" s="3597" t="e">
        <f>IF(F1="售价",ROUND(IF(D38="简单平均",AVERAGE(R38:W38),R38*F38+T38*H38+V38*J38),0),ROUND(IF(D38="简单平均",AVERAGE(R38:V38),R38*F38+T38*H38+V38*J38),1))</f>
        <v>#DIV/0!</v>
      </c>
      <c r="S39" s="3597"/>
      <c r="T39" s="3597"/>
      <c r="U39" s="3597"/>
      <c r="V39" s="3597"/>
      <c r="W39" s="359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37" t="s">
        <v>1774</v>
      </c>
      <c r="Q4" s="3538"/>
      <c r="R4" s="3519" t="s">
        <v>1770</v>
      </c>
      <c r="S4" s="3520"/>
      <c r="T4" s="3519" t="s">
        <v>1771</v>
      </c>
      <c r="U4" s="3520"/>
      <c r="V4" s="3545" t="s">
        <v>1772</v>
      </c>
      <c r="W4" s="3545"/>
      <c r="X4" s="1265"/>
      <c r="Y4" s="3519" t="s">
        <v>1774</v>
      </c>
      <c r="Z4" s="3520"/>
      <c r="AA4" s="3514" t="s">
        <v>1770</v>
      </c>
      <c r="AB4" s="3515" t="s">
        <v>1771</v>
      </c>
      <c r="AC4" s="3514" t="s">
        <v>1772</v>
      </c>
    </row>
    <row r="5" spans="1:29">
      <c r="A5" s="348"/>
      <c r="B5" s="349"/>
      <c r="C5" s="3529" t="s">
        <v>1672</v>
      </c>
      <c r="D5" s="3526"/>
      <c r="E5" s="3523" t="s">
        <v>1673</v>
      </c>
      <c r="F5" s="3524"/>
      <c r="G5" s="3529" t="s">
        <v>1674</v>
      </c>
      <c r="H5" s="3526"/>
      <c r="I5" s="3529" t="s">
        <v>1675</v>
      </c>
      <c r="J5" s="3526"/>
      <c r="K5" s="537"/>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537"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17" t="s">
        <v>1679</v>
      </c>
      <c r="Q7" s="3546"/>
      <c r="R7" s="664" t="s">
        <v>14</v>
      </c>
      <c r="S7" s="665">
        <f t="shared" ref="S7:S14" si="0">F7</f>
        <v>0</v>
      </c>
      <c r="T7" s="664" t="s">
        <v>14</v>
      </c>
      <c r="U7" s="665">
        <f t="shared" ref="U7:U14" si="1">H7</f>
        <v>0</v>
      </c>
      <c r="V7" s="664" t="s">
        <v>14</v>
      </c>
      <c r="W7" s="665">
        <f t="shared" ref="W7:W14" si="2">J7</f>
        <v>0</v>
      </c>
      <c r="X7" s="666"/>
      <c r="Y7" s="3517" t="s">
        <v>1679</v>
      </c>
      <c r="Z7" s="3518"/>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17" t="s">
        <v>1682</v>
      </c>
      <c r="Q8" s="3518"/>
      <c r="R8" s="664" t="s">
        <v>14</v>
      </c>
      <c r="S8" s="665">
        <f t="shared" si="0"/>
        <v>100</v>
      </c>
      <c r="T8" s="664" t="s">
        <v>14</v>
      </c>
      <c r="U8" s="665">
        <f t="shared" si="1"/>
        <v>100</v>
      </c>
      <c r="V8" s="664" t="s">
        <v>14</v>
      </c>
      <c r="W8" s="665">
        <f t="shared" si="2"/>
        <v>100</v>
      </c>
      <c r="X8" s="666"/>
      <c r="Y8" s="3517" t="s">
        <v>1682</v>
      </c>
      <c r="Z8" s="3518"/>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50" t="s">
        <v>1685</v>
      </c>
      <c r="Q9" s="530" t="str">
        <f t="shared" ref="Q9:Q14" si="6">B9</f>
        <v>用途</v>
      </c>
      <c r="R9" s="664" t="s">
        <v>14</v>
      </c>
      <c r="S9" s="665">
        <f t="shared" si="0"/>
        <v>100</v>
      </c>
      <c r="T9" s="664" t="s">
        <v>14</v>
      </c>
      <c r="U9" s="665">
        <f t="shared" si="1"/>
        <v>100</v>
      </c>
      <c r="V9" s="664" t="s">
        <v>14</v>
      </c>
      <c r="W9" s="665">
        <f t="shared" si="2"/>
        <v>100</v>
      </c>
      <c r="X9" s="666"/>
      <c r="Y9" s="3490"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50"/>
      <c r="Q10" s="530" t="str">
        <f t="shared" si="6"/>
        <v>土地使用年限（年）</v>
      </c>
      <c r="R10" s="664" t="s">
        <v>14</v>
      </c>
      <c r="S10" s="665">
        <f t="shared" si="0"/>
        <v>100</v>
      </c>
      <c r="T10" s="664" t="s">
        <v>14</v>
      </c>
      <c r="U10" s="665">
        <f t="shared" si="1"/>
        <v>100</v>
      </c>
      <c r="V10" s="664" t="s">
        <v>14</v>
      </c>
      <c r="W10" s="665">
        <f t="shared" si="2"/>
        <v>100</v>
      </c>
      <c r="X10" s="666"/>
      <c r="Y10" s="34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50"/>
      <c r="Q11" s="530">
        <f t="shared" si="6"/>
        <v>111</v>
      </c>
      <c r="R11" s="664" t="s">
        <v>14</v>
      </c>
      <c r="S11" s="665">
        <f t="shared" si="0"/>
        <v>100</v>
      </c>
      <c r="T11" s="664" t="s">
        <v>14</v>
      </c>
      <c r="U11" s="665">
        <f t="shared" si="1"/>
        <v>100</v>
      </c>
      <c r="V11" s="664" t="s">
        <v>14</v>
      </c>
      <c r="W11" s="665">
        <f t="shared" si="2"/>
        <v>100</v>
      </c>
      <c r="X11" s="666"/>
      <c r="Y11" s="34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50"/>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50"/>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50">
        <f t="shared" si="5"/>
        <v>1</v>
      </c>
    </row>
    <row r="14" spans="1:29" ht="96.6">
      <c r="A14" s="379" t="s">
        <v>1689</v>
      </c>
      <c r="B14" s="58" t="s">
        <v>1832</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51" t="s">
        <v>1690</v>
      </c>
      <c r="Q14" s="1263" t="str">
        <f t="shared" si="6"/>
        <v>交通便捷度</v>
      </c>
      <c r="R14" s="667" t="s">
        <v>14</v>
      </c>
      <c r="S14" s="668">
        <f t="shared" si="0"/>
        <v>100</v>
      </c>
      <c r="T14" s="667" t="s">
        <v>14</v>
      </c>
      <c r="U14" s="668">
        <f t="shared" si="1"/>
        <v>100</v>
      </c>
      <c r="V14" s="667" t="s">
        <v>14</v>
      </c>
      <c r="W14" s="668">
        <f t="shared" si="2"/>
        <v>100</v>
      </c>
      <c r="X14" s="1265"/>
      <c r="Y14" s="3551"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552"/>
      <c r="Q15" s="1263"/>
      <c r="R15" s="667"/>
      <c r="S15" s="668"/>
      <c r="T15" s="667"/>
      <c r="U15" s="668"/>
      <c r="V15" s="667"/>
      <c r="W15" s="668"/>
      <c r="X15" s="1265"/>
      <c r="Y15" s="3552"/>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52"/>
      <c r="Q16" s="1263" t="str">
        <f>B16</f>
        <v>公共配套设施</v>
      </c>
      <c r="R16" s="667" t="s">
        <v>14</v>
      </c>
      <c r="S16" s="668">
        <f>F16</f>
        <v>100</v>
      </c>
      <c r="T16" s="667" t="s">
        <v>14</v>
      </c>
      <c r="U16" s="668">
        <f>H16</f>
        <v>100</v>
      </c>
      <c r="V16" s="667" t="s">
        <v>14</v>
      </c>
      <c r="W16" s="668">
        <f>J16</f>
        <v>100</v>
      </c>
      <c r="X16" s="1265"/>
      <c r="Y16" s="355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552"/>
      <c r="Q17" s="1263"/>
      <c r="R17" s="667"/>
      <c r="S17" s="668"/>
      <c r="T17" s="667"/>
      <c r="U17" s="668"/>
      <c r="V17" s="667"/>
      <c r="W17" s="668"/>
      <c r="X17" s="1265"/>
      <c r="Y17" s="3552"/>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52"/>
      <c r="Q18" s="1263" t="str">
        <f>B18</f>
        <v>基础设施水平</v>
      </c>
      <c r="R18" s="667" t="s">
        <v>14</v>
      </c>
      <c r="S18" s="668">
        <f>F18</f>
        <v>100</v>
      </c>
      <c r="T18" s="667" t="s">
        <v>14</v>
      </c>
      <c r="U18" s="668">
        <f>H18</f>
        <v>100</v>
      </c>
      <c r="V18" s="667" t="s">
        <v>14</v>
      </c>
      <c r="W18" s="668">
        <f>J18</f>
        <v>100</v>
      </c>
      <c r="X18" s="1265"/>
      <c r="Y18" s="355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552"/>
      <c r="Q19" s="1263"/>
      <c r="R19" s="667"/>
      <c r="S19" s="668"/>
      <c r="T19" s="667"/>
      <c r="U19" s="668"/>
      <c r="V19" s="667"/>
      <c r="W19" s="668"/>
      <c r="X19" s="1265"/>
      <c r="Y19" s="3552"/>
      <c r="Z19" s="1264"/>
      <c r="AA19" s="1264">
        <v>1</v>
      </c>
      <c r="AB19" s="1264">
        <v>1</v>
      </c>
      <c r="AC19" s="1264">
        <v>1</v>
      </c>
    </row>
    <row r="20" spans="1:29" ht="55.2">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52"/>
      <c r="Q20" s="1263" t="str">
        <f>B20</f>
        <v>自然及人文环境</v>
      </c>
      <c r="R20" s="667" t="s">
        <v>14</v>
      </c>
      <c r="S20" s="668">
        <f>F20</f>
        <v>100</v>
      </c>
      <c r="T20" s="667" t="s">
        <v>14</v>
      </c>
      <c r="U20" s="668">
        <f>H20</f>
        <v>100</v>
      </c>
      <c r="V20" s="667" t="s">
        <v>14</v>
      </c>
      <c r="W20" s="668">
        <f>J20</f>
        <v>100</v>
      </c>
      <c r="X20" s="1265"/>
      <c r="Y20" s="355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552"/>
      <c r="Q21" s="1263"/>
      <c r="R21" s="667"/>
      <c r="S21" s="668"/>
      <c r="T21" s="667"/>
      <c r="U21" s="668"/>
      <c r="V21" s="667"/>
      <c r="W21" s="668"/>
      <c r="X21" s="1265"/>
      <c r="Y21" s="3552"/>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52"/>
      <c r="Q22" s="1263" t="str">
        <f>B22</f>
        <v>楼层</v>
      </c>
      <c r="R22" s="667" t="s">
        <v>14</v>
      </c>
      <c r="S22" s="668">
        <f>F22</f>
        <v>100</v>
      </c>
      <c r="T22" s="667" t="s">
        <v>14</v>
      </c>
      <c r="U22" s="668">
        <f>H22</f>
        <v>100</v>
      </c>
      <c r="V22" s="667" t="s">
        <v>14</v>
      </c>
      <c r="W22" s="668">
        <f>J22</f>
        <v>100</v>
      </c>
      <c r="X22" s="1265"/>
      <c r="Y22" s="355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52"/>
      <c r="Q23" s="1263">
        <f>B23</f>
        <v>111</v>
      </c>
      <c r="R23" s="667" t="s">
        <v>14</v>
      </c>
      <c r="S23" s="668">
        <f>F23</f>
        <v>100</v>
      </c>
      <c r="T23" s="667" t="s">
        <v>14</v>
      </c>
      <c r="U23" s="668">
        <f>H23</f>
        <v>100</v>
      </c>
      <c r="V23" s="667" t="s">
        <v>14</v>
      </c>
      <c r="W23" s="668">
        <f>J23</f>
        <v>100</v>
      </c>
      <c r="X23" s="1265"/>
      <c r="Y23" s="355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52"/>
      <c r="Q24" s="1263">
        <f t="shared" ref="Q24:Q34" si="11">B24</f>
        <v>111</v>
      </c>
      <c r="R24" s="667" t="s">
        <v>14</v>
      </c>
      <c r="S24" s="668">
        <f>F24</f>
        <v>100</v>
      </c>
      <c r="T24" s="667" t="s">
        <v>14</v>
      </c>
      <c r="U24" s="668">
        <f>H24</f>
        <v>100</v>
      </c>
      <c r="V24" s="667" t="s">
        <v>14</v>
      </c>
      <c r="W24" s="668">
        <f>J24</f>
        <v>100</v>
      </c>
      <c r="X24" s="1265"/>
      <c r="Y24" s="3552"/>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552"/>
      <c r="Q25" s="530">
        <f t="shared" si="11"/>
        <v>111</v>
      </c>
      <c r="R25" s="664" t="s">
        <v>14</v>
      </c>
      <c r="S25" s="665">
        <f>F25</f>
        <v>100</v>
      </c>
      <c r="T25" s="664" t="s">
        <v>14</v>
      </c>
      <c r="U25" s="665">
        <f>H25</f>
        <v>100</v>
      </c>
      <c r="V25" s="664" t="s">
        <v>14</v>
      </c>
      <c r="W25" s="665">
        <f>J25</f>
        <v>100</v>
      </c>
      <c r="X25" s="666"/>
      <c r="Y25" s="3552"/>
      <c r="Z25" s="50">
        <f>Q25</f>
        <v>111</v>
      </c>
      <c r="AA25" s="1264">
        <f>D25/F25</f>
        <v>1</v>
      </c>
      <c r="AB25" s="1264">
        <f>D25/H25</f>
        <v>1</v>
      </c>
      <c r="AC25" s="1264">
        <f>D25/J25</f>
        <v>1</v>
      </c>
    </row>
    <row r="26" spans="1:29" ht="30">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96"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56"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56"/>
      <c r="Q27" s="531" t="str">
        <f t="shared" si="11"/>
        <v>成新率</v>
      </c>
      <c r="R27" s="669" t="s">
        <v>14</v>
      </c>
      <c r="S27" s="670" t="e">
        <f t="shared" si="12"/>
        <v>#N/A</v>
      </c>
      <c r="T27" s="669" t="s">
        <v>14</v>
      </c>
      <c r="U27" s="670" t="e">
        <f t="shared" si="13"/>
        <v>#N/A</v>
      </c>
      <c r="V27" s="669" t="s">
        <v>14</v>
      </c>
      <c r="W27" s="670" t="e">
        <f t="shared" si="14"/>
        <v>#N/A</v>
      </c>
      <c r="X27" s="671"/>
      <c r="Y27" s="3556"/>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56"/>
      <c r="Q28" s="1263" t="str">
        <f t="shared" si="11"/>
        <v>物业等级</v>
      </c>
      <c r="R28" s="667" t="s">
        <v>14</v>
      </c>
      <c r="S28" s="668">
        <f t="shared" si="12"/>
        <v>100</v>
      </c>
      <c r="T28" s="667" t="s">
        <v>14</v>
      </c>
      <c r="U28" s="668">
        <f t="shared" si="13"/>
        <v>100</v>
      </c>
      <c r="V28" s="667" t="s">
        <v>14</v>
      </c>
      <c r="W28" s="668">
        <f t="shared" si="14"/>
        <v>100</v>
      </c>
      <c r="X28" s="1265"/>
      <c r="Y28" s="3556"/>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556"/>
      <c r="Q29" s="1263" t="str">
        <f t="shared" si="11"/>
        <v>有无电梯</v>
      </c>
      <c r="R29" s="667" t="s">
        <v>14</v>
      </c>
      <c r="S29" s="668">
        <f t="shared" si="12"/>
        <v>100</v>
      </c>
      <c r="T29" s="667" t="s">
        <v>14</v>
      </c>
      <c r="U29" s="668">
        <f t="shared" si="13"/>
        <v>100</v>
      </c>
      <c r="V29" s="667" t="s">
        <v>14</v>
      </c>
      <c r="W29" s="668">
        <f t="shared" si="14"/>
        <v>100</v>
      </c>
      <c r="X29" s="1265"/>
      <c r="Y29" s="3556"/>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56"/>
      <c r="Q30" s="1263" t="str">
        <f t="shared" si="11"/>
        <v>建筑面积</v>
      </c>
      <c r="R30" s="667" t="s">
        <v>14</v>
      </c>
      <c r="S30" s="668" t="e">
        <f t="shared" si="12"/>
        <v>#N/A</v>
      </c>
      <c r="T30" s="667" t="s">
        <v>14</v>
      </c>
      <c r="U30" s="668" t="e">
        <f t="shared" si="13"/>
        <v>#N/A</v>
      </c>
      <c r="V30" s="667" t="s">
        <v>14</v>
      </c>
      <c r="W30" s="668" t="e">
        <f t="shared" si="14"/>
        <v>#N/A</v>
      </c>
      <c r="X30" s="1265"/>
      <c r="Y30" s="3556"/>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556"/>
      <c r="Q31" s="530" t="str">
        <f t="shared" si="11"/>
        <v>是否封闭</v>
      </c>
      <c r="R31" s="664" t="s">
        <v>14</v>
      </c>
      <c r="S31" s="665">
        <f t="shared" si="12"/>
        <v>100</v>
      </c>
      <c r="T31" s="664" t="s">
        <v>14</v>
      </c>
      <c r="U31" s="665">
        <f t="shared" si="13"/>
        <v>100</v>
      </c>
      <c r="V31" s="664" t="s">
        <v>14</v>
      </c>
      <c r="W31" s="665">
        <f t="shared" si="14"/>
        <v>100</v>
      </c>
      <c r="X31" s="666"/>
      <c r="Y31" s="35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56" t="s">
        <v>1695</v>
      </c>
      <c r="Q32" s="1263">
        <f t="shared" si="11"/>
        <v>111</v>
      </c>
      <c r="R32" s="667" t="s">
        <v>14</v>
      </c>
      <c r="S32" s="668">
        <f t="shared" si="12"/>
        <v>100</v>
      </c>
      <c r="T32" s="667" t="s">
        <v>14</v>
      </c>
      <c r="U32" s="668">
        <f t="shared" si="13"/>
        <v>100</v>
      </c>
      <c r="V32" s="667" t="s">
        <v>14</v>
      </c>
      <c r="W32" s="668">
        <f t="shared" si="14"/>
        <v>100</v>
      </c>
      <c r="X32" s="1265"/>
      <c r="Y32" s="3556"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56"/>
      <c r="Q33" s="1263">
        <f t="shared" si="11"/>
        <v>111</v>
      </c>
      <c r="R33" s="667" t="s">
        <v>14</v>
      </c>
      <c r="S33" s="668">
        <f t="shared" si="12"/>
        <v>100</v>
      </c>
      <c r="T33" s="667" t="s">
        <v>14</v>
      </c>
      <c r="U33" s="668">
        <f t="shared" si="13"/>
        <v>100</v>
      </c>
      <c r="V33" s="667" t="s">
        <v>14</v>
      </c>
      <c r="W33" s="668">
        <f t="shared" si="14"/>
        <v>100</v>
      </c>
      <c r="X33" s="1265"/>
      <c r="Y33" s="3556"/>
      <c r="Z33" s="1264">
        <f t="shared" si="15"/>
        <v>111</v>
      </c>
      <c r="AA33" s="1264">
        <f t="shared" si="3"/>
        <v>1</v>
      </c>
      <c r="AB33" s="1264">
        <f t="shared" si="4"/>
        <v>1</v>
      </c>
      <c r="AC33" s="1264">
        <f t="shared" si="5"/>
        <v>1</v>
      </c>
    </row>
    <row r="34" spans="1:30" ht="15.6"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56"/>
      <c r="Q34" s="1263">
        <f t="shared" si="11"/>
        <v>111</v>
      </c>
      <c r="R34" s="667" t="s">
        <v>14</v>
      </c>
      <c r="S34" s="668">
        <f t="shared" si="12"/>
        <v>100</v>
      </c>
      <c r="T34" s="667" t="s">
        <v>14</v>
      </c>
      <c r="U34" s="668">
        <f t="shared" si="13"/>
        <v>100</v>
      </c>
      <c r="V34" s="667" t="s">
        <v>14</v>
      </c>
      <c r="W34" s="668">
        <f t="shared" si="14"/>
        <v>100</v>
      </c>
      <c r="X34" s="1265"/>
      <c r="Y34" s="3556"/>
      <c r="Z34" s="1264">
        <f t="shared" si="15"/>
        <v>111</v>
      </c>
      <c r="AA34" s="1264">
        <f t="shared" si="3"/>
        <v>1</v>
      </c>
      <c r="AB34" s="1264">
        <f t="shared" si="4"/>
        <v>1</v>
      </c>
      <c r="AC34" s="1264">
        <f t="shared" si="5"/>
        <v>1</v>
      </c>
    </row>
    <row r="35" spans="1:30" ht="14.4">
      <c r="A35" s="416" t="s">
        <v>1707</v>
      </c>
      <c r="B35" s="417"/>
      <c r="C35" s="1081" t="s">
        <v>0</v>
      </c>
      <c r="D35" s="418"/>
      <c r="E35" s="419"/>
      <c r="F35" s="420"/>
      <c r="G35" s="421"/>
      <c r="H35" s="422"/>
      <c r="I35" s="419"/>
      <c r="J35" s="422"/>
      <c r="K35" s="674"/>
      <c r="L35" s="2494"/>
      <c r="M35" s="2487"/>
      <c r="N35" s="2487"/>
      <c r="O35" s="2487"/>
      <c r="P35" s="3550" t="str">
        <f>A35</f>
        <v>成交单价（元/平方米）</v>
      </c>
      <c r="Q35" s="3550"/>
      <c r="R35" s="3545">
        <f>E35</f>
        <v>0</v>
      </c>
      <c r="S35" s="3545"/>
      <c r="T35" s="3545">
        <f>G35</f>
        <v>0</v>
      </c>
      <c r="U35" s="3545"/>
      <c r="V35" s="3545">
        <f>I35</f>
        <v>0</v>
      </c>
      <c r="W35" s="3545"/>
      <c r="X35" s="385"/>
      <c r="Y35" s="673"/>
      <c r="Z35" s="385"/>
      <c r="AA35" s="385"/>
      <c r="AB35" s="385"/>
      <c r="AC35" s="385"/>
    </row>
    <row r="36" spans="1:30" ht="15" thickBot="1">
      <c r="A36" s="423" t="s">
        <v>1792</v>
      </c>
      <c r="B36" s="424"/>
      <c r="C36" s="1082" t="e">
        <f>R37</f>
        <v>#DIV/0!</v>
      </c>
      <c r="D36" s="2140" t="s">
        <v>2137</v>
      </c>
      <c r="E36" s="1083" t="e">
        <f>R36</f>
        <v>#DIV/0!</v>
      </c>
      <c r="F36" s="2141"/>
      <c r="G36" s="1082" t="e">
        <f>T36</f>
        <v>#DIV/0!</v>
      </c>
      <c r="H36" s="2141"/>
      <c r="I36" s="1083" t="e">
        <f>V36</f>
        <v>#DIV/0!</v>
      </c>
      <c r="J36" s="2141"/>
      <c r="K36" s="2143">
        <f>F36+H36+J36</f>
        <v>0</v>
      </c>
      <c r="L36" s="2494"/>
      <c r="M36" s="2487"/>
      <c r="N36" s="2487"/>
      <c r="O36" s="2487"/>
      <c r="P36" s="3550" t="str">
        <f>A36</f>
        <v>比较价值（元/平方米）</v>
      </c>
      <c r="Q36" s="3550"/>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385"/>
      <c r="Y36" s="385"/>
      <c r="Z36" s="385"/>
      <c r="AA36" s="385"/>
      <c r="AB36" s="385"/>
      <c r="AC36" s="385"/>
    </row>
    <row r="37" spans="1:30" ht="15" thickBot="1">
      <c r="A37" s="427" t="s">
        <v>1793</v>
      </c>
      <c r="B37" s="428"/>
      <c r="C37" s="351" t="e">
        <f>R37</f>
        <v>#DIV/0!</v>
      </c>
      <c r="D37" s="351"/>
      <c r="E37" s="351"/>
      <c r="F37" s="351"/>
      <c r="G37" s="351"/>
      <c r="H37" s="351"/>
      <c r="I37" s="351"/>
      <c r="J37" s="351"/>
      <c r="K37" s="675"/>
      <c r="L37" s="2494"/>
      <c r="M37" s="2487"/>
      <c r="N37" s="2487"/>
      <c r="O37" s="2487"/>
      <c r="P37" s="3547" t="str">
        <f>A37</f>
        <v>估价对象XX用房的比较价值（楼面单价，元/平方米）</v>
      </c>
      <c r="Q37" s="3548"/>
      <c r="R37" s="3597" t="e">
        <f>IF(F1="售价",ROUND(IF(D36="简单平均",AVERAGE(R36:W36),R36*F36+T36*H36+V36*J36),0),ROUND(IF(D36="简单平均",AVERAGE(R36:V36),R36*F36+T36*H36+V36*J36),1))</f>
        <v>#DIV/0!</v>
      </c>
      <c r="S37" s="3597"/>
      <c r="T37" s="3597"/>
      <c r="U37" s="3597"/>
      <c r="V37" s="3597"/>
      <c r="W37" s="359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37" t="s">
        <v>1774</v>
      </c>
      <c r="Q4" s="3538"/>
      <c r="R4" s="3519" t="s">
        <v>1770</v>
      </c>
      <c r="S4" s="3520"/>
      <c r="T4" s="3519" t="s">
        <v>1771</v>
      </c>
      <c r="U4" s="3520"/>
      <c r="V4" s="3545" t="s">
        <v>1772</v>
      </c>
      <c r="W4" s="3545"/>
      <c r="X4" s="1265"/>
      <c r="Y4" s="3519" t="s">
        <v>1774</v>
      </c>
      <c r="Z4" s="3520"/>
      <c r="AA4" s="3514" t="s">
        <v>1770</v>
      </c>
      <c r="AB4" s="3515" t="s">
        <v>1771</v>
      </c>
      <c r="AC4" s="3514" t="s">
        <v>1772</v>
      </c>
    </row>
    <row r="5" spans="1:29">
      <c r="A5" s="348"/>
      <c r="B5" s="349"/>
      <c r="C5" s="3529" t="s">
        <v>1672</v>
      </c>
      <c r="D5" s="3526"/>
      <c r="E5" s="3523" t="s">
        <v>1673</v>
      </c>
      <c r="F5" s="3524"/>
      <c r="G5" s="3529" t="s">
        <v>1674</v>
      </c>
      <c r="H5" s="3526"/>
      <c r="I5" s="3529" t="s">
        <v>1675</v>
      </c>
      <c r="J5" s="3526"/>
      <c r="K5" s="537"/>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527" t="s">
        <v>1676</v>
      </c>
      <c r="D6" s="3528"/>
      <c r="E6" s="3530" t="s">
        <v>1676</v>
      </c>
      <c r="F6" s="3531"/>
      <c r="G6" s="3527" t="s">
        <v>1676</v>
      </c>
      <c r="H6" s="3528"/>
      <c r="I6" s="3527" t="s">
        <v>1676</v>
      </c>
      <c r="J6" s="3528"/>
      <c r="K6" s="537"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17" t="s">
        <v>1679</v>
      </c>
      <c r="Q7" s="3546"/>
      <c r="R7" s="664" t="s">
        <v>14</v>
      </c>
      <c r="S7" s="665">
        <f t="shared" ref="S7:S15" si="0">F7</f>
        <v>0</v>
      </c>
      <c r="T7" s="664" t="s">
        <v>14</v>
      </c>
      <c r="U7" s="665">
        <f t="shared" ref="U7:U15" si="1">H7</f>
        <v>0</v>
      </c>
      <c r="V7" s="664" t="s">
        <v>14</v>
      </c>
      <c r="W7" s="665">
        <f t="shared" ref="W7:W15" si="2">J7</f>
        <v>0</v>
      </c>
      <c r="X7" s="666"/>
      <c r="Y7" s="3517" t="s">
        <v>1679</v>
      </c>
      <c r="Z7" s="3518"/>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17" t="s">
        <v>1682</v>
      </c>
      <c r="Q8" s="3518"/>
      <c r="R8" s="664" t="s">
        <v>14</v>
      </c>
      <c r="S8" s="665">
        <f t="shared" si="0"/>
        <v>0</v>
      </c>
      <c r="T8" s="664" t="s">
        <v>14</v>
      </c>
      <c r="U8" s="665">
        <f t="shared" si="1"/>
        <v>0</v>
      </c>
      <c r="V8" s="664" t="s">
        <v>14</v>
      </c>
      <c r="W8" s="665">
        <f t="shared" si="2"/>
        <v>0</v>
      </c>
      <c r="X8" s="666"/>
      <c r="Y8" s="3517" t="s">
        <v>1682</v>
      </c>
      <c r="Z8" s="3518"/>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50"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105</v>
      </c>
      <c r="G10" s="402"/>
      <c r="H10" s="119">
        <f>ROUND(100/'数据-取费表'!G16,0)</f>
        <v>105</v>
      </c>
      <c r="I10" s="402"/>
      <c r="J10" s="119">
        <f>ROUND(100/'数据-取费表'!G16,0)</f>
        <v>105</v>
      </c>
      <c r="K10" s="592"/>
      <c r="L10" s="2489"/>
      <c r="M10" s="2490"/>
      <c r="N10" s="2490"/>
      <c r="O10" s="2541"/>
      <c r="P10" s="3550"/>
      <c r="Q10" s="530" t="str">
        <f t="shared" si="6"/>
        <v>土地使用年限（年）</v>
      </c>
      <c r="R10" s="664" t="s">
        <v>14</v>
      </c>
      <c r="S10" s="665">
        <f t="shared" si="0"/>
        <v>105</v>
      </c>
      <c r="T10" s="664" t="s">
        <v>14</v>
      </c>
      <c r="U10" s="665">
        <f t="shared" si="1"/>
        <v>105</v>
      </c>
      <c r="V10" s="664" t="s">
        <v>14</v>
      </c>
      <c r="W10" s="665">
        <f t="shared" si="2"/>
        <v>105</v>
      </c>
      <c r="X10" s="666"/>
      <c r="Y10" s="3490"/>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50"/>
      <c r="Q11" s="530" t="str">
        <f t="shared" si="6"/>
        <v>容积率</v>
      </c>
      <c r="R11" s="664" t="s">
        <v>14</v>
      </c>
      <c r="S11" s="665" t="e">
        <f t="shared" si="0"/>
        <v>#N/A</v>
      </c>
      <c r="T11" s="664" t="s">
        <v>14</v>
      </c>
      <c r="U11" s="665" t="e">
        <f t="shared" si="1"/>
        <v>#N/A</v>
      </c>
      <c r="V11" s="664" t="s">
        <v>14</v>
      </c>
      <c r="W11" s="665" t="e">
        <f t="shared" si="2"/>
        <v>#N/A</v>
      </c>
      <c r="X11" s="666"/>
      <c r="Y11" s="3490"/>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50"/>
      <c r="Q12" s="530" t="str">
        <f t="shared" si="6"/>
        <v>配建</v>
      </c>
      <c r="R12" s="664" t="s">
        <v>14</v>
      </c>
      <c r="S12" s="665">
        <f t="shared" si="0"/>
        <v>100</v>
      </c>
      <c r="T12" s="664" t="s">
        <v>14</v>
      </c>
      <c r="U12" s="665">
        <f t="shared" si="1"/>
        <v>100</v>
      </c>
      <c r="V12" s="664" t="s">
        <v>14</v>
      </c>
      <c r="W12" s="665">
        <f t="shared" si="2"/>
        <v>100</v>
      </c>
      <c r="X12" s="666"/>
      <c r="Y12" s="34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50"/>
      <c r="Q13" s="530">
        <f t="shared" si="6"/>
        <v>111</v>
      </c>
      <c r="R13" s="664" t="s">
        <v>14</v>
      </c>
      <c r="S13" s="665">
        <f t="shared" si="0"/>
        <v>100</v>
      </c>
      <c r="T13" s="664" t="s">
        <v>14</v>
      </c>
      <c r="U13" s="665">
        <f t="shared" si="1"/>
        <v>100</v>
      </c>
      <c r="V13" s="664" t="s">
        <v>14</v>
      </c>
      <c r="W13" s="665">
        <f t="shared" si="2"/>
        <v>100</v>
      </c>
      <c r="X13" s="666"/>
      <c r="Y13" s="349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50"/>
      <c r="Q14" s="530">
        <f t="shared" si="6"/>
        <v>111</v>
      </c>
      <c r="R14" s="664" t="s">
        <v>14</v>
      </c>
      <c r="S14" s="665">
        <f t="shared" si="0"/>
        <v>100</v>
      </c>
      <c r="T14" s="664" t="s">
        <v>14</v>
      </c>
      <c r="U14" s="665">
        <f t="shared" si="1"/>
        <v>100</v>
      </c>
      <c r="V14" s="664" t="s">
        <v>14</v>
      </c>
      <c r="W14" s="665">
        <f t="shared" si="2"/>
        <v>100</v>
      </c>
      <c r="X14" s="666"/>
      <c r="Y14" s="3490"/>
      <c r="Z14" s="50">
        <f t="shared" si="7"/>
        <v>111</v>
      </c>
      <c r="AA14" s="50">
        <f>D14/F14</f>
        <v>1</v>
      </c>
      <c r="AB14" s="50">
        <f>D14/H14</f>
        <v>1</v>
      </c>
      <c r="AC14" s="50">
        <f>D14/J14</f>
        <v>1</v>
      </c>
    </row>
    <row r="15" spans="1:29" ht="96.6">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51" t="s">
        <v>1690</v>
      </c>
      <c r="Q15" s="1263" t="str">
        <f t="shared" si="6"/>
        <v>居住社区成熟度</v>
      </c>
      <c r="R15" s="667" t="s">
        <v>14</v>
      </c>
      <c r="S15" s="668">
        <f t="shared" si="0"/>
        <v>100</v>
      </c>
      <c r="T15" s="667" t="s">
        <v>14</v>
      </c>
      <c r="U15" s="668">
        <f t="shared" si="1"/>
        <v>100</v>
      </c>
      <c r="V15" s="667" t="s">
        <v>14</v>
      </c>
      <c r="W15" s="668">
        <f t="shared" si="2"/>
        <v>100</v>
      </c>
      <c r="X15" s="1265"/>
      <c r="Y15" s="3551"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52"/>
      <c r="Q16" s="1263"/>
      <c r="R16" s="667"/>
      <c r="S16" s="668"/>
      <c r="T16" s="667"/>
      <c r="U16" s="668"/>
      <c r="V16" s="667"/>
      <c r="W16" s="668"/>
      <c r="X16" s="1265"/>
      <c r="Y16" s="3552"/>
      <c r="Z16" s="1264"/>
      <c r="AA16" s="1264">
        <v>1</v>
      </c>
      <c r="AB16" s="1264">
        <v>1</v>
      </c>
      <c r="AC16" s="1264">
        <v>1</v>
      </c>
    </row>
    <row r="17" spans="1:29" ht="82.8">
      <c r="A17" s="367"/>
      <c r="B17" s="390" t="s">
        <v>1776</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52"/>
      <c r="Q17" s="1263" t="str">
        <f>B17</f>
        <v>商业繁华度</v>
      </c>
      <c r="R17" s="667" t="s">
        <v>14</v>
      </c>
      <c r="S17" s="668">
        <f>F17</f>
        <v>100</v>
      </c>
      <c r="T17" s="667" t="s">
        <v>14</v>
      </c>
      <c r="U17" s="668">
        <f>H17</f>
        <v>100</v>
      </c>
      <c r="V17" s="667" t="s">
        <v>14</v>
      </c>
      <c r="W17" s="668">
        <f>J17</f>
        <v>100</v>
      </c>
      <c r="X17" s="1265"/>
      <c r="Y17" s="35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52"/>
      <c r="Q18" s="1263"/>
      <c r="R18" s="667"/>
      <c r="S18" s="668"/>
      <c r="T18" s="667"/>
      <c r="U18" s="668"/>
      <c r="V18" s="667"/>
      <c r="W18" s="668"/>
      <c r="X18" s="1265"/>
      <c r="Y18" s="3552"/>
      <c r="Z18" s="1264"/>
      <c r="AA18" s="1264">
        <v>1</v>
      </c>
      <c r="AB18" s="1264">
        <v>1</v>
      </c>
      <c r="AC18" s="1264">
        <v>1</v>
      </c>
    </row>
    <row r="19" spans="1:29" ht="82.8">
      <c r="A19" s="367"/>
      <c r="B19" s="390" t="s">
        <v>1810</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52"/>
      <c r="Q19" s="1263" t="str">
        <f>B19</f>
        <v>办公集聚程度</v>
      </c>
      <c r="R19" s="667" t="s">
        <v>14</v>
      </c>
      <c r="S19" s="668">
        <f>F19</f>
        <v>100</v>
      </c>
      <c r="T19" s="667" t="s">
        <v>14</v>
      </c>
      <c r="U19" s="668">
        <f>H19</f>
        <v>100</v>
      </c>
      <c r="V19" s="667" t="s">
        <v>14</v>
      </c>
      <c r="W19" s="668">
        <f>J19</f>
        <v>100</v>
      </c>
      <c r="X19" s="1265"/>
      <c r="Y19" s="35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52"/>
      <c r="Q20" s="1263"/>
      <c r="R20" s="667"/>
      <c r="S20" s="668"/>
      <c r="T20" s="667"/>
      <c r="U20" s="668"/>
      <c r="V20" s="667"/>
      <c r="W20" s="668"/>
      <c r="X20" s="1265"/>
      <c r="Y20" s="3552"/>
      <c r="Z20" s="1264"/>
      <c r="AA20" s="1264">
        <v>1</v>
      </c>
      <c r="AB20" s="1264">
        <v>1</v>
      </c>
      <c r="AC20" s="1264">
        <v>1</v>
      </c>
    </row>
    <row r="21" spans="1:29" ht="96.6">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52"/>
      <c r="Q21" s="1263" t="str">
        <f>B21</f>
        <v>交通便捷度</v>
      </c>
      <c r="R21" s="667" t="s">
        <v>14</v>
      </c>
      <c r="S21" s="668">
        <f>F21</f>
        <v>100</v>
      </c>
      <c r="T21" s="667" t="s">
        <v>14</v>
      </c>
      <c r="U21" s="668">
        <f>H21</f>
        <v>100</v>
      </c>
      <c r="V21" s="667" t="s">
        <v>14</v>
      </c>
      <c r="W21" s="668">
        <f>J21</f>
        <v>100</v>
      </c>
      <c r="X21" s="1265"/>
      <c r="Y21" s="35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52"/>
      <c r="Q22" s="1263"/>
      <c r="R22" s="667"/>
      <c r="S22" s="668"/>
      <c r="T22" s="667"/>
      <c r="U22" s="668"/>
      <c r="V22" s="667"/>
      <c r="W22" s="668"/>
      <c r="X22" s="1265"/>
      <c r="Y22" s="3552"/>
      <c r="Z22" s="1264"/>
      <c r="AA22" s="1264">
        <v>1</v>
      </c>
      <c r="AB22" s="1264">
        <v>1</v>
      </c>
      <c r="AC22" s="1264">
        <v>1</v>
      </c>
    </row>
    <row r="23" spans="1:29" ht="28.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52"/>
      <c r="Q23" s="1263" t="str">
        <f t="shared" ref="Q23:Q37" si="8">B23</f>
        <v>区域土地利用方向</v>
      </c>
      <c r="R23" s="667" t="s">
        <v>14</v>
      </c>
      <c r="S23" s="668">
        <f>F23</f>
        <v>100</v>
      </c>
      <c r="T23" s="667" t="s">
        <v>14</v>
      </c>
      <c r="U23" s="668">
        <f>H23</f>
        <v>100</v>
      </c>
      <c r="V23" s="667" t="s">
        <v>14</v>
      </c>
      <c r="W23" s="668">
        <f>J23</f>
        <v>100</v>
      </c>
      <c r="X23" s="1265"/>
      <c r="Y23" s="35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52"/>
      <c r="Q24" s="1263"/>
      <c r="R24" s="667"/>
      <c r="S24" s="668"/>
      <c r="T24" s="667"/>
      <c r="U24" s="668"/>
      <c r="V24" s="667"/>
      <c r="W24" s="668"/>
      <c r="X24" s="1265"/>
      <c r="Y24" s="3552"/>
      <c r="Z24" s="1264"/>
      <c r="AA24" s="1264"/>
      <c r="AB24" s="1264"/>
      <c r="AC24" s="1264"/>
    </row>
    <row r="25" spans="1:29" ht="55.2">
      <c r="A25" s="348"/>
      <c r="B25" s="586" t="s">
        <v>1871</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52"/>
      <c r="Q25" s="1263" t="str">
        <f t="shared" si="8"/>
        <v>自然及人文环境状况</v>
      </c>
      <c r="R25" s="667" t="s">
        <v>14</v>
      </c>
      <c r="S25" s="668">
        <f>F25</f>
        <v>100</v>
      </c>
      <c r="T25" s="667" t="s">
        <v>14</v>
      </c>
      <c r="U25" s="668">
        <f>H25</f>
        <v>100</v>
      </c>
      <c r="V25" s="667" t="s">
        <v>14</v>
      </c>
      <c r="W25" s="668">
        <f>J25</f>
        <v>100</v>
      </c>
      <c r="X25" s="1265"/>
      <c r="Y25" s="35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52"/>
      <c r="Q26" s="1263"/>
      <c r="R26" s="667"/>
      <c r="S26" s="668"/>
      <c r="T26" s="667"/>
      <c r="U26" s="668"/>
      <c r="V26" s="667"/>
      <c r="W26" s="668"/>
      <c r="X26" s="1265"/>
      <c r="Y26" s="3552"/>
      <c r="Z26" s="1264"/>
      <c r="AA26" s="1264">
        <v>1</v>
      </c>
      <c r="AB26" s="1264">
        <v>1</v>
      </c>
      <c r="AC26" s="1264">
        <v>1</v>
      </c>
    </row>
    <row r="27" spans="1:29" s="102" customFormat="1" ht="41.4">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52"/>
      <c r="Q27" s="530" t="str">
        <f t="shared" si="8"/>
        <v>公共配套设施</v>
      </c>
      <c r="R27" s="664" t="s">
        <v>14</v>
      </c>
      <c r="S27" s="665">
        <f>F27</f>
        <v>100</v>
      </c>
      <c r="T27" s="664" t="s">
        <v>14</v>
      </c>
      <c r="U27" s="665">
        <f>H27</f>
        <v>100</v>
      </c>
      <c r="V27" s="664" t="s">
        <v>14</v>
      </c>
      <c r="W27" s="665">
        <f>J27</f>
        <v>100</v>
      </c>
      <c r="X27" s="666"/>
      <c r="Y27" s="3552"/>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552"/>
      <c r="Q28" s="530"/>
      <c r="R28" s="664"/>
      <c r="S28" s="665"/>
      <c r="T28" s="664"/>
      <c r="U28" s="665"/>
      <c r="V28" s="664"/>
      <c r="W28" s="665"/>
      <c r="X28" s="666"/>
      <c r="Y28" s="3552"/>
      <c r="Z28" s="50"/>
      <c r="AA28" s="1264">
        <v>1</v>
      </c>
      <c r="AB28" s="1264">
        <v>1</v>
      </c>
      <c r="AC28" s="1264">
        <v>1</v>
      </c>
    </row>
    <row r="29" spans="1:29" s="102" customFormat="1" ht="41.4">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52"/>
      <c r="Q29" s="530" t="str">
        <f t="shared" ref="Q29" si="9">B29</f>
        <v>基础设施水平</v>
      </c>
      <c r="R29" s="664" t="s">
        <v>14</v>
      </c>
      <c r="S29" s="665">
        <f>F29</f>
        <v>100</v>
      </c>
      <c r="T29" s="664" t="s">
        <v>14</v>
      </c>
      <c r="U29" s="665">
        <f>H29</f>
        <v>100</v>
      </c>
      <c r="V29" s="664" t="s">
        <v>14</v>
      </c>
      <c r="W29" s="665">
        <f>J29</f>
        <v>100</v>
      </c>
      <c r="X29" s="666"/>
      <c r="Y29" s="3552"/>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552"/>
      <c r="Q30" s="530"/>
      <c r="R30" s="664"/>
      <c r="S30" s="665"/>
      <c r="T30" s="664"/>
      <c r="U30" s="665"/>
      <c r="V30" s="664"/>
      <c r="W30" s="665"/>
      <c r="X30" s="666"/>
      <c r="Y30" s="3552"/>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52"/>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52"/>
      <c r="Q32" s="1263" t="str">
        <f t="shared" si="8"/>
        <v>毗邻道路的类型与等级</v>
      </c>
      <c r="R32" s="667" t="s">
        <v>14</v>
      </c>
      <c r="S32" s="668">
        <f t="shared" si="10"/>
        <v>100</v>
      </c>
      <c r="T32" s="667" t="s">
        <v>14</v>
      </c>
      <c r="U32" s="668">
        <f t="shared" si="11"/>
        <v>100</v>
      </c>
      <c r="V32" s="667" t="s">
        <v>14</v>
      </c>
      <c r="W32" s="668">
        <f t="shared" si="12"/>
        <v>100</v>
      </c>
      <c r="X32" s="1265"/>
      <c r="Y32" s="35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52"/>
      <c r="Q33" s="1263"/>
      <c r="R33" s="667"/>
      <c r="S33" s="668"/>
      <c r="T33" s="667"/>
      <c r="U33" s="668"/>
      <c r="V33" s="667"/>
      <c r="W33" s="668"/>
      <c r="X33" s="1265"/>
      <c r="Y33" s="3552"/>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52"/>
      <c r="Q34" s="1263" t="str">
        <f t="shared" si="8"/>
        <v>土地级别</v>
      </c>
      <c r="R34" s="667" t="s">
        <v>14</v>
      </c>
      <c r="S34" s="668">
        <f t="shared" si="10"/>
        <v>100</v>
      </c>
      <c r="T34" s="667" t="s">
        <v>14</v>
      </c>
      <c r="U34" s="668">
        <f t="shared" si="11"/>
        <v>100</v>
      </c>
      <c r="V34" s="667" t="s">
        <v>14</v>
      </c>
      <c r="W34" s="668">
        <f t="shared" si="12"/>
        <v>100</v>
      </c>
      <c r="X34" s="1265"/>
      <c r="Y34" s="35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52"/>
      <c r="Q35" s="1263">
        <f t="shared" si="8"/>
        <v>111</v>
      </c>
      <c r="R35" s="667" t="s">
        <v>14</v>
      </c>
      <c r="S35" s="668">
        <f t="shared" si="10"/>
        <v>100</v>
      </c>
      <c r="T35" s="667" t="s">
        <v>14</v>
      </c>
      <c r="U35" s="668">
        <f t="shared" si="11"/>
        <v>100</v>
      </c>
      <c r="V35" s="667" t="s">
        <v>14</v>
      </c>
      <c r="W35" s="668">
        <f t="shared" si="12"/>
        <v>100</v>
      </c>
      <c r="X35" s="1265"/>
      <c r="Y35" s="35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96" t="s">
        <v>1695</v>
      </c>
      <c r="Q36" s="1263">
        <f t="shared" si="8"/>
        <v>111</v>
      </c>
      <c r="R36" s="667" t="s">
        <v>14</v>
      </c>
      <c r="S36" s="668">
        <f t="shared" si="10"/>
        <v>100</v>
      </c>
      <c r="T36" s="667" t="s">
        <v>14</v>
      </c>
      <c r="U36" s="668">
        <f t="shared" si="11"/>
        <v>100</v>
      </c>
      <c r="V36" s="667" t="s">
        <v>14</v>
      </c>
      <c r="W36" s="668">
        <f t="shared" si="12"/>
        <v>100</v>
      </c>
      <c r="X36" s="1265"/>
      <c r="Y36" s="3556" t="s">
        <v>1695</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56"/>
      <c r="Q37" s="1263">
        <f t="shared" si="8"/>
        <v>111</v>
      </c>
      <c r="R37" s="669" t="s">
        <v>14</v>
      </c>
      <c r="S37" s="670">
        <f t="shared" si="10"/>
        <v>100</v>
      </c>
      <c r="T37" s="669" t="s">
        <v>14</v>
      </c>
      <c r="U37" s="670">
        <f t="shared" si="11"/>
        <v>100</v>
      </c>
      <c r="V37" s="669" t="s">
        <v>14</v>
      </c>
      <c r="W37" s="670">
        <f t="shared" si="12"/>
        <v>100</v>
      </c>
      <c r="X37" s="671"/>
      <c r="Y37" s="3556"/>
      <c r="Z37" s="672">
        <f t="shared" si="13"/>
        <v>111</v>
      </c>
      <c r="AA37" s="1264">
        <f t="shared" si="3"/>
        <v>1</v>
      </c>
      <c r="AB37" s="1264">
        <f t="shared" si="4"/>
        <v>1</v>
      </c>
      <c r="AC37" s="1264">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56"/>
      <c r="Q38" s="1263" t="str">
        <f>B38</f>
        <v>宗地面积</v>
      </c>
      <c r="R38" s="667" t="s">
        <v>14</v>
      </c>
      <c r="S38" s="668" t="e">
        <f t="shared" si="10"/>
        <v>#N/A</v>
      </c>
      <c r="T38" s="667" t="s">
        <v>14</v>
      </c>
      <c r="U38" s="668" t="e">
        <f t="shared" si="11"/>
        <v>#N/A</v>
      </c>
      <c r="V38" s="667" t="s">
        <v>14</v>
      </c>
      <c r="W38" s="668" t="e">
        <f t="shared" si="12"/>
        <v>#N/A</v>
      </c>
      <c r="X38" s="1265"/>
      <c r="Y38" s="3556"/>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56"/>
      <c r="Q39" s="1263" t="str">
        <f t="shared" ref="Q39:Q45" si="14">B39</f>
        <v>宗地形状</v>
      </c>
      <c r="R39" s="667" t="s">
        <v>14</v>
      </c>
      <c r="S39" s="668">
        <f t="shared" si="10"/>
        <v>100</v>
      </c>
      <c r="T39" s="667" t="s">
        <v>14</v>
      </c>
      <c r="U39" s="668">
        <f t="shared" si="11"/>
        <v>100</v>
      </c>
      <c r="V39" s="667" t="s">
        <v>14</v>
      </c>
      <c r="W39" s="668">
        <f t="shared" si="12"/>
        <v>100</v>
      </c>
      <c r="X39" s="1265"/>
      <c r="Y39" s="3556"/>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56"/>
      <c r="Q40" s="1263" t="str">
        <f t="shared" si="14"/>
        <v>临街宽度及深度</v>
      </c>
      <c r="R40" s="667" t="s">
        <v>14</v>
      </c>
      <c r="S40" s="668">
        <f t="shared" si="10"/>
        <v>100</v>
      </c>
      <c r="T40" s="667" t="s">
        <v>14</v>
      </c>
      <c r="U40" s="668">
        <f t="shared" si="11"/>
        <v>100</v>
      </c>
      <c r="V40" s="667" t="s">
        <v>14</v>
      </c>
      <c r="W40" s="668">
        <f t="shared" si="12"/>
        <v>100</v>
      </c>
      <c r="X40" s="1265"/>
      <c r="Y40" s="3556"/>
      <c r="Z40" s="1264" t="str">
        <f t="shared" si="13"/>
        <v>临街宽度及深度</v>
      </c>
      <c r="AA40" s="1264">
        <f t="shared" si="3"/>
        <v>1</v>
      </c>
      <c r="AB40" s="1264">
        <f t="shared" si="4"/>
        <v>1</v>
      </c>
      <c r="AC40" s="1264">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56"/>
      <c r="Q41" s="1263" t="str">
        <f t="shared" si="14"/>
        <v>宗地开发程度</v>
      </c>
      <c r="R41" s="664" t="s">
        <v>14</v>
      </c>
      <c r="S41" s="665">
        <f t="shared" si="10"/>
        <v>100</v>
      </c>
      <c r="T41" s="664" t="s">
        <v>14</v>
      </c>
      <c r="U41" s="665">
        <f t="shared" si="11"/>
        <v>100</v>
      </c>
      <c r="V41" s="664" t="s">
        <v>14</v>
      </c>
      <c r="W41" s="665">
        <f t="shared" si="12"/>
        <v>100</v>
      </c>
      <c r="X41" s="666"/>
      <c r="Y41" s="3556"/>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56" t="s">
        <v>1695</v>
      </c>
      <c r="Q42" s="1263" t="str">
        <f t="shared" si="14"/>
        <v>工程地质条件</v>
      </c>
      <c r="R42" s="667" t="s">
        <v>14</v>
      </c>
      <c r="S42" s="668">
        <f t="shared" si="10"/>
        <v>100</v>
      </c>
      <c r="T42" s="667" t="s">
        <v>14</v>
      </c>
      <c r="U42" s="668">
        <f t="shared" si="11"/>
        <v>100</v>
      </c>
      <c r="V42" s="667" t="s">
        <v>14</v>
      </c>
      <c r="W42" s="668">
        <f t="shared" si="12"/>
        <v>100</v>
      </c>
      <c r="X42" s="1265"/>
      <c r="Y42" s="3556"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56"/>
      <c r="Q43" s="1263">
        <f t="shared" si="14"/>
        <v>111</v>
      </c>
      <c r="R43" s="667" t="s">
        <v>14</v>
      </c>
      <c r="S43" s="668">
        <f t="shared" si="10"/>
        <v>100</v>
      </c>
      <c r="T43" s="667" t="s">
        <v>14</v>
      </c>
      <c r="U43" s="668">
        <f t="shared" si="11"/>
        <v>100</v>
      </c>
      <c r="V43" s="667" t="s">
        <v>14</v>
      </c>
      <c r="W43" s="668">
        <f t="shared" si="12"/>
        <v>100</v>
      </c>
      <c r="X43" s="1265"/>
      <c r="Y43" s="35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56"/>
      <c r="Q44" s="1263">
        <f t="shared" si="14"/>
        <v>111</v>
      </c>
      <c r="R44" s="667" t="s">
        <v>14</v>
      </c>
      <c r="S44" s="668">
        <f t="shared" si="10"/>
        <v>100</v>
      </c>
      <c r="T44" s="667" t="s">
        <v>14</v>
      </c>
      <c r="U44" s="668">
        <f t="shared" si="11"/>
        <v>100</v>
      </c>
      <c r="V44" s="667" t="s">
        <v>14</v>
      </c>
      <c r="W44" s="668">
        <f t="shared" si="12"/>
        <v>100</v>
      </c>
      <c r="X44" s="1265"/>
      <c r="Y44" s="3556"/>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56"/>
      <c r="Q45" s="1263">
        <f t="shared" si="14"/>
        <v>111</v>
      </c>
      <c r="R45" s="669" t="s">
        <v>14</v>
      </c>
      <c r="S45" s="670">
        <f t="shared" si="10"/>
        <v>100</v>
      </c>
      <c r="T45" s="669" t="s">
        <v>14</v>
      </c>
      <c r="U45" s="670">
        <f t="shared" si="11"/>
        <v>100</v>
      </c>
      <c r="V45" s="669" t="s">
        <v>14</v>
      </c>
      <c r="W45" s="670">
        <f t="shared" si="12"/>
        <v>100</v>
      </c>
      <c r="X45" s="671"/>
      <c r="Y45" s="3556"/>
      <c r="Z45" s="672">
        <f t="shared" si="13"/>
        <v>111</v>
      </c>
      <c r="AA45" s="1264">
        <f t="shared" si="3"/>
        <v>1</v>
      </c>
      <c r="AB45" s="1264">
        <f t="shared" si="4"/>
        <v>1</v>
      </c>
      <c r="AC45" s="1264">
        <f t="shared" si="5"/>
        <v>1</v>
      </c>
    </row>
    <row r="46" spans="1:29" ht="14.4">
      <c r="A46" s="416" t="s">
        <v>1843</v>
      </c>
      <c r="B46" s="1829" t="s">
        <v>1878</v>
      </c>
      <c r="C46" s="602" t="s">
        <v>0</v>
      </c>
      <c r="D46" s="418"/>
      <c r="E46" s="419"/>
      <c r="F46" s="420"/>
      <c r="G46" s="421"/>
      <c r="H46" s="422"/>
      <c r="I46" s="419"/>
      <c r="J46" s="422"/>
      <c r="K46" s="674"/>
      <c r="L46" s="2494"/>
      <c r="M46" s="2487"/>
      <c r="N46" s="2487"/>
      <c r="O46" s="2487"/>
      <c r="P46" s="3550" t="str">
        <f>A46</f>
        <v>成交单价</v>
      </c>
      <c r="Q46" s="3550"/>
      <c r="R46" s="3545">
        <f>E46</f>
        <v>0</v>
      </c>
      <c r="S46" s="3545"/>
      <c r="T46" s="3545">
        <f>G46</f>
        <v>0</v>
      </c>
      <c r="U46" s="3545"/>
      <c r="V46" s="3545">
        <f>I46</f>
        <v>0</v>
      </c>
      <c r="W46" s="3545"/>
      <c r="X46" s="385"/>
      <c r="Y46" s="673"/>
      <c r="Z46" s="385"/>
      <c r="AA46" s="385"/>
      <c r="AB46" s="385"/>
      <c r="AC46" s="385"/>
    </row>
    <row r="47" spans="1:29" ht="15" thickBot="1">
      <c r="A47" s="423" t="s">
        <v>1792</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550" t="str">
        <f>A47</f>
        <v>比较价值（元/平方米）</v>
      </c>
      <c r="Q47" s="3550"/>
      <c r="R47" s="3598" t="e">
        <f>ROUND(PRODUCT(R46,AA7:AA45),0)</f>
        <v>#DIV/0!</v>
      </c>
      <c r="S47" s="3598"/>
      <c r="T47" s="3598" t="e">
        <f>ROUND(PRODUCT(T46,AB7:AB45),0)</f>
        <v>#DIV/0!</v>
      </c>
      <c r="U47" s="3598"/>
      <c r="V47" s="3598" t="e">
        <f>ROUND(PRODUCT(V46,AC7:AC45),0)</f>
        <v>#DIV/0!</v>
      </c>
      <c r="W47" s="3598"/>
      <c r="X47" s="385"/>
      <c r="Y47" s="385"/>
      <c r="Z47" s="385"/>
      <c r="AA47" s="385"/>
      <c r="AB47" s="385"/>
      <c r="AC47" s="385"/>
    </row>
    <row r="48" spans="1:29" ht="15" thickBot="1">
      <c r="A48" s="427" t="s">
        <v>1879</v>
      </c>
      <c r="B48" s="428"/>
      <c r="C48" s="429" t="e">
        <f>R48</f>
        <v>#DIV/0!</v>
      </c>
      <c r="D48" s="429"/>
      <c r="E48" s="429"/>
      <c r="F48" s="429"/>
      <c r="G48" s="429"/>
      <c r="H48" s="429"/>
      <c r="I48" s="429"/>
      <c r="J48" s="429"/>
      <c r="K48" s="675"/>
      <c r="L48" s="2494"/>
      <c r="M48" s="2487"/>
      <c r="N48" s="2487"/>
      <c r="O48" s="2487"/>
      <c r="P48" s="3547" t="str">
        <f>A48</f>
        <v>估价对象XX用房的比较价值（楼面单价，元/平方米）</v>
      </c>
      <c r="Q48" s="3548"/>
      <c r="R48" s="3599" t="e">
        <f>ROUND(IF(D47="简单平均",AVERAGE(R47:W47),R47*F47+T47*H47+V47*J47),0)</f>
        <v>#DIV/0!</v>
      </c>
      <c r="S48" s="3599"/>
      <c r="T48" s="3599"/>
      <c r="U48" s="3599"/>
      <c r="V48" s="3599"/>
      <c r="W48" s="359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0" t="s">
        <v>1882</v>
      </c>
      <c r="D55" s="1831" t="s">
        <v>1883</v>
      </c>
      <c r="E55" s="606" t="s">
        <v>1884</v>
      </c>
      <c r="F55" s="837" t="s">
        <v>1885</v>
      </c>
      <c r="G55" s="3533" t="s">
        <v>1886</v>
      </c>
      <c r="H55" s="3600"/>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293.87</v>
      </c>
      <c r="F56" s="833" t="e">
        <f t="shared" ref="F56:F64" si="15">ROUND(B56*E56/10000,0)</f>
        <v>#DIV/0!</v>
      </c>
      <c r="G56" s="3532"/>
      <c r="H56" s="355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4" t="s">
        <v>1895</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0.1</v>
      </c>
      <c r="D62" s="891">
        <v>0.25</v>
      </c>
      <c r="E62" s="209">
        <f>'数据-汇总表'!E13</f>
        <v>0</v>
      </c>
      <c r="F62" s="833" t="e">
        <f t="shared" si="15"/>
        <v>#DIV/0!</v>
      </c>
      <c r="G62" s="839" t="s">
        <v>1899</v>
      </c>
      <c r="H62" s="834" t="str">
        <f>IF(G62="商业",项目基本情况!B37,IF(G62="办公",项目基本情况!C37,IF(G62="住宅",项目基本情况!D37,项目基本情况!E37)))</f>
        <v>八级</v>
      </c>
      <c r="I62" s="838">
        <f>SUMIF(修正!A57:A68,H62,修正!G57:G68)</f>
        <v>0.1</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4"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1901</v>
      </c>
      <c r="B64" s="210" t="e">
        <f t="shared" si="17"/>
        <v>#DIV/0!</v>
      </c>
      <c r="C64" s="163">
        <f t="shared" si="16"/>
        <v>0</v>
      </c>
      <c r="D64" s="891">
        <v>0.25</v>
      </c>
      <c r="E64" s="209">
        <f>'数据-汇总表'!E15</f>
        <v>0</v>
      </c>
      <c r="F64" s="833" t="e">
        <f t="shared" si="15"/>
        <v>#DIV/0!</v>
      </c>
      <c r="G64" s="1835" t="s">
        <v>1895</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293.87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2.2"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533" t="s">
        <v>1769</v>
      </c>
      <c r="D4" s="3534"/>
      <c r="E4" s="3535" t="s">
        <v>1770</v>
      </c>
      <c r="F4" s="3536"/>
      <c r="G4" s="3533" t="s">
        <v>1771</v>
      </c>
      <c r="H4" s="3534"/>
      <c r="I4" s="3533" t="s">
        <v>1772</v>
      </c>
      <c r="J4" s="3534"/>
      <c r="K4" s="537" t="s">
        <v>1773</v>
      </c>
      <c r="L4" s="2486"/>
      <c r="M4" s="2487"/>
      <c r="N4" s="2487"/>
      <c r="O4" s="2487"/>
      <c r="P4" s="3537" t="s">
        <v>1774</v>
      </c>
      <c r="Q4" s="3538"/>
      <c r="R4" s="3519" t="s">
        <v>1770</v>
      </c>
      <c r="S4" s="3520"/>
      <c r="T4" s="3519" t="s">
        <v>1771</v>
      </c>
      <c r="U4" s="3520"/>
      <c r="V4" s="3545" t="s">
        <v>1772</v>
      </c>
      <c r="W4" s="3545"/>
      <c r="X4" s="1265"/>
      <c r="Y4" s="3519" t="s">
        <v>1774</v>
      </c>
      <c r="Z4" s="3520"/>
      <c r="AA4" s="3514" t="s">
        <v>1770</v>
      </c>
      <c r="AB4" s="3515" t="s">
        <v>1771</v>
      </c>
      <c r="AC4" s="3514" t="s">
        <v>1772</v>
      </c>
    </row>
    <row r="5" spans="1:29">
      <c r="A5" s="348"/>
      <c r="B5" s="349"/>
      <c r="C5" s="3529" t="s">
        <v>1672</v>
      </c>
      <c r="D5" s="3526"/>
      <c r="E5" s="3523" t="s">
        <v>1673</v>
      </c>
      <c r="F5" s="3524"/>
      <c r="G5" s="3529" t="s">
        <v>1674</v>
      </c>
      <c r="H5" s="3526"/>
      <c r="I5" s="3529" t="s">
        <v>1675</v>
      </c>
      <c r="J5" s="3526"/>
      <c r="K5" s="537"/>
      <c r="L5" s="2486"/>
      <c r="M5" s="2487"/>
      <c r="N5" s="2487"/>
      <c r="O5" s="2487"/>
      <c r="P5" s="3539"/>
      <c r="Q5" s="3540"/>
      <c r="R5" s="3521"/>
      <c r="S5" s="3522"/>
      <c r="T5" s="3521"/>
      <c r="U5" s="3522"/>
      <c r="V5" s="3545"/>
      <c r="W5" s="3545"/>
      <c r="X5" s="1265"/>
      <c r="Y5" s="3521"/>
      <c r="Z5" s="3522"/>
      <c r="AA5" s="3515"/>
      <c r="AB5" s="3515"/>
      <c r="AC5" s="3515"/>
    </row>
    <row r="6" spans="1:29" ht="15" thickBot="1">
      <c r="A6" s="350"/>
      <c r="B6" s="351"/>
      <c r="C6" s="3601" t="s">
        <v>1918</v>
      </c>
      <c r="D6" s="3602"/>
      <c r="E6" s="3603" t="s">
        <v>1918</v>
      </c>
      <c r="F6" s="3604"/>
      <c r="G6" s="3601" t="s">
        <v>1918</v>
      </c>
      <c r="H6" s="3602"/>
      <c r="I6" s="3601" t="s">
        <v>1918</v>
      </c>
      <c r="J6" s="3602"/>
      <c r="K6" s="537" t="s">
        <v>1677</v>
      </c>
      <c r="L6" s="2486"/>
      <c r="M6" s="2487"/>
      <c r="N6" s="2487"/>
      <c r="O6" s="2487"/>
      <c r="P6" s="3541"/>
      <c r="Q6" s="3542"/>
      <c r="R6" s="3521"/>
      <c r="S6" s="3522"/>
      <c r="T6" s="3543"/>
      <c r="U6" s="3544"/>
      <c r="V6" s="3545"/>
      <c r="W6" s="3545"/>
      <c r="X6" s="1265"/>
      <c r="Y6" s="3543"/>
      <c r="Z6" s="3544"/>
      <c r="AA6" s="3516"/>
      <c r="AB6" s="3516"/>
      <c r="AC6" s="3516"/>
    </row>
    <row r="7" spans="1:29" s="102" customFormat="1" ht="15" thickBot="1">
      <c r="A7" s="352" t="s">
        <v>1678</v>
      </c>
      <c r="B7" s="353"/>
      <c r="C7" s="354">
        <f>'数据-取费表'!B2</f>
        <v>45593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17" t="s">
        <v>1679</v>
      </c>
      <c r="Q7" s="3546"/>
      <c r="R7" s="664" t="s">
        <v>14</v>
      </c>
      <c r="S7" s="665">
        <f t="shared" ref="S7:S15" si="0">F7</f>
        <v>0</v>
      </c>
      <c r="T7" s="664" t="s">
        <v>14</v>
      </c>
      <c r="U7" s="665">
        <f t="shared" ref="U7:U15" si="1">H7</f>
        <v>0</v>
      </c>
      <c r="V7" s="664" t="s">
        <v>14</v>
      </c>
      <c r="W7" s="665">
        <f t="shared" ref="W7:W15" si="2">J7</f>
        <v>0</v>
      </c>
      <c r="X7" s="666"/>
      <c r="Y7" s="3517" t="s">
        <v>1679</v>
      </c>
      <c r="Z7" s="3518"/>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17" t="s">
        <v>1682</v>
      </c>
      <c r="Q8" s="3518"/>
      <c r="R8" s="664" t="s">
        <v>14</v>
      </c>
      <c r="S8" s="665">
        <f t="shared" si="0"/>
        <v>0</v>
      </c>
      <c r="T8" s="664" t="s">
        <v>14</v>
      </c>
      <c r="U8" s="665">
        <f t="shared" si="1"/>
        <v>0</v>
      </c>
      <c r="V8" s="664" t="s">
        <v>14</v>
      </c>
      <c r="W8" s="665">
        <f t="shared" si="2"/>
        <v>0</v>
      </c>
      <c r="X8" s="666"/>
      <c r="Y8" s="3517" t="s">
        <v>1682</v>
      </c>
      <c r="Z8" s="3518"/>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50" t="s">
        <v>1685</v>
      </c>
      <c r="Q9" s="530" t="str">
        <f t="shared" ref="Q9:Q15" si="6">B9</f>
        <v>用途</v>
      </c>
      <c r="R9" s="664" t="s">
        <v>14</v>
      </c>
      <c r="S9" s="665">
        <f t="shared" si="0"/>
        <v>100</v>
      </c>
      <c r="T9" s="664" t="s">
        <v>14</v>
      </c>
      <c r="U9" s="665">
        <f t="shared" si="1"/>
        <v>100</v>
      </c>
      <c r="V9" s="664" t="s">
        <v>14</v>
      </c>
      <c r="W9" s="665">
        <f t="shared" si="2"/>
        <v>100</v>
      </c>
      <c r="X9" s="666"/>
      <c r="Y9" s="3490"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105</v>
      </c>
      <c r="G10" s="371"/>
      <c r="H10" s="119">
        <f>ROUND(100/'数据-取费表'!G16,0)</f>
        <v>105</v>
      </c>
      <c r="I10" s="371"/>
      <c r="J10" s="119">
        <f>ROUND(100/'数据-取费表'!G16,0)</f>
        <v>105</v>
      </c>
      <c r="K10" s="592"/>
      <c r="L10" s="2489"/>
      <c r="M10" s="2490"/>
      <c r="N10" s="2490"/>
      <c r="O10" s="2541"/>
      <c r="P10" s="3550"/>
      <c r="Q10" s="530" t="str">
        <f t="shared" si="6"/>
        <v>土地使用年限（年）</v>
      </c>
      <c r="R10" s="664" t="s">
        <v>14</v>
      </c>
      <c r="S10" s="665">
        <f t="shared" si="0"/>
        <v>105</v>
      </c>
      <c r="T10" s="664" t="s">
        <v>14</v>
      </c>
      <c r="U10" s="665">
        <f t="shared" si="1"/>
        <v>105</v>
      </c>
      <c r="V10" s="664" t="s">
        <v>14</v>
      </c>
      <c r="W10" s="665">
        <f t="shared" si="2"/>
        <v>105</v>
      </c>
      <c r="X10" s="666"/>
      <c r="Y10" s="3490"/>
      <c r="Z10" s="50" t="str">
        <f t="shared" si="7"/>
        <v>土地使用年限（年）</v>
      </c>
      <c r="AA10" s="50">
        <f t="shared" si="3"/>
        <v>0.95238095238095233</v>
      </c>
      <c r="AB10" s="50">
        <f t="shared" si="4"/>
        <v>0.95238095238095233</v>
      </c>
      <c r="AC10" s="50">
        <f t="shared" si="5"/>
        <v>0.95238095238095233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50"/>
      <c r="Q11" s="530" t="str">
        <f t="shared" si="6"/>
        <v>容积率</v>
      </c>
      <c r="R11" s="664" t="s">
        <v>14</v>
      </c>
      <c r="S11" s="665" t="e">
        <f t="shared" si="0"/>
        <v>#N/A</v>
      </c>
      <c r="T11" s="664" t="s">
        <v>14</v>
      </c>
      <c r="U11" s="665" t="e">
        <f t="shared" si="1"/>
        <v>#N/A</v>
      </c>
      <c r="V11" s="664" t="s">
        <v>14</v>
      </c>
      <c r="W11" s="665" t="e">
        <f t="shared" si="2"/>
        <v>#N/A</v>
      </c>
      <c r="X11" s="666"/>
      <c r="Y11" s="34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50"/>
      <c r="Q12" s="530">
        <f t="shared" si="6"/>
        <v>111</v>
      </c>
      <c r="R12" s="664" t="s">
        <v>14</v>
      </c>
      <c r="S12" s="665">
        <f t="shared" si="0"/>
        <v>100</v>
      </c>
      <c r="T12" s="664" t="s">
        <v>14</v>
      </c>
      <c r="U12" s="665">
        <f t="shared" si="1"/>
        <v>100</v>
      </c>
      <c r="V12" s="664" t="s">
        <v>14</v>
      </c>
      <c r="W12" s="665">
        <f t="shared" si="2"/>
        <v>100</v>
      </c>
      <c r="X12" s="666"/>
      <c r="Y12" s="34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50"/>
      <c r="Q13" s="530">
        <f t="shared" si="6"/>
        <v>111</v>
      </c>
      <c r="R13" s="664" t="s">
        <v>14</v>
      </c>
      <c r="S13" s="665">
        <f t="shared" si="0"/>
        <v>100</v>
      </c>
      <c r="T13" s="664" t="s">
        <v>14</v>
      </c>
      <c r="U13" s="665">
        <f t="shared" si="1"/>
        <v>100</v>
      </c>
      <c r="V13" s="664" t="s">
        <v>14</v>
      </c>
      <c r="W13" s="665">
        <f t="shared" si="2"/>
        <v>100</v>
      </c>
      <c r="X13" s="666"/>
      <c r="Y13" s="349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50"/>
      <c r="Q14" s="530">
        <f t="shared" si="6"/>
        <v>111</v>
      </c>
      <c r="R14" s="664" t="s">
        <v>14</v>
      </c>
      <c r="S14" s="665">
        <f t="shared" si="0"/>
        <v>100</v>
      </c>
      <c r="T14" s="664" t="s">
        <v>14</v>
      </c>
      <c r="U14" s="665">
        <f t="shared" si="1"/>
        <v>100</v>
      </c>
      <c r="V14" s="664" t="s">
        <v>14</v>
      </c>
      <c r="W14" s="665">
        <f t="shared" si="2"/>
        <v>100</v>
      </c>
      <c r="X14" s="666"/>
      <c r="Y14" s="3490"/>
      <c r="Z14" s="50">
        <f t="shared" si="7"/>
        <v>111</v>
      </c>
      <c r="AA14" s="50">
        <f t="shared" si="3"/>
        <v>1</v>
      </c>
      <c r="AB14" s="50">
        <f t="shared" si="4"/>
        <v>1</v>
      </c>
      <c r="AC14" s="50">
        <f t="shared" si="5"/>
        <v>1</v>
      </c>
    </row>
    <row r="15" spans="1:29" ht="69">
      <c r="A15" s="379" t="s">
        <v>1689</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51" t="s">
        <v>1690</v>
      </c>
      <c r="Q15" s="1263" t="str">
        <f t="shared" si="6"/>
        <v>产业集聚程度</v>
      </c>
      <c r="R15" s="667" t="s">
        <v>14</v>
      </c>
      <c r="S15" s="668">
        <f t="shared" si="0"/>
        <v>100</v>
      </c>
      <c r="T15" s="667" t="s">
        <v>14</v>
      </c>
      <c r="U15" s="668">
        <f t="shared" si="1"/>
        <v>100</v>
      </c>
      <c r="V15" s="667" t="s">
        <v>14</v>
      </c>
      <c r="W15" s="668">
        <f t="shared" si="2"/>
        <v>100</v>
      </c>
      <c r="X15" s="1265"/>
      <c r="Y15" s="3551"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52"/>
      <c r="Q16" s="1263"/>
      <c r="R16" s="667"/>
      <c r="S16" s="668"/>
      <c r="T16" s="667"/>
      <c r="U16" s="668"/>
      <c r="V16" s="667"/>
      <c r="W16" s="668"/>
      <c r="X16" s="1265"/>
      <c r="Y16" s="3552"/>
      <c r="Z16" s="1264"/>
      <c r="AA16" s="1264">
        <v>1</v>
      </c>
      <c r="AB16" s="1264">
        <v>1</v>
      </c>
      <c r="AC16" s="1264">
        <v>1</v>
      </c>
    </row>
    <row r="17" spans="1:29" ht="96.6">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52"/>
      <c r="Q17" s="1263" t="str">
        <f>B17</f>
        <v>交通便捷度</v>
      </c>
      <c r="R17" s="667" t="s">
        <v>14</v>
      </c>
      <c r="S17" s="668">
        <f>F17</f>
        <v>100</v>
      </c>
      <c r="T17" s="667" t="s">
        <v>14</v>
      </c>
      <c r="U17" s="668">
        <f>H17</f>
        <v>100</v>
      </c>
      <c r="V17" s="667" t="s">
        <v>14</v>
      </c>
      <c r="W17" s="668">
        <f>J17</f>
        <v>100</v>
      </c>
      <c r="X17" s="1265"/>
      <c r="Y17" s="35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52"/>
      <c r="Q18" s="1263"/>
      <c r="R18" s="667"/>
      <c r="S18" s="668"/>
      <c r="T18" s="667"/>
      <c r="U18" s="668"/>
      <c r="V18" s="667"/>
      <c r="W18" s="668"/>
      <c r="X18" s="1265"/>
      <c r="Y18" s="3552"/>
      <c r="Z18" s="1264"/>
      <c r="AA18" s="1264">
        <v>1</v>
      </c>
      <c r="AB18" s="1264">
        <v>1</v>
      </c>
      <c r="AC18" s="1264">
        <v>1</v>
      </c>
    </row>
    <row r="19" spans="1:29" ht="28.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52"/>
      <c r="Q19" s="1263" t="str">
        <f t="shared" ref="Q19:Q33" si="8">B19</f>
        <v>区域土地利用方向</v>
      </c>
      <c r="R19" s="667" t="s">
        <v>14</v>
      </c>
      <c r="S19" s="668">
        <f>F19</f>
        <v>100</v>
      </c>
      <c r="T19" s="667" t="s">
        <v>14</v>
      </c>
      <c r="U19" s="668">
        <f>H19</f>
        <v>100</v>
      </c>
      <c r="V19" s="667" t="s">
        <v>14</v>
      </c>
      <c r="W19" s="668">
        <f>J19</f>
        <v>100</v>
      </c>
      <c r="X19" s="1265"/>
      <c r="Y19" s="35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52"/>
      <c r="Q20" s="1263"/>
      <c r="R20" s="667"/>
      <c r="S20" s="668"/>
      <c r="T20" s="667"/>
      <c r="U20" s="668"/>
      <c r="V20" s="667"/>
      <c r="W20" s="668"/>
      <c r="X20" s="1265"/>
      <c r="Y20" s="3552"/>
      <c r="Z20" s="1264"/>
      <c r="AA20" s="1264"/>
      <c r="AB20" s="1264"/>
      <c r="AC20" s="1264"/>
    </row>
    <row r="21" spans="1:29" ht="82.8">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52"/>
      <c r="Q21" s="1263" t="str">
        <f t="shared" si="8"/>
        <v>环境状况</v>
      </c>
      <c r="R21" s="667" t="s">
        <v>14</v>
      </c>
      <c r="S21" s="668">
        <f>F21</f>
        <v>100</v>
      </c>
      <c r="T21" s="667" t="s">
        <v>14</v>
      </c>
      <c r="U21" s="668">
        <f>H21</f>
        <v>100</v>
      </c>
      <c r="V21" s="667" t="s">
        <v>14</v>
      </c>
      <c r="W21" s="668">
        <f>J21</f>
        <v>100</v>
      </c>
      <c r="X21" s="1265"/>
      <c r="Y21" s="35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52"/>
      <c r="Q22" s="1263"/>
      <c r="R22" s="667"/>
      <c r="S22" s="668"/>
      <c r="T22" s="667"/>
      <c r="U22" s="668"/>
      <c r="V22" s="667"/>
      <c r="W22" s="668"/>
      <c r="X22" s="1265"/>
      <c r="Y22" s="3552"/>
      <c r="Z22" s="1264"/>
      <c r="AA22" s="1264">
        <v>1</v>
      </c>
      <c r="AB22" s="1264">
        <v>1</v>
      </c>
      <c r="AC22" s="1264">
        <v>1</v>
      </c>
    </row>
    <row r="23" spans="1:29" s="102" customFormat="1" ht="41.4">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52"/>
      <c r="Q23" s="530" t="str">
        <f t="shared" si="8"/>
        <v>公共配套设施</v>
      </c>
      <c r="R23" s="664" t="s">
        <v>14</v>
      </c>
      <c r="S23" s="665">
        <f>F23</f>
        <v>100</v>
      </c>
      <c r="T23" s="664" t="s">
        <v>14</v>
      </c>
      <c r="U23" s="665">
        <f>H23</f>
        <v>100</v>
      </c>
      <c r="V23" s="664" t="s">
        <v>14</v>
      </c>
      <c r="W23" s="665">
        <f>J23</f>
        <v>100</v>
      </c>
      <c r="X23" s="666"/>
      <c r="Y23" s="3552"/>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552"/>
      <c r="Q24" s="530"/>
      <c r="R24" s="664"/>
      <c r="S24" s="665"/>
      <c r="T24" s="664"/>
      <c r="U24" s="665"/>
      <c r="V24" s="664"/>
      <c r="W24" s="665"/>
      <c r="X24" s="666"/>
      <c r="Y24" s="3552"/>
      <c r="Z24" s="50"/>
      <c r="AA24" s="50">
        <v>1</v>
      </c>
      <c r="AB24" s="50">
        <v>1</v>
      </c>
      <c r="AC24" s="50">
        <v>1</v>
      </c>
    </row>
    <row r="25" spans="1:29" s="102" customFormat="1" ht="41.4">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52"/>
      <c r="Q25" s="530" t="str">
        <f t="shared" ref="Q25" si="9">B25</f>
        <v>基础设施水平</v>
      </c>
      <c r="R25" s="664" t="s">
        <v>14</v>
      </c>
      <c r="S25" s="665">
        <f>F25</f>
        <v>100</v>
      </c>
      <c r="T25" s="664" t="s">
        <v>14</v>
      </c>
      <c r="U25" s="665">
        <f>H25</f>
        <v>100</v>
      </c>
      <c r="V25" s="664" t="s">
        <v>14</v>
      </c>
      <c r="W25" s="665">
        <f>J25</f>
        <v>100</v>
      </c>
      <c r="X25" s="666"/>
      <c r="Y25" s="3552"/>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552"/>
      <c r="Q26" s="530"/>
      <c r="R26" s="664"/>
      <c r="S26" s="665"/>
      <c r="T26" s="664"/>
      <c r="U26" s="665"/>
      <c r="V26" s="664"/>
      <c r="W26" s="665"/>
      <c r="X26" s="666"/>
      <c r="Y26" s="3552"/>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52"/>
      <c r="Z27" s="1264" t="str">
        <f t="shared" ref="Z27:Z40" si="13">Q27</f>
        <v>临街状况</v>
      </c>
      <c r="AA27" s="1264">
        <f t="shared" si="3"/>
        <v>1</v>
      </c>
      <c r="AB27" s="1264">
        <f t="shared" si="4"/>
        <v>1</v>
      </c>
      <c r="AC27" s="1264">
        <f t="shared" si="5"/>
        <v>1</v>
      </c>
    </row>
    <row r="28" spans="1:29" ht="28.8">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52"/>
      <c r="Q28" s="1263" t="str">
        <f t="shared" si="8"/>
        <v>毗邻道路的类型与等级</v>
      </c>
      <c r="R28" s="667" t="s">
        <v>14</v>
      </c>
      <c r="S28" s="668">
        <f t="shared" si="10"/>
        <v>100</v>
      </c>
      <c r="T28" s="667" t="s">
        <v>14</v>
      </c>
      <c r="U28" s="668">
        <f t="shared" si="11"/>
        <v>100</v>
      </c>
      <c r="V28" s="667" t="s">
        <v>14</v>
      </c>
      <c r="W28" s="668">
        <f t="shared" si="12"/>
        <v>100</v>
      </c>
      <c r="X28" s="1265"/>
      <c r="Y28" s="35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52"/>
      <c r="Q29" s="1263"/>
      <c r="R29" s="667"/>
      <c r="S29" s="668"/>
      <c r="T29" s="667"/>
      <c r="U29" s="668"/>
      <c r="V29" s="667"/>
      <c r="W29" s="668"/>
      <c r="X29" s="1265"/>
      <c r="Y29" s="3552"/>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52"/>
      <c r="Q30" s="1263" t="str">
        <f t="shared" si="8"/>
        <v>土地级别</v>
      </c>
      <c r="R30" s="667" t="s">
        <v>14</v>
      </c>
      <c r="S30" s="668">
        <f t="shared" si="10"/>
        <v>100</v>
      </c>
      <c r="T30" s="667" t="s">
        <v>14</v>
      </c>
      <c r="U30" s="668">
        <f t="shared" si="11"/>
        <v>100</v>
      </c>
      <c r="V30" s="667" t="s">
        <v>14</v>
      </c>
      <c r="W30" s="668">
        <f t="shared" si="12"/>
        <v>100</v>
      </c>
      <c r="X30" s="1265"/>
      <c r="Y30" s="35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52"/>
      <c r="Q31" s="1263">
        <f t="shared" si="8"/>
        <v>111</v>
      </c>
      <c r="R31" s="667" t="s">
        <v>14</v>
      </c>
      <c r="S31" s="668">
        <f t="shared" si="10"/>
        <v>100</v>
      </c>
      <c r="T31" s="667" t="s">
        <v>14</v>
      </c>
      <c r="U31" s="668">
        <f t="shared" si="11"/>
        <v>100</v>
      </c>
      <c r="V31" s="667" t="s">
        <v>14</v>
      </c>
      <c r="W31" s="668">
        <f t="shared" si="12"/>
        <v>100</v>
      </c>
      <c r="X31" s="1265"/>
      <c r="Y31" s="3552"/>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96" t="s">
        <v>1695</v>
      </c>
      <c r="Q32" s="1263">
        <f t="shared" si="8"/>
        <v>111</v>
      </c>
      <c r="R32" s="667" t="s">
        <v>14</v>
      </c>
      <c r="S32" s="668">
        <f t="shared" si="10"/>
        <v>100</v>
      </c>
      <c r="T32" s="667" t="s">
        <v>14</v>
      </c>
      <c r="U32" s="668">
        <f t="shared" si="11"/>
        <v>100</v>
      </c>
      <c r="V32" s="667" t="s">
        <v>14</v>
      </c>
      <c r="W32" s="668">
        <f t="shared" si="12"/>
        <v>100</v>
      </c>
      <c r="X32" s="1265"/>
      <c r="Y32" s="3556" t="s">
        <v>1695</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56"/>
      <c r="Q33" s="1263">
        <f t="shared" si="8"/>
        <v>111</v>
      </c>
      <c r="R33" s="669" t="s">
        <v>14</v>
      </c>
      <c r="S33" s="670">
        <f t="shared" si="10"/>
        <v>100</v>
      </c>
      <c r="T33" s="669" t="s">
        <v>14</v>
      </c>
      <c r="U33" s="670">
        <f t="shared" si="11"/>
        <v>100</v>
      </c>
      <c r="V33" s="669" t="s">
        <v>14</v>
      </c>
      <c r="W33" s="670">
        <f t="shared" si="12"/>
        <v>100</v>
      </c>
      <c r="X33" s="671"/>
      <c r="Y33" s="3556"/>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56"/>
      <c r="Q34" s="1263" t="str">
        <f>B34</f>
        <v>宗地面积</v>
      </c>
      <c r="R34" s="667" t="s">
        <v>14</v>
      </c>
      <c r="S34" s="668" t="e">
        <f t="shared" si="10"/>
        <v>#N/A</v>
      </c>
      <c r="T34" s="667" t="s">
        <v>14</v>
      </c>
      <c r="U34" s="668" t="e">
        <f t="shared" si="11"/>
        <v>#N/A</v>
      </c>
      <c r="V34" s="667" t="s">
        <v>14</v>
      </c>
      <c r="W34" s="668" t="e">
        <f t="shared" si="12"/>
        <v>#N/A</v>
      </c>
      <c r="X34" s="1265"/>
      <c r="Y34" s="3556"/>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56"/>
      <c r="Q35" s="1263" t="str">
        <f t="shared" ref="Q35:Q40" si="14">B35</f>
        <v>宗地形状</v>
      </c>
      <c r="R35" s="667" t="s">
        <v>14</v>
      </c>
      <c r="S35" s="668">
        <f t="shared" si="10"/>
        <v>100</v>
      </c>
      <c r="T35" s="667" t="s">
        <v>14</v>
      </c>
      <c r="U35" s="668">
        <f t="shared" si="11"/>
        <v>100</v>
      </c>
      <c r="V35" s="667" t="s">
        <v>14</v>
      </c>
      <c r="W35" s="668">
        <f t="shared" si="12"/>
        <v>100</v>
      </c>
      <c r="X35" s="1265"/>
      <c r="Y35" s="3556"/>
      <c r="Z35" s="1264" t="str">
        <f t="shared" si="13"/>
        <v>宗地形状</v>
      </c>
      <c r="AA35" s="1264">
        <f t="shared" si="3"/>
        <v>1</v>
      </c>
      <c r="AB35" s="1264">
        <f t="shared" si="4"/>
        <v>1</v>
      </c>
      <c r="AC35" s="1264">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56"/>
      <c r="Q36" s="1263" t="str">
        <f t="shared" si="14"/>
        <v>宗地开发程度</v>
      </c>
      <c r="R36" s="664" t="s">
        <v>14</v>
      </c>
      <c r="S36" s="665">
        <f t="shared" si="10"/>
        <v>100</v>
      </c>
      <c r="T36" s="664" t="s">
        <v>14</v>
      </c>
      <c r="U36" s="665">
        <f t="shared" si="11"/>
        <v>100</v>
      </c>
      <c r="V36" s="664" t="s">
        <v>14</v>
      </c>
      <c r="W36" s="665">
        <f t="shared" si="12"/>
        <v>100</v>
      </c>
      <c r="X36" s="666"/>
      <c r="Y36" s="3556"/>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56" t="s">
        <v>1695</v>
      </c>
      <c r="Q37" s="1263" t="str">
        <f t="shared" si="14"/>
        <v>工程地质条件</v>
      </c>
      <c r="R37" s="667" t="s">
        <v>14</v>
      </c>
      <c r="S37" s="668">
        <f t="shared" si="10"/>
        <v>100</v>
      </c>
      <c r="T37" s="667" t="s">
        <v>14</v>
      </c>
      <c r="U37" s="668">
        <f t="shared" si="11"/>
        <v>100</v>
      </c>
      <c r="V37" s="667" t="s">
        <v>14</v>
      </c>
      <c r="W37" s="668">
        <f t="shared" si="12"/>
        <v>100</v>
      </c>
      <c r="X37" s="1265"/>
      <c r="Y37" s="3556"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56"/>
      <c r="Q38" s="1263">
        <f t="shared" si="14"/>
        <v>111</v>
      </c>
      <c r="R38" s="667" t="s">
        <v>14</v>
      </c>
      <c r="S38" s="668">
        <f t="shared" si="10"/>
        <v>100</v>
      </c>
      <c r="T38" s="667" t="s">
        <v>14</v>
      </c>
      <c r="U38" s="668">
        <f t="shared" si="11"/>
        <v>100</v>
      </c>
      <c r="V38" s="667" t="s">
        <v>14</v>
      </c>
      <c r="W38" s="668">
        <f t="shared" si="12"/>
        <v>100</v>
      </c>
      <c r="X38" s="1265"/>
      <c r="Y38" s="35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56"/>
      <c r="Q39" s="1263">
        <f t="shared" si="14"/>
        <v>111</v>
      </c>
      <c r="R39" s="667" t="s">
        <v>14</v>
      </c>
      <c r="S39" s="668">
        <f t="shared" si="10"/>
        <v>100</v>
      </c>
      <c r="T39" s="667" t="s">
        <v>14</v>
      </c>
      <c r="U39" s="668">
        <f t="shared" si="11"/>
        <v>100</v>
      </c>
      <c r="V39" s="667" t="s">
        <v>14</v>
      </c>
      <c r="W39" s="668">
        <f t="shared" si="12"/>
        <v>100</v>
      </c>
      <c r="X39" s="1265"/>
      <c r="Y39" s="3556"/>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56"/>
      <c r="Q40" s="1263">
        <f t="shared" si="14"/>
        <v>111</v>
      </c>
      <c r="R40" s="669" t="s">
        <v>14</v>
      </c>
      <c r="S40" s="670">
        <f t="shared" si="10"/>
        <v>100</v>
      </c>
      <c r="T40" s="669" t="s">
        <v>14</v>
      </c>
      <c r="U40" s="670">
        <f t="shared" si="11"/>
        <v>100</v>
      </c>
      <c r="V40" s="669" t="s">
        <v>14</v>
      </c>
      <c r="W40" s="670">
        <f t="shared" si="12"/>
        <v>100</v>
      </c>
      <c r="X40" s="671"/>
      <c r="Y40" s="3556"/>
      <c r="Z40" s="672">
        <f t="shared" si="13"/>
        <v>111</v>
      </c>
      <c r="AA40" s="1264">
        <f t="shared" si="3"/>
        <v>1</v>
      </c>
      <c r="AB40" s="1264">
        <f t="shared" si="4"/>
        <v>1</v>
      </c>
      <c r="AC40" s="1264">
        <f t="shared" si="5"/>
        <v>1</v>
      </c>
    </row>
    <row r="41" spans="1:31" ht="14.4">
      <c r="A41" s="416" t="s">
        <v>1843</v>
      </c>
      <c r="B41" s="1829" t="s">
        <v>1921</v>
      </c>
      <c r="C41" s="602" t="s">
        <v>0</v>
      </c>
      <c r="D41" s="418"/>
      <c r="E41" s="419"/>
      <c r="F41" s="420"/>
      <c r="G41" s="421"/>
      <c r="H41" s="422"/>
      <c r="I41" s="419"/>
      <c r="J41" s="422"/>
      <c r="K41" s="674"/>
      <c r="L41" s="2494"/>
      <c r="M41" s="2487"/>
      <c r="N41" s="2487"/>
      <c r="O41" s="2487"/>
      <c r="P41" s="3550" t="str">
        <f>A41</f>
        <v>成交单价</v>
      </c>
      <c r="Q41" s="3550"/>
      <c r="R41" s="3545">
        <f>E41</f>
        <v>0</v>
      </c>
      <c r="S41" s="3545"/>
      <c r="T41" s="3545">
        <f>G41</f>
        <v>0</v>
      </c>
      <c r="U41" s="3545"/>
      <c r="V41" s="3545">
        <f>I41</f>
        <v>0</v>
      </c>
      <c r="W41" s="3545"/>
      <c r="X41" s="385"/>
      <c r="Y41" s="673"/>
      <c r="Z41" s="385"/>
      <c r="AA41" s="385"/>
      <c r="AB41" s="385"/>
      <c r="AC41" s="385"/>
    </row>
    <row r="42" spans="1:31" ht="15" thickBot="1">
      <c r="A42" s="423" t="s">
        <v>1792</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550" t="str">
        <f>A42</f>
        <v>比较价值（元/平方米）</v>
      </c>
      <c r="Q42" s="3550"/>
      <c r="R42" s="3598" t="e">
        <f>ROUND(PRODUCT(R41,AA7:AA40),0)</f>
        <v>#DIV/0!</v>
      </c>
      <c r="S42" s="3598"/>
      <c r="T42" s="3598" t="e">
        <f>ROUND(PRODUCT(T41,AB7:AB40),0)</f>
        <v>#DIV/0!</v>
      </c>
      <c r="U42" s="3598"/>
      <c r="V42" s="3598" t="e">
        <f>ROUND(PRODUCT(V41,AC7:AC40),0)</f>
        <v>#DIV/0!</v>
      </c>
      <c r="W42" s="3598"/>
      <c r="X42" s="385"/>
      <c r="Y42" s="385"/>
      <c r="Z42" s="385"/>
      <c r="AA42" s="385"/>
      <c r="AB42" s="385"/>
      <c r="AC42" s="385"/>
    </row>
    <row r="43" spans="1:31" ht="15" thickBot="1">
      <c r="A43" s="427" t="s">
        <v>1793</v>
      </c>
      <c r="B43" s="428"/>
      <c r="C43" s="429" t="e">
        <f>R43</f>
        <v>#DIV/0!</v>
      </c>
      <c r="D43" s="429"/>
      <c r="E43" s="429"/>
      <c r="F43" s="429"/>
      <c r="G43" s="429"/>
      <c r="H43" s="429"/>
      <c r="I43" s="429"/>
      <c r="J43" s="429"/>
      <c r="K43" s="675"/>
      <c r="L43" s="2494"/>
      <c r="M43" s="2487"/>
      <c r="N43" s="2487"/>
      <c r="O43" s="2487"/>
      <c r="P43" s="3547" t="str">
        <f>A43</f>
        <v>估价对象XX用房的比较价值（楼面单价，元/平方米）</v>
      </c>
      <c r="Q43" s="3548"/>
      <c r="R43" s="3599" t="e">
        <f>ROUND(IF(D42="简单平均",AVERAGE(R42:W42),R42*F42+T42*H42+V42*J42),0)</f>
        <v>#DIV/0!</v>
      </c>
      <c r="S43" s="3599"/>
      <c r="T43" s="3599"/>
      <c r="U43" s="3599"/>
      <c r="V43" s="3599"/>
      <c r="W43" s="359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1880</v>
      </c>
      <c r="B50" s="605" t="s">
        <v>1881</v>
      </c>
      <c r="C50" s="1830" t="s">
        <v>1882</v>
      </c>
      <c r="D50" s="1831" t="s">
        <v>1883</v>
      </c>
      <c r="E50" s="606" t="s">
        <v>1884</v>
      </c>
      <c r="F50" s="607" t="s">
        <v>1885</v>
      </c>
      <c r="G50" s="3533" t="s">
        <v>1886</v>
      </c>
      <c r="H50" s="3600"/>
      <c r="I50" s="1264" t="s">
        <v>1922</v>
      </c>
      <c r="J50" s="1264">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293.87</v>
      </c>
      <c r="F51" s="611" t="e">
        <f t="shared" ref="F51:F60" si="15">ROUND(B51*E51/10000,0)</f>
        <v>#DIV/0!</v>
      </c>
      <c r="G51" s="3532"/>
      <c r="H51" s="355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0.1</v>
      </c>
      <c r="D58" s="891">
        <v>0.25</v>
      </c>
      <c r="E58" s="209">
        <f>'数据-汇总表'!E13</f>
        <v>0</v>
      </c>
      <c r="F58" s="611" t="e">
        <f t="shared" si="15"/>
        <v>#DIV/0!</v>
      </c>
      <c r="G58" s="839" t="s">
        <v>1899</v>
      </c>
      <c r="H58" s="834" t="str">
        <f>IF(G58="商业",项目基本情况!B37,IF(G58="办公",项目基本情况!C37,IF(G58="住宅",项目基本情况!D37,项目基本情况!E37)))</f>
        <v>八级</v>
      </c>
      <c r="I58" s="727">
        <f>SUMIF(修正!A57:A68,H58,修正!G57:G68)</f>
        <v>0.1</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2.2"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608" t="s">
        <v>2083</v>
      </c>
      <c r="D1" s="3609"/>
      <c r="E1" s="3609"/>
      <c r="F1" s="3609"/>
      <c r="G1" s="3609"/>
      <c r="H1" s="3609"/>
      <c r="I1" s="3609"/>
      <c r="J1" s="3609"/>
      <c r="K1" s="3609"/>
      <c r="L1" s="3609"/>
      <c r="M1" s="3609"/>
      <c r="N1" s="3609"/>
      <c r="O1" s="3609"/>
      <c r="P1" s="3609"/>
      <c r="Q1" s="3609"/>
      <c r="R1" s="3609"/>
      <c r="S1" s="3610"/>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8"/>
      <c r="E20" s="1254"/>
      <c r="F20" s="929" t="e">
        <f ca="1">SUMIF(INDIRECT("'"&amp;H20&amp;"'"&amp;"!A:A"),"承租人权益价值",INDIRECT("'"&amp;H20&amp;"'"&amp;"!c:c"))</f>
        <v>#REF!</v>
      </c>
      <c r="G20" s="929" t="s">
        <v>2096</v>
      </c>
      <c r="H20" s="1989"/>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05" t="s">
        <v>27</v>
      </c>
      <c r="D22" s="3606"/>
      <c r="E22" s="3606"/>
      <c r="F22" s="3606"/>
      <c r="G22" s="3606"/>
      <c r="H22" s="3606"/>
      <c r="I22" s="3606"/>
      <c r="J22" s="3606"/>
      <c r="K22" s="3606"/>
      <c r="L22" s="3606"/>
      <c r="M22" s="3606"/>
      <c r="N22" s="3606"/>
      <c r="O22" s="3606"/>
      <c r="P22" s="3606"/>
      <c r="Q22" s="360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4"/>
      <c r="G1" s="2544"/>
      <c r="H1" s="2544"/>
      <c r="I1" s="2544"/>
      <c r="J1" s="2544"/>
      <c r="K1" s="2544"/>
      <c r="L1" s="2544"/>
      <c r="M1" s="2544"/>
      <c r="N1" s="2544"/>
      <c r="O1" s="2544"/>
      <c r="P1" s="2544"/>
    </row>
    <row r="2" spans="1:16" ht="15.6">
      <c r="A2" s="1983" t="s">
        <v>2072</v>
      </c>
      <c r="B2" s="2387">
        <f ca="1">SUMIF(B6:B13,"&lt;&gt;#ref!",B6:B13)</f>
        <v>357</v>
      </c>
      <c r="C2" s="1983" t="s">
        <v>2073</v>
      </c>
      <c r="D2" s="1983" t="s">
        <v>2074</v>
      </c>
      <c r="E2" s="2397">
        <f ca="1">SUMIF(E6:E13,"&lt;&gt;#ref!",E6:E13)</f>
        <v>293.87</v>
      </c>
      <c r="F2" s="2544"/>
      <c r="G2" s="2544"/>
      <c r="H2" s="2544"/>
      <c r="I2" s="2544"/>
      <c r="J2" s="2544"/>
      <c r="K2" s="2544"/>
      <c r="L2" s="2544"/>
      <c r="M2" s="2544"/>
      <c r="N2" s="2544"/>
      <c r="O2" s="2544"/>
      <c r="P2" s="2544"/>
    </row>
    <row r="3" spans="1:16" ht="15.6">
      <c r="A3" s="1983" t="s">
        <v>2075</v>
      </c>
      <c r="B3" s="2387">
        <f ca="1">ROUND(B2*10000/E2,0)</f>
        <v>12148</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f ca="1">SUMIF(INDIRECT("'"&amp;A6&amp;"'"&amp;"!A:A"),"总价",INDIRECT("'"&amp;A6&amp;"'"&amp;"!B:B"))</f>
        <v>357</v>
      </c>
      <c r="C6" s="1983" t="s">
        <v>2073</v>
      </c>
      <c r="D6" s="2544"/>
      <c r="E6" s="2397">
        <f ca="1">SUMIF(INDIRECT("'"&amp;A6&amp;"'"&amp;"!C:C"),"建筑面积",INDIRECT("'"&amp;A6&amp;"'"&amp;"!D:D"))</f>
        <v>293.87</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16" t="str">
        <f>IF(项目基本情况!B9="房地产市场价值","估价结果一览表","结果表-2")</f>
        <v>估价结果一览表</v>
      </c>
      <c r="B1" s="3316"/>
      <c r="C1" s="3316"/>
      <c r="D1" s="3316"/>
      <c r="E1" s="3316"/>
      <c r="F1" s="3316"/>
      <c r="G1" s="3316"/>
      <c r="H1" s="3316"/>
      <c r="I1" s="3316"/>
    </row>
    <row r="2" spans="1:9" ht="30" customHeight="1" thickTop="1">
      <c r="A2" s="3317" t="s">
        <v>928</v>
      </c>
      <c r="B2" s="3317" t="s">
        <v>929</v>
      </c>
      <c r="C2" s="3317" t="s">
        <v>930</v>
      </c>
      <c r="D2" s="3317" t="str">
        <f>结果表!D116</f>
        <v>出让国有建设用地使用权价值</v>
      </c>
      <c r="E2" s="3317"/>
      <c r="F2" s="3317" t="str">
        <f>结果表!F116</f>
        <v>在建建筑物价值</v>
      </c>
      <c r="G2" s="3317"/>
      <c r="H2" s="3317" t="str">
        <f>IF(项目基本情况!B9="房地产市场价值","房地产市场价值","房地产价值")</f>
        <v>房地产市场价值</v>
      </c>
      <c r="I2" s="3317"/>
    </row>
    <row r="3" spans="1:9" ht="15.6">
      <c r="A3" s="3318"/>
      <c r="B3" s="3318"/>
      <c r="C3" s="3318"/>
      <c r="D3" s="801" t="s">
        <v>925</v>
      </c>
      <c r="E3" s="801" t="s">
        <v>931</v>
      </c>
      <c r="F3" s="801" t="s">
        <v>925</v>
      </c>
      <c r="G3" s="801" t="s">
        <v>926</v>
      </c>
      <c r="H3" s="801" t="s">
        <v>925</v>
      </c>
      <c r="I3" s="801" t="s">
        <v>926</v>
      </c>
    </row>
    <row r="4" spans="1:9" ht="15">
      <c r="A4" s="1403" t="str">
        <f>项目基本情况!S2</f>
        <v>北京市房地产</v>
      </c>
      <c r="B4" s="801">
        <f>项目基本情况!C17</f>
        <v>293.87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8" t="s">
        <v>927</v>
      </c>
      <c r="B5" s="3318"/>
      <c r="C5" s="3318"/>
      <c r="D5" s="3318" t="e">
        <f ca="1">结果表!D119</f>
        <v>#REF!</v>
      </c>
      <c r="E5" s="3318"/>
      <c r="F5" s="3318" t="e">
        <f ca="1">结果表!F119</f>
        <v>#REF!</v>
      </c>
      <c r="G5" s="3318"/>
      <c r="H5" s="3318" t="e">
        <f ca="1">结果表!H119</f>
        <v>#REF!</v>
      </c>
      <c r="I5" s="3318"/>
    </row>
    <row r="6" spans="1:9" ht="15.6">
      <c r="A6" s="3319" t="str">
        <f>结果表!A120</f>
        <v/>
      </c>
      <c r="B6" s="3319"/>
      <c r="C6" s="3319"/>
      <c r="D6" s="3319">
        <f>结果表!D120</f>
        <v>0</v>
      </c>
      <c r="E6" s="3319"/>
      <c r="F6" s="3319"/>
      <c r="G6" s="3319"/>
      <c r="H6" s="3319"/>
      <c r="I6" s="3319"/>
    </row>
    <row r="7" spans="1:9" ht="15">
      <c r="A7" s="3318" t="s">
        <v>927</v>
      </c>
      <c r="B7" s="3318"/>
      <c r="C7" s="3318"/>
      <c r="D7" s="3320" t="str">
        <f>结果表!D121</f>
        <v>零元整</v>
      </c>
      <c r="E7" s="3321"/>
      <c r="F7" s="3321"/>
      <c r="G7" s="3321"/>
      <c r="H7" s="3321"/>
      <c r="I7" s="3322"/>
    </row>
    <row r="8" spans="1:9" ht="15.6">
      <c r="A8" s="3319" t="str">
        <f>结果表!A122</f>
        <v/>
      </c>
      <c r="B8" s="3319"/>
      <c r="C8" s="3319"/>
      <c r="D8" s="3319" t="e">
        <f ca="1">结果表!D122</f>
        <v>#REF!</v>
      </c>
      <c r="E8" s="3319"/>
      <c r="F8" s="3319"/>
      <c r="G8" s="3319"/>
      <c r="H8" s="3319"/>
      <c r="I8" s="3319"/>
    </row>
    <row r="9" spans="1:9" ht="15">
      <c r="A9" s="3318" t="s">
        <v>927</v>
      </c>
      <c r="B9" s="3318"/>
      <c r="C9" s="3318"/>
      <c r="D9" s="3318" t="e">
        <f ca="1">结果表!D123</f>
        <v>#REF!</v>
      </c>
      <c r="E9" s="3318"/>
      <c r="F9" s="3318"/>
      <c r="G9" s="3318"/>
      <c r="H9" s="3318"/>
      <c r="I9" s="3318"/>
    </row>
    <row r="10" spans="1:9" ht="15.6">
      <c r="A10" s="3319" t="str">
        <f>结果表!A124</f>
        <v/>
      </c>
      <c r="B10" s="3319"/>
      <c r="C10" s="3319"/>
      <c r="D10" s="3319" t="str">
        <f>结果表!D124</f>
        <v>——</v>
      </c>
      <c r="E10" s="3319"/>
      <c r="F10" s="3319"/>
      <c r="G10" s="3319"/>
      <c r="H10" s="3319"/>
      <c r="I10" s="3319"/>
    </row>
    <row r="11" spans="1:9" ht="15">
      <c r="A11" s="3318" t="s">
        <v>927</v>
      </c>
      <c r="B11" s="3318"/>
      <c r="C11" s="3318"/>
      <c r="D11" s="3318" t="e">
        <f>结果表!D125</f>
        <v>#VALUE!</v>
      </c>
      <c r="E11" s="3318"/>
      <c r="F11" s="3318"/>
      <c r="G11" s="3318"/>
      <c r="H11" s="3318"/>
      <c r="I11" s="3318"/>
    </row>
    <row r="12" spans="1:9" ht="15.6">
      <c r="A12" s="3319" t="str">
        <f>结果表!A126</f>
        <v/>
      </c>
      <c r="B12" s="3319"/>
      <c r="C12" s="3319"/>
      <c r="D12" s="3319" t="str">
        <f>结果表!D126</f>
        <v>——</v>
      </c>
      <c r="E12" s="3319"/>
      <c r="F12" s="3319"/>
      <c r="G12" s="3319"/>
      <c r="H12" s="3319"/>
      <c r="I12" s="3319"/>
    </row>
    <row r="13" spans="1:9" ht="15.6" thickBot="1">
      <c r="A13" s="3323" t="s">
        <v>927</v>
      </c>
      <c r="B13" s="3323"/>
      <c r="C13" s="3323"/>
      <c r="D13" s="3323" t="e">
        <f>结果表!D127</f>
        <v>#VALUE!</v>
      </c>
      <c r="E13" s="3323"/>
      <c r="F13" s="3323"/>
      <c r="G13" s="3323"/>
      <c r="H13" s="3323"/>
      <c r="I13" s="3323"/>
    </row>
    <row r="14" spans="1:9" ht="14.4" thickTop="1">
      <c r="A14" s="3324" t="s">
        <v>932</v>
      </c>
      <c r="B14" s="3324"/>
      <c r="C14" s="3324"/>
      <c r="D14" s="3324"/>
      <c r="E14" s="3324"/>
      <c r="F14" s="3324"/>
      <c r="G14" s="3324"/>
      <c r="H14" s="3324"/>
      <c r="I14" s="332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618" t="s">
        <v>2609</v>
      </c>
      <c r="B20" s="3611" t="s">
        <v>2630</v>
      </c>
      <c r="C20" s="2842" t="s">
        <v>2441</v>
      </c>
      <c r="D20" s="2843"/>
      <c r="E20" s="2844">
        <v>1</v>
      </c>
      <c r="F20" s="2845" t="s">
        <v>2442</v>
      </c>
      <c r="G20" s="2845"/>
    </row>
    <row r="21" spans="1:13" ht="19.5" customHeight="1">
      <c r="A21" s="3619"/>
      <c r="B21" s="3612"/>
      <c r="C21" s="2846" t="s">
        <v>2443</v>
      </c>
      <c r="D21" s="2847"/>
      <c r="E21" s="2848">
        <v>1</v>
      </c>
      <c r="F21" s="2845" t="s">
        <v>2444</v>
      </c>
      <c r="G21" s="2845"/>
    </row>
    <row r="22" spans="1:13" ht="19.5" customHeight="1">
      <c r="A22" s="3619"/>
      <c r="B22" s="3612"/>
      <c r="C22" s="2846" t="s">
        <v>2445</v>
      </c>
      <c r="D22" s="2847"/>
      <c r="E22" s="2848">
        <v>0.9</v>
      </c>
      <c r="F22" s="2845" t="s">
        <v>2446</v>
      </c>
      <c r="G22" s="2845"/>
    </row>
    <row r="23" spans="1:13" ht="19.5" customHeight="1">
      <c r="A23" s="3619"/>
      <c r="B23" s="3612"/>
      <c r="C23" s="2846" t="s">
        <v>2447</v>
      </c>
      <c r="D23" s="2847"/>
      <c r="E23" s="2848">
        <v>0.9</v>
      </c>
      <c r="F23" s="2845" t="s">
        <v>2448</v>
      </c>
      <c r="G23" s="2845"/>
    </row>
    <row r="24" spans="1:13" ht="19.5" customHeight="1">
      <c r="A24" s="3619"/>
      <c r="B24" s="3612"/>
      <c r="C24" s="2846" t="s">
        <v>2449</v>
      </c>
      <c r="D24" s="2847"/>
      <c r="E24" s="2848">
        <v>0.8</v>
      </c>
      <c r="F24" s="2845" t="s">
        <v>2450</v>
      </c>
      <c r="G24" s="2845"/>
    </row>
    <row r="25" spans="1:13" ht="19.5" customHeight="1" thickBot="1">
      <c r="A25" s="3620"/>
      <c r="B25" s="3613"/>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614" t="s">
        <v>2633</v>
      </c>
      <c r="B27" s="3611" t="s">
        <v>2614</v>
      </c>
      <c r="C27" s="2842" t="s">
        <v>2454</v>
      </c>
      <c r="D27" s="2843"/>
      <c r="E27" s="2844">
        <v>1</v>
      </c>
      <c r="F27" s="2845" t="s">
        <v>2455</v>
      </c>
      <c r="G27" s="2845"/>
    </row>
    <row r="28" spans="1:13" ht="19.5" customHeight="1">
      <c r="A28" s="3615"/>
      <c r="B28" s="3612"/>
      <c r="C28" s="2846" t="s">
        <v>2456</v>
      </c>
      <c r="D28" s="2847"/>
      <c r="E28" s="2848">
        <v>1</v>
      </c>
      <c r="F28" s="2845" t="s">
        <v>2457</v>
      </c>
      <c r="G28" s="2845"/>
    </row>
    <row r="29" spans="1:13" ht="19.5" customHeight="1">
      <c r="A29" s="3615"/>
      <c r="B29" s="3612"/>
      <c r="C29" s="2846" t="s">
        <v>2458</v>
      </c>
      <c r="D29" s="2847"/>
      <c r="E29" s="2848">
        <v>0.8</v>
      </c>
      <c r="F29" s="2845" t="s">
        <v>2459</v>
      </c>
      <c r="G29" s="2845"/>
    </row>
    <row r="30" spans="1:13" ht="19.5" customHeight="1">
      <c r="A30" s="3615"/>
      <c r="B30" s="3612"/>
      <c r="C30" s="2846" t="s">
        <v>2460</v>
      </c>
      <c r="D30" s="2847"/>
      <c r="E30" s="2848">
        <v>0.8</v>
      </c>
      <c r="F30" s="2845" t="s">
        <v>2461</v>
      </c>
      <c r="G30" s="2845"/>
    </row>
    <row r="31" spans="1:13" ht="19.5" customHeight="1">
      <c r="A31" s="3615"/>
      <c r="B31" s="3612"/>
      <c r="C31" s="2846" t="s">
        <v>2462</v>
      </c>
      <c r="D31" s="2847"/>
      <c r="E31" s="2848">
        <v>0.8</v>
      </c>
      <c r="F31" s="2845" t="s">
        <v>2463</v>
      </c>
      <c r="G31" s="2845"/>
    </row>
    <row r="32" spans="1:13" ht="19.5" customHeight="1">
      <c r="A32" s="3615"/>
      <c r="B32" s="3612"/>
      <c r="C32" s="2846" t="s">
        <v>2464</v>
      </c>
      <c r="D32" s="2847"/>
      <c r="E32" s="2848">
        <v>0.7</v>
      </c>
      <c r="F32" s="2845" t="s">
        <v>2465</v>
      </c>
      <c r="G32" s="2845"/>
    </row>
    <row r="33" spans="1:7" ht="19.5" customHeight="1">
      <c r="A33" s="3615"/>
      <c r="B33" s="3612"/>
      <c r="C33" s="2846" t="s">
        <v>2466</v>
      </c>
      <c r="D33" s="2847"/>
      <c r="E33" s="2848">
        <v>0.8</v>
      </c>
      <c r="F33" s="2845" t="s">
        <v>2467</v>
      </c>
      <c r="G33" s="2845"/>
    </row>
    <row r="34" spans="1:7" ht="19.5" customHeight="1">
      <c r="A34" s="3615"/>
      <c r="B34" s="3612"/>
      <c r="C34" s="2846" t="s">
        <v>2468</v>
      </c>
      <c r="D34" s="2847"/>
      <c r="E34" s="2848">
        <v>0.6</v>
      </c>
      <c r="F34" s="2845" t="s">
        <v>2469</v>
      </c>
      <c r="G34" s="2845"/>
    </row>
    <row r="35" spans="1:7" ht="19.5" customHeight="1">
      <c r="A35" s="3615"/>
      <c r="B35" s="3612"/>
      <c r="C35" s="2846" t="s">
        <v>2470</v>
      </c>
      <c r="D35" s="2847"/>
      <c r="E35" s="2848">
        <v>0.2</v>
      </c>
      <c r="F35" s="2845" t="s">
        <v>2471</v>
      </c>
      <c r="G35" s="2845"/>
    </row>
    <row r="36" spans="1:7" ht="19.5" customHeight="1">
      <c r="A36" s="3615"/>
      <c r="B36" s="3612"/>
      <c r="C36" s="2846" t="s">
        <v>2472</v>
      </c>
      <c r="D36" s="2847"/>
      <c r="E36" s="2848">
        <v>0.2</v>
      </c>
      <c r="F36" s="2845" t="s">
        <v>2473</v>
      </c>
      <c r="G36" s="2845"/>
    </row>
    <row r="37" spans="1:7" ht="19.5" customHeight="1">
      <c r="A37" s="3615"/>
      <c r="B37" s="3617" t="s">
        <v>2634</v>
      </c>
      <c r="C37" s="2846" t="s">
        <v>2474</v>
      </c>
      <c r="D37" s="2847"/>
      <c r="E37" s="2848">
        <v>0.6</v>
      </c>
      <c r="F37" s="2845" t="s">
        <v>2475</v>
      </c>
      <c r="G37" s="2845"/>
    </row>
    <row r="38" spans="1:7" ht="19.5" customHeight="1">
      <c r="A38" s="3615"/>
      <c r="B38" s="3612"/>
      <c r="C38" s="2846" t="s">
        <v>2476</v>
      </c>
      <c r="D38" s="2847"/>
      <c r="E38" s="2848">
        <v>0.6</v>
      </c>
      <c r="F38" s="2845" t="s">
        <v>2477</v>
      </c>
      <c r="G38" s="2845"/>
    </row>
    <row r="39" spans="1:7" ht="19.5" customHeight="1" thickBot="1">
      <c r="A39" s="3616"/>
      <c r="B39" s="3613"/>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618" t="s">
        <v>2612</v>
      </c>
      <c r="B41" s="3611" t="s">
        <v>2636</v>
      </c>
      <c r="C41" s="2842" t="s">
        <v>2481</v>
      </c>
      <c r="D41" s="2843"/>
      <c r="E41" s="2844">
        <v>1</v>
      </c>
      <c r="F41" s="2845" t="s">
        <v>2482</v>
      </c>
      <c r="G41" s="2845"/>
    </row>
    <row r="42" spans="1:7" ht="19.5" customHeight="1">
      <c r="A42" s="3619"/>
      <c r="B42" s="3612"/>
      <c r="C42" s="2846" t="s">
        <v>2483</v>
      </c>
      <c r="D42" s="2847"/>
      <c r="E42" s="2848">
        <v>1</v>
      </c>
      <c r="F42" s="2845" t="s">
        <v>2484</v>
      </c>
      <c r="G42" s="2845"/>
    </row>
    <row r="43" spans="1:7" ht="19.5" customHeight="1">
      <c r="A43" s="3619"/>
      <c r="B43" s="3621"/>
      <c r="C43" s="2846" t="s">
        <v>2485</v>
      </c>
      <c r="D43" s="2847"/>
      <c r="E43" s="2848">
        <v>1.5</v>
      </c>
      <c r="F43" s="2845" t="s">
        <v>2486</v>
      </c>
      <c r="G43" s="2845"/>
    </row>
    <row r="44" spans="1:7" ht="19.5" customHeight="1">
      <c r="A44" s="3619"/>
      <c r="B44" s="2857" t="s">
        <v>2637</v>
      </c>
      <c r="C44" s="2846" t="s">
        <v>2638</v>
      </c>
      <c r="D44" s="2847"/>
      <c r="E44" s="2848">
        <v>2</v>
      </c>
      <c r="F44" s="2845" t="s">
        <v>2487</v>
      </c>
      <c r="G44" s="2845"/>
    </row>
    <row r="45" spans="1:7" ht="19.5" customHeight="1">
      <c r="A45" s="3619"/>
      <c r="B45" s="3617" t="s">
        <v>2639</v>
      </c>
      <c r="C45" s="2846" t="s">
        <v>2488</v>
      </c>
      <c r="D45" s="2847"/>
      <c r="E45" s="2848">
        <v>1</v>
      </c>
      <c r="F45" s="2845" t="s">
        <v>2489</v>
      </c>
      <c r="G45" s="2845"/>
    </row>
    <row r="46" spans="1:7" ht="19.5" customHeight="1">
      <c r="A46" s="3619"/>
      <c r="B46" s="3612"/>
      <c r="C46" s="2846" t="s">
        <v>2490</v>
      </c>
      <c r="D46" s="2847"/>
      <c r="E46" s="2848">
        <v>1</v>
      </c>
      <c r="F46" s="2845" t="s">
        <v>2491</v>
      </c>
      <c r="G46" s="2845"/>
    </row>
    <row r="47" spans="1:7" ht="19.5" customHeight="1">
      <c r="A47" s="3619"/>
      <c r="B47" s="3612"/>
      <c r="C47" s="2846" t="s">
        <v>2492</v>
      </c>
      <c r="D47" s="2847"/>
      <c r="E47" s="2848">
        <v>1</v>
      </c>
      <c r="F47" s="2845" t="s">
        <v>2493</v>
      </c>
      <c r="G47" s="2845"/>
    </row>
    <row r="48" spans="1:7" ht="19.5" customHeight="1">
      <c r="A48" s="3619"/>
      <c r="B48" s="3612"/>
      <c r="C48" s="2846" t="s">
        <v>2494</v>
      </c>
      <c r="D48" s="2847"/>
      <c r="E48" s="2848">
        <v>1</v>
      </c>
      <c r="F48" s="2845" t="s">
        <v>2495</v>
      </c>
      <c r="G48" s="2845"/>
    </row>
    <row r="49" spans="1:7" ht="19.5" customHeight="1">
      <c r="A49" s="3619"/>
      <c r="B49" s="3612"/>
      <c r="C49" s="2846" t="s">
        <v>2496</v>
      </c>
      <c r="D49" s="2847"/>
      <c r="E49" s="2848">
        <v>1</v>
      </c>
      <c r="F49" s="2845" t="s">
        <v>2497</v>
      </c>
      <c r="G49" s="2845"/>
    </row>
    <row r="50" spans="1:7" ht="19.5" customHeight="1">
      <c r="A50" s="3619"/>
      <c r="B50" s="3612"/>
      <c r="C50" s="2846" t="s">
        <v>2498</v>
      </c>
      <c r="D50" s="2847"/>
      <c r="E50" s="2848">
        <v>1</v>
      </c>
      <c r="F50" s="2845" t="s">
        <v>2499</v>
      </c>
      <c r="G50" s="2845"/>
    </row>
    <row r="51" spans="1:7" ht="19.5" customHeight="1" thickBot="1">
      <c r="A51" s="3620"/>
      <c r="B51" s="3613"/>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617" t="s">
        <v>2653</v>
      </c>
      <c r="C73" s="2831" t="s">
        <v>2654</v>
      </c>
      <c r="D73" s="2831" t="s">
        <v>2655</v>
      </c>
      <c r="E73" s="2857">
        <v>0.2</v>
      </c>
      <c r="F73" s="2857">
        <v>25</v>
      </c>
    </row>
    <row r="74" spans="1:7" ht="24">
      <c r="A74" s="2857">
        <v>2</v>
      </c>
      <c r="B74" s="3612"/>
      <c r="C74" s="2831" t="s">
        <v>2656</v>
      </c>
      <c r="D74" s="2831" t="s">
        <v>2657</v>
      </c>
      <c r="E74" s="2857">
        <v>0.2</v>
      </c>
      <c r="F74" s="2857">
        <v>25</v>
      </c>
    </row>
    <row r="75" spans="1:7" ht="24">
      <c r="A75" s="2857">
        <v>3</v>
      </c>
      <c r="B75" s="3612"/>
      <c r="C75" s="2831" t="s">
        <v>2658</v>
      </c>
      <c r="D75" s="2831" t="s">
        <v>2659</v>
      </c>
      <c r="E75" s="2857">
        <v>0.2</v>
      </c>
      <c r="F75" s="2857">
        <v>25</v>
      </c>
    </row>
    <row r="76" spans="1:7" ht="14.4">
      <c r="A76" s="2857">
        <v>4</v>
      </c>
      <c r="B76" s="3612"/>
      <c r="C76" s="2831" t="s">
        <v>2660</v>
      </c>
      <c r="D76" s="2831" t="s">
        <v>2661</v>
      </c>
      <c r="E76" s="2857">
        <v>0.15</v>
      </c>
      <c r="F76" s="2857">
        <v>20</v>
      </c>
    </row>
    <row r="77" spans="1:7" ht="24">
      <c r="A77" s="2857">
        <v>5</v>
      </c>
      <c r="B77" s="3612"/>
      <c r="C77" s="2831" t="s">
        <v>2662</v>
      </c>
      <c r="D77" s="2831" t="s">
        <v>2663</v>
      </c>
      <c r="E77" s="2857">
        <v>0.15</v>
      </c>
      <c r="F77" s="2857">
        <v>20</v>
      </c>
    </row>
    <row r="78" spans="1:7" ht="24">
      <c r="A78" s="2857">
        <v>6</v>
      </c>
      <c r="B78" s="3612"/>
      <c r="C78" s="2831" t="s">
        <v>2664</v>
      </c>
      <c r="D78" s="2831" t="s">
        <v>2665</v>
      </c>
      <c r="E78" s="2857">
        <v>0.15</v>
      </c>
      <c r="F78" s="2857">
        <v>20</v>
      </c>
    </row>
    <row r="79" spans="1:7" ht="24">
      <c r="A79" s="2857">
        <v>7</v>
      </c>
      <c r="B79" s="3612"/>
      <c r="C79" s="2831" t="s">
        <v>2666</v>
      </c>
      <c r="D79" s="2831" t="s">
        <v>2667</v>
      </c>
      <c r="E79" s="2857">
        <v>0.15</v>
      </c>
      <c r="F79" s="2857">
        <v>20</v>
      </c>
    </row>
    <row r="80" spans="1:7" ht="24">
      <c r="A80" s="2857">
        <v>8</v>
      </c>
      <c r="B80" s="3612"/>
      <c r="C80" s="2831" t="s">
        <v>2668</v>
      </c>
      <c r="D80" s="2831" t="s">
        <v>2669</v>
      </c>
      <c r="E80" s="2857">
        <v>0.1</v>
      </c>
      <c r="F80" s="2857">
        <v>15</v>
      </c>
    </row>
    <row r="81" spans="1:6" ht="24">
      <c r="A81" s="2857">
        <v>9</v>
      </c>
      <c r="B81" s="3612"/>
      <c r="C81" s="2831" t="s">
        <v>2670</v>
      </c>
      <c r="D81" s="2831" t="s">
        <v>2671</v>
      </c>
      <c r="E81" s="2857">
        <v>0.1</v>
      </c>
      <c r="F81" s="2857">
        <v>15</v>
      </c>
    </row>
    <row r="82" spans="1:6" ht="24">
      <c r="A82" s="2857">
        <v>10</v>
      </c>
      <c r="B82" s="3612"/>
      <c r="C82" s="2831" t="s">
        <v>2672</v>
      </c>
      <c r="D82" s="2831" t="s">
        <v>2673</v>
      </c>
      <c r="E82" s="2857">
        <v>0.1</v>
      </c>
      <c r="F82" s="2857">
        <v>15</v>
      </c>
    </row>
    <row r="83" spans="1:6" ht="24">
      <c r="A83" s="2857">
        <v>11</v>
      </c>
      <c r="B83" s="3612"/>
      <c r="C83" s="2831" t="s">
        <v>2674</v>
      </c>
      <c r="D83" s="2831" t="s">
        <v>2675</v>
      </c>
      <c r="E83" s="2857">
        <v>0.1</v>
      </c>
      <c r="F83" s="2857">
        <v>15</v>
      </c>
    </row>
    <row r="84" spans="1:6" ht="24">
      <c r="A84" s="2857">
        <v>12</v>
      </c>
      <c r="B84" s="3612"/>
      <c r="C84" s="2831" t="s">
        <v>2676</v>
      </c>
      <c r="D84" s="2831" t="s">
        <v>2677</v>
      </c>
      <c r="E84" s="2857">
        <v>0.1</v>
      </c>
      <c r="F84" s="2857">
        <v>15</v>
      </c>
    </row>
    <row r="85" spans="1:6" ht="24">
      <c r="A85" s="2857">
        <v>13</v>
      </c>
      <c r="B85" s="3612"/>
      <c r="C85" s="2831" t="s">
        <v>2678</v>
      </c>
      <c r="D85" s="2831" t="s">
        <v>2679</v>
      </c>
      <c r="E85" s="2857">
        <v>0.1</v>
      </c>
      <c r="F85" s="2857">
        <v>15</v>
      </c>
    </row>
    <row r="86" spans="1:6" ht="24">
      <c r="A86" s="2857">
        <v>14</v>
      </c>
      <c r="B86" s="3612"/>
      <c r="C86" s="2831" t="s">
        <v>2680</v>
      </c>
      <c r="D86" s="2831" t="s">
        <v>2681</v>
      </c>
      <c r="E86" s="2857">
        <v>0.1</v>
      </c>
      <c r="F86" s="2857">
        <v>15</v>
      </c>
    </row>
    <row r="87" spans="1:6" ht="24">
      <c r="A87" s="2857">
        <v>15</v>
      </c>
      <c r="B87" s="3612"/>
      <c r="C87" s="2831" t="s">
        <v>2682</v>
      </c>
      <c r="D87" s="2831" t="s">
        <v>2683</v>
      </c>
      <c r="E87" s="2857">
        <v>0.1</v>
      </c>
      <c r="F87" s="2857">
        <v>15</v>
      </c>
    </row>
    <row r="88" spans="1:6" ht="24">
      <c r="A88" s="2857">
        <v>16</v>
      </c>
      <c r="B88" s="3612"/>
      <c r="C88" s="2831" t="s">
        <v>2684</v>
      </c>
      <c r="D88" s="2831" t="s">
        <v>2685</v>
      </c>
      <c r="E88" s="2857">
        <v>0.1</v>
      </c>
      <c r="F88" s="2857">
        <v>15</v>
      </c>
    </row>
    <row r="89" spans="1:6" ht="24">
      <c r="A89" s="2857">
        <v>17</v>
      </c>
      <c r="B89" s="3621"/>
      <c r="C89" s="2831" t="s">
        <v>2686</v>
      </c>
      <c r="D89" s="2831" t="s">
        <v>2687</v>
      </c>
      <c r="E89" s="2857">
        <v>0.1</v>
      </c>
      <c r="F89" s="2857">
        <v>15</v>
      </c>
    </row>
    <row r="90" spans="1:6" ht="14.4">
      <c r="A90" s="2857">
        <v>18</v>
      </c>
      <c r="B90" s="3617" t="s">
        <v>2688</v>
      </c>
      <c r="C90" s="2831" t="s">
        <v>2689</v>
      </c>
      <c r="D90" s="2831" t="s">
        <v>2690</v>
      </c>
      <c r="E90" s="2857">
        <v>0.2</v>
      </c>
      <c r="F90" s="2857">
        <v>25</v>
      </c>
    </row>
    <row r="91" spans="1:6" ht="24">
      <c r="A91" s="2857">
        <v>19</v>
      </c>
      <c r="B91" s="3612"/>
      <c r="C91" s="2831" t="s">
        <v>2691</v>
      </c>
      <c r="D91" s="2831" t="s">
        <v>2692</v>
      </c>
      <c r="E91" s="2857">
        <v>0.2</v>
      </c>
      <c r="F91" s="2857">
        <v>25</v>
      </c>
    </row>
    <row r="92" spans="1:6" ht="14.4">
      <c r="A92" s="2857">
        <v>20</v>
      </c>
      <c r="B92" s="3612"/>
      <c r="C92" s="2831" t="s">
        <v>2693</v>
      </c>
      <c r="D92" s="2831" t="s">
        <v>2694</v>
      </c>
      <c r="E92" s="2857">
        <v>0.15</v>
      </c>
      <c r="F92" s="2857">
        <v>20</v>
      </c>
    </row>
    <row r="93" spans="1:6" ht="24">
      <c r="A93" s="2857">
        <v>21</v>
      </c>
      <c r="B93" s="3612"/>
      <c r="C93" s="2831" t="s">
        <v>2695</v>
      </c>
      <c r="D93" s="2831" t="s">
        <v>2696</v>
      </c>
      <c r="E93" s="2857">
        <v>0.15</v>
      </c>
      <c r="F93" s="2857">
        <v>20</v>
      </c>
    </row>
    <row r="94" spans="1:6" ht="24">
      <c r="A94" s="2857">
        <v>22</v>
      </c>
      <c r="B94" s="3612"/>
      <c r="C94" s="2831" t="s">
        <v>2697</v>
      </c>
      <c r="D94" s="2831" t="s">
        <v>2698</v>
      </c>
      <c r="E94" s="2857">
        <v>0.15</v>
      </c>
      <c r="F94" s="2857">
        <v>20</v>
      </c>
    </row>
    <row r="95" spans="1:6" ht="36">
      <c r="A95" s="2857">
        <v>23</v>
      </c>
      <c r="B95" s="3612"/>
      <c r="C95" s="2831" t="s">
        <v>2699</v>
      </c>
      <c r="D95" s="2831" t="s">
        <v>2700</v>
      </c>
      <c r="E95" s="2857">
        <v>0.15</v>
      </c>
      <c r="F95" s="2857">
        <v>20</v>
      </c>
    </row>
    <row r="96" spans="1:6" ht="24">
      <c r="A96" s="2857">
        <v>24</v>
      </c>
      <c r="B96" s="3612"/>
      <c r="C96" s="2831" t="s">
        <v>2701</v>
      </c>
      <c r="D96" s="2831" t="s">
        <v>2702</v>
      </c>
      <c r="E96" s="2857">
        <v>0.1</v>
      </c>
      <c r="F96" s="2857">
        <v>15</v>
      </c>
    </row>
    <row r="97" spans="1:6" ht="24">
      <c r="A97" s="2857">
        <v>25</v>
      </c>
      <c r="B97" s="3612"/>
      <c r="C97" s="2831" t="s">
        <v>2703</v>
      </c>
      <c r="D97" s="2831" t="s">
        <v>2704</v>
      </c>
      <c r="E97" s="2857">
        <v>0.1</v>
      </c>
      <c r="F97" s="2857">
        <v>15</v>
      </c>
    </row>
    <row r="98" spans="1:6" ht="24">
      <c r="A98" s="2857">
        <v>26</v>
      </c>
      <c r="B98" s="3612"/>
      <c r="C98" s="2831" t="s">
        <v>2705</v>
      </c>
      <c r="D98" s="2831" t="s">
        <v>2706</v>
      </c>
      <c r="E98" s="2857">
        <v>0.1</v>
      </c>
      <c r="F98" s="2857">
        <v>15</v>
      </c>
    </row>
    <row r="99" spans="1:6" ht="24">
      <c r="A99" s="2857">
        <v>27</v>
      </c>
      <c r="B99" s="3612"/>
      <c r="C99" s="2831" t="s">
        <v>2707</v>
      </c>
      <c r="D99" s="2831" t="s">
        <v>2708</v>
      </c>
      <c r="E99" s="2857">
        <v>0.1</v>
      </c>
      <c r="F99" s="2857">
        <v>15</v>
      </c>
    </row>
    <row r="100" spans="1:6" ht="24">
      <c r="A100" s="2857">
        <v>28</v>
      </c>
      <c r="B100" s="3612"/>
      <c r="C100" s="2831" t="s">
        <v>2709</v>
      </c>
      <c r="D100" s="2831" t="s">
        <v>2710</v>
      </c>
      <c r="E100" s="2857">
        <v>0.1</v>
      </c>
      <c r="F100" s="2857">
        <v>15</v>
      </c>
    </row>
    <row r="101" spans="1:6" ht="24">
      <c r="A101" s="2857">
        <v>29</v>
      </c>
      <c r="B101" s="3612"/>
      <c r="C101" s="2831" t="s">
        <v>2711</v>
      </c>
      <c r="D101" s="2831" t="s">
        <v>2712</v>
      </c>
      <c r="E101" s="2857">
        <v>0.1</v>
      </c>
      <c r="F101" s="2857">
        <v>15</v>
      </c>
    </row>
    <row r="102" spans="1:6" ht="24">
      <c r="A102" s="2857">
        <v>30</v>
      </c>
      <c r="B102" s="3612"/>
      <c r="C102" s="2831" t="s">
        <v>2713</v>
      </c>
      <c r="D102" s="2831" t="s">
        <v>2714</v>
      </c>
      <c r="E102" s="2857">
        <v>0.1</v>
      </c>
      <c r="F102" s="2857">
        <v>15</v>
      </c>
    </row>
    <row r="103" spans="1:6" ht="24">
      <c r="A103" s="2857">
        <v>31</v>
      </c>
      <c r="B103" s="3612"/>
      <c r="C103" s="2831" t="s">
        <v>2715</v>
      </c>
      <c r="D103" s="2831" t="s">
        <v>2716</v>
      </c>
      <c r="E103" s="2857">
        <v>0.1</v>
      </c>
      <c r="F103" s="2857">
        <v>15</v>
      </c>
    </row>
    <row r="104" spans="1:6" ht="24">
      <c r="A104" s="2857">
        <v>32</v>
      </c>
      <c r="B104" s="3612"/>
      <c r="C104" s="2831" t="s">
        <v>2717</v>
      </c>
      <c r="D104" s="2831" t="s">
        <v>2718</v>
      </c>
      <c r="E104" s="2857">
        <v>0.1</v>
      </c>
      <c r="F104" s="2857">
        <v>15</v>
      </c>
    </row>
    <row r="105" spans="1:6" ht="24">
      <c r="A105" s="2857">
        <v>33</v>
      </c>
      <c r="B105" s="3612"/>
      <c r="C105" s="2831" t="s">
        <v>2719</v>
      </c>
      <c r="D105" s="2831" t="s">
        <v>2720</v>
      </c>
      <c r="E105" s="2857">
        <v>0.1</v>
      </c>
      <c r="F105" s="2857">
        <v>15</v>
      </c>
    </row>
    <row r="106" spans="1:6" ht="24">
      <c r="A106" s="2857">
        <v>34</v>
      </c>
      <c r="B106" s="3621"/>
      <c r="C106" s="2831" t="s">
        <v>2721</v>
      </c>
      <c r="D106" s="2831" t="s">
        <v>2722</v>
      </c>
      <c r="E106" s="2857">
        <v>0.1</v>
      </c>
      <c r="F106" s="2857">
        <v>15</v>
      </c>
    </row>
    <row r="107" spans="1:6" ht="36">
      <c r="A107" s="2857">
        <v>35</v>
      </c>
      <c r="B107" s="3617" t="s">
        <v>2723</v>
      </c>
      <c r="C107" s="2857" t="s">
        <v>2724</v>
      </c>
      <c r="D107" s="2831" t="s">
        <v>2725</v>
      </c>
      <c r="E107" s="2857">
        <v>0.15</v>
      </c>
      <c r="F107" s="2857">
        <v>20</v>
      </c>
    </row>
    <row r="108" spans="1:6" ht="24">
      <c r="A108" s="2857">
        <v>36</v>
      </c>
      <c r="B108" s="3612"/>
      <c r="C108" s="2857" t="s">
        <v>2726</v>
      </c>
      <c r="D108" s="2831" t="s">
        <v>2727</v>
      </c>
      <c r="E108" s="2857">
        <v>0.15</v>
      </c>
      <c r="F108" s="2857">
        <v>20</v>
      </c>
    </row>
    <row r="109" spans="1:6" ht="24">
      <c r="A109" s="2857">
        <v>37</v>
      </c>
      <c r="B109" s="3612"/>
      <c r="C109" s="2857" t="s">
        <v>2728</v>
      </c>
      <c r="D109" s="2831" t="s">
        <v>2729</v>
      </c>
      <c r="E109" s="2857">
        <v>0.15</v>
      </c>
      <c r="F109" s="2857">
        <v>20</v>
      </c>
    </row>
    <row r="110" spans="1:6" ht="24">
      <c r="A110" s="2857">
        <v>38</v>
      </c>
      <c r="B110" s="3612"/>
      <c r="C110" s="2857" t="s">
        <v>2730</v>
      </c>
      <c r="D110" s="2831" t="s">
        <v>2731</v>
      </c>
      <c r="E110" s="2857">
        <v>0.1</v>
      </c>
      <c r="F110" s="2857">
        <v>15</v>
      </c>
    </row>
    <row r="111" spans="1:6" ht="24">
      <c r="A111" s="2857">
        <v>39</v>
      </c>
      <c r="B111" s="3612"/>
      <c r="C111" s="2857" t="s">
        <v>2732</v>
      </c>
      <c r="D111" s="2831" t="s">
        <v>2733</v>
      </c>
      <c r="E111" s="2857">
        <v>0.1</v>
      </c>
      <c r="F111" s="2857">
        <v>15</v>
      </c>
    </row>
    <row r="112" spans="1:6" ht="24">
      <c r="A112" s="2857">
        <v>40</v>
      </c>
      <c r="B112" s="3621"/>
      <c r="C112" s="2857" t="s">
        <v>2734</v>
      </c>
      <c r="D112" s="2831" t="s">
        <v>2735</v>
      </c>
      <c r="E112" s="2857">
        <v>0.1</v>
      </c>
      <c r="F112" s="2857">
        <v>15</v>
      </c>
    </row>
    <row r="113" spans="1:6" ht="24">
      <c r="A113" s="2857">
        <v>41</v>
      </c>
      <c r="B113" s="3622" t="s">
        <v>2736</v>
      </c>
      <c r="C113" s="2857" t="s">
        <v>2737</v>
      </c>
      <c r="D113" s="2831" t="s">
        <v>2738</v>
      </c>
      <c r="E113" s="2857">
        <v>0.1</v>
      </c>
      <c r="F113" s="2857">
        <v>15</v>
      </c>
    </row>
    <row r="114" spans="1:6" ht="24">
      <c r="A114" s="2857">
        <v>42</v>
      </c>
      <c r="B114" s="3622"/>
      <c r="C114" s="2857" t="s">
        <v>2739</v>
      </c>
      <c r="D114" s="2831" t="s">
        <v>2740</v>
      </c>
      <c r="E114" s="2857">
        <v>0.1</v>
      </c>
      <c r="F114" s="2857">
        <v>15</v>
      </c>
    </row>
    <row r="115" spans="1:6" ht="24">
      <c r="A115" s="2857">
        <v>43</v>
      </c>
      <c r="B115" s="3622"/>
      <c r="C115" s="2857" t="s">
        <v>2741</v>
      </c>
      <c r="D115" s="2831" t="s">
        <v>2742</v>
      </c>
      <c r="E115" s="2857">
        <v>0.1</v>
      </c>
      <c r="F115" s="2857">
        <v>15</v>
      </c>
    </row>
    <row r="116" spans="1:6" ht="24">
      <c r="A116" s="2857">
        <v>44</v>
      </c>
      <c r="B116" s="3617" t="s">
        <v>2743</v>
      </c>
      <c r="C116" s="2857" t="s">
        <v>2744</v>
      </c>
      <c r="D116" s="2831" t="s">
        <v>2745</v>
      </c>
      <c r="E116" s="2857">
        <v>0.1</v>
      </c>
      <c r="F116" s="2857">
        <v>15</v>
      </c>
    </row>
    <row r="117" spans="1:6" ht="24">
      <c r="A117" s="2857">
        <v>45</v>
      </c>
      <c r="B117" s="3621"/>
      <c r="C117" s="2831" t="s">
        <v>2746</v>
      </c>
      <c r="D117" s="2831" t="s">
        <v>2747</v>
      </c>
      <c r="E117" s="2857">
        <v>0.1</v>
      </c>
      <c r="F117" s="2857">
        <v>15</v>
      </c>
    </row>
    <row r="118" spans="1:6" ht="24">
      <c r="A118" s="2857">
        <v>46</v>
      </c>
      <c r="B118" s="3617" t="s">
        <v>2748</v>
      </c>
      <c r="C118" s="2857" t="s">
        <v>2749</v>
      </c>
      <c r="D118" s="2831" t="s">
        <v>2750</v>
      </c>
      <c r="E118" s="2857">
        <v>0.1</v>
      </c>
      <c r="F118" s="2857">
        <v>15</v>
      </c>
    </row>
    <row r="119" spans="1:6" ht="24">
      <c r="A119" s="2857">
        <v>47</v>
      </c>
      <c r="B119" s="3621"/>
      <c r="C119" s="2857" t="s">
        <v>2751</v>
      </c>
      <c r="D119" s="2831" t="s">
        <v>2752</v>
      </c>
      <c r="E119" s="2857">
        <v>0.1</v>
      </c>
      <c r="F119" s="2857">
        <v>15</v>
      </c>
    </row>
    <row r="120" spans="1:6" ht="24">
      <c r="A120" s="2857">
        <v>48</v>
      </c>
      <c r="B120" s="3617" t="s">
        <v>2753</v>
      </c>
      <c r="C120" s="2857" t="s">
        <v>2754</v>
      </c>
      <c r="D120" s="2831" t="s">
        <v>2755</v>
      </c>
      <c r="E120" s="2857">
        <v>0.1</v>
      </c>
      <c r="F120" s="2857">
        <v>15</v>
      </c>
    </row>
    <row r="121" spans="1:6" ht="24">
      <c r="A121" s="2857">
        <v>49</v>
      </c>
      <c r="B121" s="3621"/>
      <c r="C121" s="2857" t="s">
        <v>2756</v>
      </c>
      <c r="D121" s="2831" t="s">
        <v>2757</v>
      </c>
      <c r="E121" s="2857">
        <v>0.1</v>
      </c>
      <c r="F121" s="2857">
        <v>15</v>
      </c>
    </row>
    <row r="122" spans="1:6" ht="24">
      <c r="A122" s="2857">
        <v>50</v>
      </c>
      <c r="B122" s="3622" t="s">
        <v>2758</v>
      </c>
      <c r="C122" s="2857" t="s">
        <v>2759</v>
      </c>
      <c r="D122" s="2831" t="s">
        <v>2760</v>
      </c>
      <c r="E122" s="2857">
        <v>0.1</v>
      </c>
      <c r="F122" s="2857">
        <v>15</v>
      </c>
    </row>
    <row r="123" spans="1:6" ht="24">
      <c r="A123" s="2857">
        <v>51</v>
      </c>
      <c r="B123" s="3622"/>
      <c r="C123" s="2857" t="s">
        <v>2761</v>
      </c>
      <c r="D123" s="2831" t="s">
        <v>2762</v>
      </c>
      <c r="E123" s="2857">
        <v>0.1</v>
      </c>
      <c r="F123" s="2857">
        <v>15</v>
      </c>
    </row>
    <row r="124" spans="1:6" ht="24">
      <c r="A124" s="2857">
        <v>52</v>
      </c>
      <c r="B124" s="3622" t="s">
        <v>2763</v>
      </c>
      <c r="C124" s="2857" t="s">
        <v>2764</v>
      </c>
      <c r="D124" s="2831" t="s">
        <v>2765</v>
      </c>
      <c r="E124" s="2857">
        <v>0.1</v>
      </c>
      <c r="F124" s="2857">
        <v>15</v>
      </c>
    </row>
    <row r="125" spans="1:6" ht="24">
      <c r="A125" s="2857">
        <v>53</v>
      </c>
      <c r="B125" s="3622"/>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622" t="s">
        <v>2771</v>
      </c>
      <c r="C127" s="2857" t="s">
        <v>2772</v>
      </c>
      <c r="D127" s="2831" t="s">
        <v>2773</v>
      </c>
      <c r="E127" s="2857">
        <v>0.1</v>
      </c>
      <c r="F127" s="2857">
        <v>15</v>
      </c>
    </row>
    <row r="128" spans="1:6" ht="24">
      <c r="A128" s="2857">
        <v>56</v>
      </c>
      <c r="B128" s="3622"/>
      <c r="C128" s="2857" t="s">
        <v>2774</v>
      </c>
      <c r="D128" s="2831" t="s">
        <v>2775</v>
      </c>
      <c r="E128" s="2857">
        <v>0.1</v>
      </c>
      <c r="F128" s="2857">
        <v>15</v>
      </c>
    </row>
    <row r="129" spans="1:6" ht="24">
      <c r="A129" s="2857">
        <v>57</v>
      </c>
      <c r="B129" s="3622"/>
      <c r="C129" s="2857" t="s">
        <v>2776</v>
      </c>
      <c r="D129" s="2831" t="s">
        <v>2777</v>
      </c>
      <c r="E129" s="2857">
        <v>0.1</v>
      </c>
      <c r="F129" s="2857">
        <v>15</v>
      </c>
    </row>
    <row r="130" spans="1:6" ht="24">
      <c r="A130" s="2857">
        <v>58</v>
      </c>
      <c r="B130" s="3622" t="s">
        <v>2778</v>
      </c>
      <c r="C130" s="2857" t="s">
        <v>2779</v>
      </c>
      <c r="D130" s="2831" t="s">
        <v>2780</v>
      </c>
      <c r="E130" s="2857">
        <v>0.1</v>
      </c>
      <c r="F130" s="2857">
        <v>15</v>
      </c>
    </row>
    <row r="131" spans="1:6" ht="24">
      <c r="A131" s="2857">
        <v>59</v>
      </c>
      <c r="B131" s="3622"/>
      <c r="C131" s="2857" t="s">
        <v>2781</v>
      </c>
      <c r="D131" s="2831" t="s">
        <v>2782</v>
      </c>
      <c r="E131" s="2857">
        <v>0.1</v>
      </c>
      <c r="F131" s="2857">
        <v>15</v>
      </c>
    </row>
    <row r="132" spans="1:6" ht="24">
      <c r="A132" s="2857">
        <v>60</v>
      </c>
      <c r="B132" s="3617" t="s">
        <v>2783</v>
      </c>
      <c r="C132" s="2857" t="s">
        <v>2784</v>
      </c>
      <c r="D132" s="2831" t="s">
        <v>2785</v>
      </c>
      <c r="E132" s="2857">
        <v>0.1</v>
      </c>
      <c r="F132" s="2857">
        <v>15</v>
      </c>
    </row>
    <row r="133" spans="1:6" ht="24">
      <c r="A133" s="2857">
        <v>61</v>
      </c>
      <c r="B133" s="3621"/>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622" t="s">
        <v>2791</v>
      </c>
      <c r="C135" s="2857" t="s">
        <v>2792</v>
      </c>
      <c r="D135" s="2831" t="s">
        <v>2793</v>
      </c>
      <c r="E135" s="2857">
        <v>0.1</v>
      </c>
      <c r="F135" s="2857">
        <v>15</v>
      </c>
    </row>
    <row r="136" spans="1:6" ht="24">
      <c r="A136" s="2857">
        <v>64</v>
      </c>
      <c r="B136" s="3622"/>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1.0985</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1</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30842</v>
      </c>
      <c r="C2" s="2" t="s">
        <v>106</v>
      </c>
      <c r="D2" s="191"/>
      <c r="E2" s="191"/>
      <c r="F2" s="191"/>
      <c r="G2" s="191"/>
    </row>
    <row r="3" spans="1:7" s="192" customFormat="1" ht="18" customHeight="1" thickBot="1">
      <c r="A3" s="195" t="s">
        <v>58</v>
      </c>
      <c r="B3" s="196">
        <f ca="1">ROUND(B2*10000/'数据-汇总表'!E3,0)</f>
        <v>1049512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v>
      </c>
      <c r="D9" s="795">
        <f>'数据-汇总表'!E5</f>
        <v>293.87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293.87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2025</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6.4">
      <c r="A27" s="731" t="s">
        <v>342</v>
      </c>
      <c r="B27" s="236" t="s">
        <v>85</v>
      </c>
      <c r="C27" s="237">
        <f>C28</f>
        <v>5257</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5257</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88</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6</v>
      </c>
      <c r="D37" s="209">
        <f>'数据-汇总表'!E3</f>
        <v>293.87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93" t="s">
        <v>94</v>
      </c>
    </row>
    <row r="43" spans="1:7" ht="13.5" customHeight="1">
      <c r="A43" s="734" t="s">
        <v>347</v>
      </c>
      <c r="B43" s="207" t="s">
        <v>426</v>
      </c>
      <c r="C43" s="230">
        <f ca="1">ROUND(IF('数据-取费表'!B22&lt;=1,C39*F22*'数据-取费表'!B21/2,C39*(POWER((1+F22),'数据-取费表'!B21/2)-1)),0)</f>
        <v>0</v>
      </c>
      <c r="D43" s="230"/>
      <c r="E43" s="230"/>
      <c r="F43" s="231"/>
      <c r="G43" s="3394"/>
    </row>
    <row r="44" spans="1:7" ht="13.5" customHeight="1">
      <c r="A44" s="734" t="s">
        <v>348</v>
      </c>
      <c r="B44" s="207" t="s">
        <v>428</v>
      </c>
      <c r="C44" s="230">
        <f ca="1">ROUND(IF('数据-取费表'!B22&lt;=1,C40*F22*'数据-取费表'!B21/2,C40*(POWER((1+F22),'数据-取费表'!B21/2)-1)),4)</f>
        <v>1E-3</v>
      </c>
      <c r="D44" s="230"/>
      <c r="E44" s="230"/>
      <c r="F44" s="231"/>
      <c r="G44" s="3395"/>
    </row>
    <row r="45" spans="1:7" s="206" customFormat="1" ht="13.5" customHeight="1">
      <c r="A45" s="731" t="s">
        <v>341</v>
      </c>
      <c r="B45" s="236" t="s">
        <v>85</v>
      </c>
      <c r="C45" s="237">
        <f>C46</f>
        <v>26</v>
      </c>
      <c r="D45" s="227">
        <f>C47</f>
        <v>5.0000000000000001E-3</v>
      </c>
      <c r="E45" s="228" t="s">
        <v>102</v>
      </c>
      <c r="F45" s="238"/>
      <c r="G45" s="239" t="s">
        <v>434</v>
      </c>
    </row>
    <row r="46" spans="1:7" s="206" customFormat="1" ht="13.5" customHeight="1">
      <c r="A46" s="734" t="s">
        <v>349</v>
      </c>
      <c r="B46" s="240" t="s">
        <v>427</v>
      </c>
      <c r="C46" s="241">
        <f>ROUND((C33+C39)*F27,0)</f>
        <v>26</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148</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124</v>
      </c>
      <c r="D51" s="224"/>
      <c r="E51" s="224"/>
      <c r="F51" s="256"/>
      <c r="G51" s="226" t="s">
        <v>37</v>
      </c>
    </row>
    <row r="52" spans="1:7" s="200" customFormat="1" ht="16.8" thickBot="1">
      <c r="A52" s="257" t="s">
        <v>38</v>
      </c>
      <c r="B52" s="258"/>
      <c r="C52" s="259">
        <f ca="1">C31+C51</f>
        <v>30842</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625" t="s">
        <v>2841</v>
      </c>
      <c r="B1" s="3625"/>
      <c r="C1" s="3625"/>
      <c r="D1" s="3625"/>
      <c r="E1" s="3625"/>
      <c r="F1" s="3625"/>
      <c r="G1" s="3626"/>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623"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624"/>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627" t="s">
        <v>3183</v>
      </c>
      <c r="B1" s="3627"/>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628" t="s">
        <v>3234</v>
      </c>
      <c r="B1" s="3628"/>
      <c r="C1" s="3628"/>
      <c r="D1" s="3628"/>
      <c r="E1" s="3628"/>
      <c r="F1" s="3629"/>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57" sqref="T57"/>
    </sheetView>
  </sheetViews>
  <sheetFormatPr defaultRowHeight="14.4"/>
  <cols>
    <col min="1" max="1" width="13.88671875" customWidth="1"/>
    <col min="11" max="17" width="0" hidden="1" customWidth="1"/>
    <col min="25" max="30" width="0" hidden="1" customWidth="1"/>
  </cols>
  <sheetData>
    <row r="1" spans="1:30">
      <c r="A1" s="2937">
        <f>基准地价修正!G23</f>
        <v>45593</v>
      </c>
      <c r="B1" s="2929" t="s">
        <v>3372</v>
      </c>
      <c r="C1" s="2930"/>
      <c r="D1" s="2930"/>
      <c r="E1" s="2930"/>
      <c r="F1" s="2930"/>
      <c r="G1" s="2930"/>
      <c r="H1" s="2930"/>
      <c r="I1" s="2930"/>
      <c r="J1" s="2896"/>
      <c r="K1" s="2930" t="s">
        <v>454</v>
      </c>
      <c r="L1" s="2930"/>
      <c r="M1" s="2930"/>
      <c r="N1" s="2930"/>
      <c r="O1" s="2930"/>
      <c r="P1" s="2930"/>
      <c r="Q1" s="2896"/>
      <c r="R1" s="3630" t="s">
        <v>456</v>
      </c>
      <c r="S1" s="3631"/>
      <c r="T1" s="3631"/>
      <c r="U1" s="3631"/>
      <c r="V1" s="3631"/>
      <c r="W1" s="3631"/>
      <c r="X1" s="2896"/>
      <c r="Y1" s="3630" t="s">
        <v>457</v>
      </c>
      <c r="Z1" s="3631"/>
      <c r="AA1" s="3631"/>
      <c r="AB1" s="3631"/>
      <c r="AC1" s="3631"/>
      <c r="AD1" s="3631"/>
    </row>
    <row r="2" spans="1:30" s="2009" customFormat="1" ht="1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3.2">
      <c r="A3" s="2884" t="s">
        <v>2821</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039" t="s">
        <v>3375</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3.2">
      <c r="A6" s="2039" t="s">
        <v>3376</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3.2">
      <c r="A7" s="2907" t="s">
        <v>3378</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3.2">
      <c r="A8" s="2905" t="s">
        <v>3379</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3.2">
      <c r="A9" s="2905" t="s">
        <v>3371</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3.2">
      <c r="A10" s="2905" t="s">
        <v>3370</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3.2">
      <c r="A11" s="2905" t="s">
        <v>3369</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3.2">
      <c r="A12" s="2905" t="s">
        <v>3365</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3.2">
      <c r="A13" s="2905" t="s">
        <v>3356</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3.2">
      <c r="A14" s="2905" t="s">
        <v>2822</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3.2">
      <c r="A15" s="2905" t="s">
        <v>2823</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3.2">
      <c r="A16" s="2905" t="s">
        <v>2824</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3.2">
      <c r="A17" s="2905" t="s">
        <v>2825</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ht="13.8" thickBot="1">
      <c r="A18" s="2918" t="s">
        <v>2826</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5" thickTop="1"/>
    <row r="20" spans="1:30">
      <c r="A20" s="3143" t="s">
        <v>3367</v>
      </c>
    </row>
    <row r="21" spans="1:30">
      <c r="I21" s="1405" t="s">
        <v>2827</v>
      </c>
    </row>
    <row r="23" spans="1:30" s="2008" customFormat="1" ht="13.2">
      <c r="B23" s="2929" t="s">
        <v>3373</v>
      </c>
      <c r="C23" s="2930"/>
      <c r="D23" s="2930"/>
      <c r="E23" s="2930"/>
      <c r="F23" s="2930"/>
      <c r="G23" s="2930"/>
      <c r="H23" s="2930"/>
      <c r="I23" s="2930"/>
      <c r="J23" s="2896"/>
      <c r="K23" s="2930" t="s">
        <v>2828</v>
      </c>
      <c r="L23" s="2930"/>
      <c r="M23" s="2930"/>
      <c r="N23" s="2930"/>
      <c r="O23" s="2930"/>
      <c r="P23" s="2930"/>
      <c r="Q23" s="2896"/>
      <c r="R23" s="3630" t="s">
        <v>2829</v>
      </c>
      <c r="S23" s="3631"/>
      <c r="T23" s="3631"/>
      <c r="U23" s="3631"/>
      <c r="V23" s="3631"/>
      <c r="W23" s="3631"/>
      <c r="X23" s="2896"/>
      <c r="Y23" s="3630" t="s">
        <v>2830</v>
      </c>
      <c r="Z23" s="3631"/>
      <c r="AA23" s="3631"/>
      <c r="AB23" s="3631"/>
      <c r="AC23" s="3631"/>
      <c r="AD23" s="3631"/>
    </row>
    <row r="24" spans="1:30" s="2009" customFormat="1" ht="15" thickBot="1">
      <c r="B24" s="2881"/>
      <c r="C24" s="2882"/>
      <c r="D24" s="2010" t="s">
        <v>2831</v>
      </c>
      <c r="E24" s="2011" t="s">
        <v>2832</v>
      </c>
      <c r="F24" s="2011" t="s">
        <v>2833</v>
      </c>
      <c r="G24" s="2011" t="s">
        <v>2834</v>
      </c>
      <c r="H24" s="2011"/>
      <c r="I24" s="2011" t="s">
        <v>2835</v>
      </c>
      <c r="J24" s="2883"/>
      <c r="K24" s="2010" t="s">
        <v>2831</v>
      </c>
      <c r="L24" s="2011" t="s">
        <v>2832</v>
      </c>
      <c r="M24" s="2011" t="s">
        <v>2833</v>
      </c>
      <c r="N24" s="2011" t="s">
        <v>2834</v>
      </c>
      <c r="O24" s="2011"/>
      <c r="P24" s="2011" t="s">
        <v>2835</v>
      </c>
      <c r="Q24" s="2883"/>
      <c r="R24" s="2010" t="s">
        <v>2831</v>
      </c>
      <c r="S24" s="2011" t="s">
        <v>2832</v>
      </c>
      <c r="T24" s="2011" t="s">
        <v>2833</v>
      </c>
      <c r="U24" s="2011" t="s">
        <v>2834</v>
      </c>
      <c r="V24" s="2011"/>
      <c r="W24" s="2011" t="s">
        <v>2835</v>
      </c>
      <c r="X24" s="2883"/>
      <c r="Y24" s="2010" t="s">
        <v>2831</v>
      </c>
      <c r="Z24" s="2011" t="s">
        <v>2832</v>
      </c>
      <c r="AA24" s="2011" t="s">
        <v>2833</v>
      </c>
      <c r="AB24" s="2011" t="s">
        <v>2834</v>
      </c>
      <c r="AC24" s="2011"/>
      <c r="AD24" s="2011" t="s">
        <v>2835</v>
      </c>
    </row>
    <row r="25" spans="1:30" s="2886" customFormat="1" ht="13.2">
      <c r="A25" s="2884" t="s">
        <v>2836</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3.2">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3.2">
      <c r="A27" s="2039" t="s">
        <v>3375</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3.2">
      <c r="A28" s="2039" t="s">
        <v>3376</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3.2">
      <c r="A29" s="2907" t="s">
        <v>3380</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3.2">
      <c r="A30" s="2905" t="s">
        <v>3379</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3.2">
      <c r="A31" s="2905" t="s">
        <v>3374</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3.2">
      <c r="A32" s="2905" t="s">
        <v>3370</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3.2">
      <c r="A33" s="2905" t="s">
        <v>3369</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3.2">
      <c r="A34" s="2905" t="s">
        <v>3366</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3.2">
      <c r="A35" s="2905" t="s">
        <v>3356</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3.2">
      <c r="A36" s="2905" t="s">
        <v>2837</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3.2">
      <c r="A37" s="2905" t="s">
        <v>2838</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3.2">
      <c r="A38" s="2905" t="s">
        <v>2839</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3.2">
      <c r="A39" s="2905" t="s">
        <v>2840</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ht="13.8" thickBot="1">
      <c r="A40" s="2918" t="s">
        <v>2826</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5" thickTop="1"/>
    <row r="42" spans="1:30">
      <c r="A42" s="3143"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35" t="s">
        <v>452</v>
      </c>
      <c r="C1" s="3635"/>
      <c r="D1" s="3635"/>
      <c r="E1" s="3635"/>
      <c r="F1" s="3635"/>
      <c r="G1" s="3631" t="s">
        <v>453</v>
      </c>
      <c r="H1" s="3631"/>
      <c r="I1" s="3631"/>
      <c r="J1" s="3631"/>
      <c r="K1" s="3631"/>
      <c r="L1" s="3631"/>
      <c r="N1" s="3631" t="s">
        <v>454</v>
      </c>
      <c r="O1" s="3631"/>
      <c r="P1" s="3631"/>
      <c r="Q1" s="3631"/>
      <c r="S1" s="3631" t="s">
        <v>455</v>
      </c>
      <c r="T1" s="3631"/>
      <c r="U1" s="3631"/>
      <c r="V1" s="3631"/>
      <c r="X1" s="3630" t="s">
        <v>456</v>
      </c>
      <c r="Y1" s="3631"/>
      <c r="Z1" s="3631"/>
      <c r="AA1" s="3631"/>
      <c r="AB1" s="3631"/>
      <c r="AD1" s="3630" t="s">
        <v>457</v>
      </c>
      <c r="AE1" s="3631"/>
      <c r="AF1" s="3631"/>
      <c r="AG1" s="3631"/>
      <c r="AH1" s="363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3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3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3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4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63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3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3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4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3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3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3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3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3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3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3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3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3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3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3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3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3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3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3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3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3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3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3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3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3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3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3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3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3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3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3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3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3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3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3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3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3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3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3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3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3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3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3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3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3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3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3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3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3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3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3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3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3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3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3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3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3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3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3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3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3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3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3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3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45593</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0" t="s">
        <v>2312</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5.6">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25" t="s">
        <v>949</v>
      </c>
      <c r="B1" s="3325"/>
      <c r="C1" s="3325"/>
      <c r="D1" s="3325"/>
    </row>
    <row r="2" spans="1:4" ht="17.399999999999999">
      <c r="A2" s="3326" t="s">
        <v>933</v>
      </c>
      <c r="B2" s="3326"/>
      <c r="C2" s="3326"/>
      <c r="D2" s="3326"/>
    </row>
    <row r="3" spans="1:4" ht="17.399999999999999">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7.399999999999999">
      <c r="A6" s="3326" t="s">
        <v>939</v>
      </c>
      <c r="B6" s="3326"/>
      <c r="C6" s="3326"/>
      <c r="D6" s="332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327" t="s">
        <v>942</v>
      </c>
      <c r="B11" s="3328"/>
      <c r="C11" s="3328"/>
      <c r="D11" s="3328"/>
    </row>
    <row r="12" spans="1:4" ht="15.6">
      <c r="A12" s="33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9"/>
      <c r="C12" s="3329"/>
      <c r="D12" s="3329"/>
    </row>
    <row r="13" spans="1:4" ht="30" customHeight="1">
      <c r="A13" s="33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9"/>
      <c r="C13" s="3329"/>
      <c r="D13" s="3329"/>
    </row>
    <row r="14" spans="1:4" ht="15.75" customHeight="1">
      <c r="A14" s="3328" t="str">
        <f>IF(项目基本情况!B8="抵押","4.本次评估估价师所知悉的法定优先受偿款情况说明如下：","——")</f>
        <v>4.本次评估估价师所知悉的法定优先受偿款情况说明如下：</v>
      </c>
      <c r="B14" s="3329"/>
      <c r="C14" s="3329"/>
      <c r="D14" s="3329"/>
    </row>
    <row r="15" spans="1:4" ht="42" customHeight="1">
      <c r="A15" s="33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8"/>
      <c r="C15" s="3328"/>
      <c r="D15" s="3328"/>
    </row>
    <row r="16" spans="1:4" ht="30" customHeight="1">
      <c r="A16" s="3331" t="s">
        <v>943</v>
      </c>
      <c r="B16" s="3331"/>
      <c r="C16" s="3331"/>
      <c r="D16" s="3331"/>
    </row>
    <row r="17" spans="1:4" ht="144" customHeight="1">
      <c r="A17" s="3331" t="s">
        <v>944</v>
      </c>
      <c r="B17" s="3331"/>
      <c r="C17" s="3331"/>
      <c r="D17" s="3331"/>
    </row>
    <row r="18" spans="1:4" ht="15.75" customHeight="1">
      <c r="A18" s="3328" t="str">
        <f>IF(项目基本情况!B8="抵押",结果表!K120,"——")</f>
        <v>故，本次评估不存在</v>
      </c>
      <c r="B18" s="3328"/>
      <c r="C18" s="3328"/>
      <c r="D18" s="3328"/>
    </row>
    <row r="19" spans="1:4" ht="46.5" customHeight="1">
      <c r="A19" s="33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spans="1:4" ht="57.75" customHeight="1">
      <c r="A20" s="33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8"/>
      <c r="C20" s="3328"/>
      <c r="D20" s="3328"/>
    </row>
    <row r="21" spans="1:4" ht="57.75" customHeight="1">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2"/>
      <c r="C21" s="3332"/>
      <c r="D21" s="3332"/>
    </row>
    <row r="22" spans="1:4" ht="18.75" customHeight="1">
      <c r="A22" s="3333" t="s">
        <v>945</v>
      </c>
      <c r="B22" s="3333"/>
      <c r="C22" s="3333"/>
      <c r="D22" s="333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330">
        <v>42551</v>
      </c>
      <c r="D31" s="33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339" t="s">
        <v>956</v>
      </c>
      <c r="B15" s="3334" t="s">
        <v>109</v>
      </c>
      <c r="C15" s="3335"/>
    </row>
    <row r="16" spans="1:7" ht="14.4">
      <c r="A16" s="3340"/>
      <c r="B16" s="3334" t="s">
        <v>42</v>
      </c>
      <c r="C16" s="3335"/>
    </row>
    <row r="17" spans="1:3" ht="14.4">
      <c r="A17" s="3340"/>
      <c r="B17" s="3337" t="s">
        <v>957</v>
      </c>
      <c r="C17" s="1429" t="s">
        <v>956</v>
      </c>
    </row>
    <row r="18" spans="1:3" ht="14.4">
      <c r="A18" s="3340"/>
      <c r="B18" s="3337"/>
      <c r="C18" s="1429" t="s">
        <v>958</v>
      </c>
    </row>
    <row r="19" spans="1:3" ht="14.4">
      <c r="A19" s="3340"/>
      <c r="B19" s="3337"/>
      <c r="C19" s="1429" t="s">
        <v>959</v>
      </c>
    </row>
    <row r="20" spans="1:3" ht="14.4">
      <c r="A20" s="3341"/>
      <c r="B20" s="3336" t="s">
        <v>960</v>
      </c>
      <c r="C20" s="3335"/>
    </row>
    <row r="21" spans="1:3" ht="14.4">
      <c r="A21" s="1430" t="s">
        <v>961</v>
      </c>
      <c r="B21" s="1431"/>
      <c r="C21" s="1432"/>
    </row>
    <row r="22" spans="1:3" ht="14.4">
      <c r="A22" s="3338" t="s">
        <v>962</v>
      </c>
      <c r="B22" s="3336" t="s">
        <v>963</v>
      </c>
      <c r="C22" s="3335"/>
    </row>
    <row r="23" spans="1:3" ht="14.4">
      <c r="A23" s="3338"/>
      <c r="B23" s="3336" t="s">
        <v>964</v>
      </c>
      <c r="C23" s="3335"/>
    </row>
    <row r="24" spans="1:3" ht="14.4">
      <c r="A24" s="3338"/>
      <c r="B24" s="3336" t="s">
        <v>965</v>
      </c>
      <c r="C24" s="3335"/>
    </row>
    <row r="25" spans="1:3" ht="14.4">
      <c r="A25" s="3338"/>
      <c r="B25" s="3337" t="s">
        <v>966</v>
      </c>
      <c r="C25" s="1429" t="s">
        <v>967</v>
      </c>
    </row>
    <row r="26" spans="1:3" ht="14.4">
      <c r="A26" s="3338"/>
      <c r="B26" s="3337"/>
      <c r="C26" s="1429" t="s">
        <v>968</v>
      </c>
    </row>
    <row r="27" spans="1:3" ht="14.4">
      <c r="A27" s="3338"/>
      <c r="B27" s="3337"/>
      <c r="C27" s="1429" t="s">
        <v>969</v>
      </c>
    </row>
    <row r="28" spans="1:3" ht="14.4">
      <c r="A28" s="3338"/>
      <c r="B28" s="3337"/>
      <c r="C28" s="1429" t="s">
        <v>970</v>
      </c>
    </row>
    <row r="29" spans="1:3" ht="14.4">
      <c r="A29" s="3338"/>
      <c r="B29" s="3337"/>
      <c r="C29" s="1429" t="s">
        <v>971</v>
      </c>
    </row>
    <row r="30" spans="1:3" ht="14.4">
      <c r="A30" s="3338"/>
      <c r="B30" s="3337"/>
      <c r="C30" s="1429" t="s">
        <v>972</v>
      </c>
    </row>
    <row r="31" spans="1:3" ht="14.4">
      <c r="A31" s="3338"/>
      <c r="B31" s="3337"/>
      <c r="C31" s="1429" t="s">
        <v>973</v>
      </c>
    </row>
    <row r="32" spans="1:3" ht="14.4">
      <c r="A32" s="3338"/>
      <c r="B32" s="3337"/>
      <c r="C32" s="1429" t="s">
        <v>974</v>
      </c>
    </row>
    <row r="33" spans="1:3" ht="14.4">
      <c r="A33" s="3338"/>
      <c r="B33" s="333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45616</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f ca="1">IF(C10&lt;B2,"已过期",1120100036)</f>
        <v>1120100036</v>
      </c>
      <c r="C10" s="2166">
        <v>45752</v>
      </c>
      <c r="D10" s="2162" t="str">
        <f t="shared" ca="1" si="0"/>
        <v>崔锴（注册号：1120100036）</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342" t="s">
        <v>2159</v>
      </c>
      <c r="B17" s="3342"/>
      <c r="C17" s="3342"/>
      <c r="D17" s="3342"/>
      <c r="E17" s="3342"/>
      <c r="F17" s="3342"/>
      <c r="G17" s="3342"/>
      <c r="H17" s="3342"/>
    </row>
    <row r="18" spans="1:8" ht="24" customHeight="1">
      <c r="A18" s="3343" t="s">
        <v>2160</v>
      </c>
      <c r="B18" s="3343"/>
      <c r="C18" s="3343"/>
      <c r="D18" s="2159"/>
      <c r="E18" s="3344" t="s">
        <v>2161</v>
      </c>
      <c r="F18" s="3343"/>
      <c r="G18" s="3343"/>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结果汇总表</vt:lpstr>
      <vt:lpstr>成本法</vt:lpstr>
      <vt:lpstr>假设开发法</vt:lpstr>
      <vt:lpstr>收益法</vt:lpstr>
      <vt:lpstr>基准地价修正</vt:lpstr>
      <vt:lpstr>结果表</vt:lpstr>
      <vt:lpstr>比较法-住宅</vt:lpstr>
      <vt:lpstr>比较法-住宅12.31</vt:lpstr>
      <vt:lpstr>收益法12.31</vt:lpstr>
      <vt:lpstr>Sheet2</vt:lpstr>
      <vt:lpstr>Sheet5</vt:lpstr>
      <vt:lpstr>拍卖</vt:lpstr>
      <vt:lpstr>Sheet1</vt:lpstr>
      <vt:lpstr>库</vt:lpstr>
      <vt:lpstr>成交</vt:lpstr>
      <vt:lpstr>成交案例</vt:lpstr>
      <vt:lpstr>收益法-酒店模型</vt:lpstr>
      <vt:lpstr>收益法（汇总）</vt:lpstr>
      <vt:lpstr>价格指数</vt:lpstr>
      <vt:lpstr>收益法1</vt:lpstr>
      <vt:lpstr>Sheet3</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2024-11-20T10:20:05Z</dcterms:modified>
</cp:coreProperties>
</file>