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230" windowWidth="11310" windowHeight="10230" tabRatio="899" firstSheet="18"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二期房号清单" sheetId="84" r:id="rId15"/>
    <sheet name="二期车位清单" sheetId="85" r:id="rId16"/>
    <sheet name="数据-取费表" sheetId="1" r:id="rId17"/>
    <sheet name="估价对象房地状况" sheetId="20" r:id="rId18"/>
    <sheet name="系统读取表" sheetId="74" r:id="rId19"/>
    <sheet name="结果表-住宅基准" sheetId="9" r:id="rId20"/>
    <sheet name="比较法-住宅" sheetId="21" r:id="rId21"/>
    <sheet name="成本法" sheetId="68" state="hidden" r:id="rId22"/>
    <sheet name="住宅" sheetId="82" r:id="rId23"/>
    <sheet name="成本法 (元)" sheetId="69" r:id="rId24"/>
    <sheet name="假设开发法" sheetId="12" state="hidden" r:id="rId25"/>
    <sheet name="土地比较法-住宅、综合" sheetId="39" r:id="rId26"/>
    <sheet name="土地案例" sheetId="87" r:id="rId27"/>
    <sheet name="收益法" sheetId="15" state="hidden" r:id="rId28"/>
    <sheet name="典型户型修正-住宅" sheetId="88" r:id="rId29"/>
    <sheet name="结果表车库" sheetId="80" r:id="rId30"/>
    <sheet name="比较法-车位" sheetId="35" r:id="rId31"/>
    <sheet name="车库" sheetId="83"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仓储" sheetId="36" state="hidden" r:id="rId39"/>
    <sheet name="土地比较法-工业" sheetId="40" state="hidden" r:id="rId40"/>
    <sheet name="基准地价（汇总）" sheetId="76" state="hidden" r:id="rId41"/>
    <sheet name="基准地价修正" sheetId="43"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典型户型修正-车库" sheetId="31" r:id="rId52"/>
    <sheet name="Sheet1" sheetId="89" r:id="rId53"/>
  </sheets>
  <externalReferences>
    <externalReference r:id="rId54"/>
    <externalReference r:id="rId55"/>
  </externalReferences>
  <definedNames>
    <definedName name="_xlnm._FilterDatabase" localSheetId="36" hidden="1">'比较法-办公'!$A$1:$L$50</definedName>
    <definedName name="_xlnm._FilterDatabase" localSheetId="38" hidden="1">'比较法-仓储'!$A$1:$L$37</definedName>
    <definedName name="_xlnm._FilterDatabase" localSheetId="30" hidden="1">'比较法-车位'!$A$1:$L$39</definedName>
    <definedName name="_xlnm._FilterDatabase" localSheetId="37" hidden="1">'比较法-工业'!$A$1:$L$43</definedName>
    <definedName name="_xlnm._FilterDatabase" localSheetId="35" hidden="1">'比较法-商业'!$A$1:$L$49</definedName>
    <definedName name="_xlnm._FilterDatabase" localSheetId="20" hidden="1">'比较法-住宅'!$A$1:$L$49</definedName>
    <definedName name="_xlnm._FilterDatabase" localSheetId="15" hidden="1">二期车位清单!$A$2:$G$80</definedName>
    <definedName name="_xlnm._FilterDatabase" localSheetId="12"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8">'比较法-仓储'!$A$1:$K$42,'比较法-仓储'!$A$45:$M$96</definedName>
    <definedName name="_xlnm.Print_Area" localSheetId="3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0">'比较法-住宅'!$A$1:$K$54,'比较法-住宅'!$A$57:$M$131</definedName>
    <definedName name="_xlnm.Print_Area" localSheetId="21">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29">结果表车库!$A$1:$I$127</definedName>
    <definedName name="_xlnm.Print_Area" localSheetId="19">'结果表-住宅基准'!$A$1:$I$127</definedName>
    <definedName name="_xlnm.Print_Area" localSheetId="27">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39">'土地比较法-工业'!$A$1:$K$61,'土地比较法-工业'!$A$64:$M$121</definedName>
    <definedName name="_xlnm.Print_Area" localSheetId="2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8">'典型户型修正-住宅'!$5:$5</definedName>
    <definedName name="一修多修正项2">'典型户型修正-车库'!$5:$5</definedName>
    <definedName name="一修多修正项3" localSheetId="28">'典型户型修正-住宅'!$7:$7</definedName>
    <definedName name="一修多修正项3">'典型户型修正-车库'!$7:$7</definedName>
    <definedName name="一修多修正项4" localSheetId="28">'典型户型修正-住宅'!$9:$9</definedName>
    <definedName name="一修多修正项4">'典型户型修正-车库'!$9:$9</definedName>
    <definedName name="一修多修正项5" localSheetId="28">'典型户型修正-住宅'!$11:$11</definedName>
    <definedName name="一修多修正项5">'典型户型修正-车库'!$11:$11</definedName>
    <definedName name="一修多修正项6" localSheetId="28">'典型户型修正-住宅'!$13:$13</definedName>
    <definedName name="一修多修正项6">'典型户型修正-车库'!$13:$13</definedName>
    <definedName name="一修多修正项7" localSheetId="28">'典型户型修正-住宅'!$15:$15</definedName>
    <definedName name="一修多修正项7">'典型户型修正-车库'!$15:$15</definedName>
    <definedName name="一修多修正项8" localSheetId="28">'典型户型修正-住宅'!$17:$17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9" i="31" l="1"/>
  <c r="Y8" i="31"/>
  <c r="Y7" i="31"/>
  <c r="Z9" i="31"/>
  <c r="Z8" i="31"/>
  <c r="Z7" i="31"/>
  <c r="Q60" i="85" l="1"/>
  <c r="R57" i="85"/>
  <c r="I88" i="80" l="1"/>
  <c r="E81" i="85" l="1"/>
  <c r="C88" i="80" s="1"/>
  <c r="C4" i="31" l="1"/>
  <c r="C3" i="31"/>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Q129" i="88" s="1"/>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D5" i="89" s="1"/>
  <c r="B27" i="88"/>
  <c r="D6" i="89" s="1"/>
  <c r="B29" i="88"/>
  <c r="D7" i="89" s="1"/>
  <c r="B30" i="88"/>
  <c r="D8" i="89" s="1"/>
  <c r="B31" i="88"/>
  <c r="D9" i="89" s="1"/>
  <c r="B32" i="88"/>
  <c r="D10" i="89" s="1"/>
  <c r="B33" i="88"/>
  <c r="D11" i="89" s="1"/>
  <c r="B34" i="88"/>
  <c r="D12" i="89" s="1"/>
  <c r="B35" i="88"/>
  <c r="D13" i="89" s="1"/>
  <c r="B36" i="88"/>
  <c r="D14" i="89" s="1"/>
  <c r="B37" i="88"/>
  <c r="D15" i="89" s="1"/>
  <c r="B38" i="88"/>
  <c r="D16" i="89" s="1"/>
  <c r="B39" i="88"/>
  <c r="D17" i="89" s="1"/>
  <c r="B40" i="88"/>
  <c r="D18" i="89" s="1"/>
  <c r="B41" i="88"/>
  <c r="D19" i="89" s="1"/>
  <c r="B42" i="88"/>
  <c r="D20" i="89" s="1"/>
  <c r="B43" i="88"/>
  <c r="D21" i="89" s="1"/>
  <c r="B44" i="88"/>
  <c r="D22" i="89" s="1"/>
  <c r="B45" i="88"/>
  <c r="D23" i="89" s="1"/>
  <c r="B46" i="88"/>
  <c r="D24" i="89" s="1"/>
  <c r="B47" i="88"/>
  <c r="D25" i="89" s="1"/>
  <c r="B48" i="88"/>
  <c r="D26" i="89" s="1"/>
  <c r="B49" i="88"/>
  <c r="D27" i="89" s="1"/>
  <c r="B50" i="88"/>
  <c r="D28" i="89" s="1"/>
  <c r="B51" i="88"/>
  <c r="D29" i="89" s="1"/>
  <c r="B52" i="88"/>
  <c r="D30" i="89" s="1"/>
  <c r="B53" i="88"/>
  <c r="D31" i="89" s="1"/>
  <c r="B54" i="88"/>
  <c r="D32" i="89" s="1"/>
  <c r="B55" i="88"/>
  <c r="D33" i="89" s="1"/>
  <c r="B56" i="88"/>
  <c r="D34" i="89" s="1"/>
  <c r="B57" i="88"/>
  <c r="D35" i="89" s="1"/>
  <c r="B58" i="88"/>
  <c r="D36" i="89" s="1"/>
  <c r="B59" i="88"/>
  <c r="D37" i="89" s="1"/>
  <c r="B60" i="88"/>
  <c r="D38" i="89" s="1"/>
  <c r="B61" i="88"/>
  <c r="D39" i="89" s="1"/>
  <c r="B62" i="88"/>
  <c r="D40" i="89" s="1"/>
  <c r="B63" i="88"/>
  <c r="D41" i="89" s="1"/>
  <c r="B64" i="88"/>
  <c r="D42" i="89" s="1"/>
  <c r="B65" i="88"/>
  <c r="D43" i="89" s="1"/>
  <c r="B66" i="88"/>
  <c r="D44" i="89" s="1"/>
  <c r="B67" i="88"/>
  <c r="D45" i="89" s="1"/>
  <c r="B68" i="88"/>
  <c r="D46" i="89" s="1"/>
  <c r="B69" i="88"/>
  <c r="D47" i="89" s="1"/>
  <c r="B70" i="88"/>
  <c r="D48" i="89" s="1"/>
  <c r="B71" i="88"/>
  <c r="D49" i="89" s="1"/>
  <c r="B72" i="88"/>
  <c r="D50" i="89" s="1"/>
  <c r="B73" i="88"/>
  <c r="D51" i="89" s="1"/>
  <c r="B74" i="88"/>
  <c r="D52" i="89" s="1"/>
  <c r="B75" i="88"/>
  <c r="D53" i="89" s="1"/>
  <c r="B76" i="88"/>
  <c r="D54" i="89" s="1"/>
  <c r="B77" i="88"/>
  <c r="D55" i="89" s="1"/>
  <c r="B78" i="88"/>
  <c r="D56" i="89" s="1"/>
  <c r="B79" i="88"/>
  <c r="D57" i="89" s="1"/>
  <c r="B80" i="88"/>
  <c r="D58" i="89" s="1"/>
  <c r="B81" i="88"/>
  <c r="D59" i="89" s="1"/>
  <c r="B82" i="88"/>
  <c r="D60" i="89" s="1"/>
  <c r="B83" i="88"/>
  <c r="D61" i="89" s="1"/>
  <c r="B84" i="88"/>
  <c r="D62" i="89" s="1"/>
  <c r="B85" i="88"/>
  <c r="D63" i="89" s="1"/>
  <c r="B86" i="88"/>
  <c r="D64" i="89" s="1"/>
  <c r="B87" i="88"/>
  <c r="D65" i="89" s="1"/>
  <c r="B88" i="88"/>
  <c r="D66" i="89" s="1"/>
  <c r="B89" i="88"/>
  <c r="D67" i="89" s="1"/>
  <c r="B90" i="88"/>
  <c r="D68" i="89" s="1"/>
  <c r="B91" i="88"/>
  <c r="D69" i="89" s="1"/>
  <c r="B92" i="88"/>
  <c r="D70" i="89" s="1"/>
  <c r="B93" i="88"/>
  <c r="D71" i="89" s="1"/>
  <c r="B94" i="88"/>
  <c r="D72" i="89" s="1"/>
  <c r="B95" i="88"/>
  <c r="D73" i="89" s="1"/>
  <c r="B96" i="88"/>
  <c r="D74" i="89" s="1"/>
  <c r="B97" i="88"/>
  <c r="D75" i="89" s="1"/>
  <c r="B98" i="88"/>
  <c r="D76" i="89" s="1"/>
  <c r="B99" i="88"/>
  <c r="D77" i="89" s="1"/>
  <c r="B100" i="88"/>
  <c r="D78" i="89" s="1"/>
  <c r="B101" i="88"/>
  <c r="D79" i="89" s="1"/>
  <c r="B102" i="88"/>
  <c r="D80" i="89" s="1"/>
  <c r="B103" i="88"/>
  <c r="D81" i="89" s="1"/>
  <c r="B104" i="88"/>
  <c r="D82" i="89" s="1"/>
  <c r="B105" i="88"/>
  <c r="D83" i="89" s="1"/>
  <c r="B106" i="88"/>
  <c r="D84" i="89" s="1"/>
  <c r="B107" i="88"/>
  <c r="D85" i="89" s="1"/>
  <c r="B108" i="88"/>
  <c r="D86" i="89" s="1"/>
  <c r="B109" i="88"/>
  <c r="D87" i="89" s="1"/>
  <c r="B110" i="88"/>
  <c r="D88" i="89" s="1"/>
  <c r="B111" i="88"/>
  <c r="D89" i="89" s="1"/>
  <c r="B112" i="88"/>
  <c r="D90" i="89" s="1"/>
  <c r="B113" i="88"/>
  <c r="D91" i="89" s="1"/>
  <c r="B114" i="88"/>
  <c r="D92" i="89" s="1"/>
  <c r="B115" i="88"/>
  <c r="D93" i="89" s="1"/>
  <c r="B116" i="88"/>
  <c r="D94" i="89" s="1"/>
  <c r="B117" i="88"/>
  <c r="D95" i="89" s="1"/>
  <c r="B118" i="88"/>
  <c r="D96" i="89" s="1"/>
  <c r="B119" i="88"/>
  <c r="D97" i="89" s="1"/>
  <c r="B120" i="88"/>
  <c r="D98" i="89" s="1"/>
  <c r="B121" i="88"/>
  <c r="D99" i="89" s="1"/>
  <c r="B122" i="88"/>
  <c r="D100" i="89" s="1"/>
  <c r="B123" i="88"/>
  <c r="D101" i="89" s="1"/>
  <c r="B124" i="88"/>
  <c r="D102" i="89" s="1"/>
  <c r="B125" i="88"/>
  <c r="D103" i="89" s="1"/>
  <c r="B126" i="88"/>
  <c r="D104" i="89" s="1"/>
  <c r="B127" i="88"/>
  <c r="D105" i="89" s="1"/>
  <c r="B128" i="88"/>
  <c r="D106" i="89" s="1"/>
  <c r="B129" i="88"/>
  <c r="D107" i="89" s="1"/>
  <c r="B130" i="88"/>
  <c r="D108" i="89" s="1"/>
  <c r="B131" i="88"/>
  <c r="D109" i="89" s="1"/>
  <c r="B132" i="88"/>
  <c r="D110" i="89" s="1"/>
  <c r="B133" i="88"/>
  <c r="D111" i="89" s="1"/>
  <c r="B134" i="88"/>
  <c r="D112" i="89" s="1"/>
  <c r="B135" i="88"/>
  <c r="D113" i="89" s="1"/>
  <c r="B136" i="88"/>
  <c r="D114" i="89" s="1"/>
  <c r="B137" i="88"/>
  <c r="D115" i="89" s="1"/>
  <c r="B138" i="88"/>
  <c r="D116" i="89" s="1"/>
  <c r="B139" i="88"/>
  <c r="D117" i="89" s="1"/>
  <c r="B140" i="88"/>
  <c r="D118" i="89" s="1"/>
  <c r="B141" i="88"/>
  <c r="D119" i="89" s="1"/>
  <c r="B142" i="88"/>
  <c r="D120" i="89" s="1"/>
  <c r="B143" i="88"/>
  <c r="D121" i="89" s="1"/>
  <c r="B144" i="88"/>
  <c r="D122" i="89" s="1"/>
  <c r="B145" i="88"/>
  <c r="D123" i="89" s="1"/>
  <c r="B146" i="88"/>
  <c r="D124" i="89" s="1"/>
  <c r="B147" i="88"/>
  <c r="D125" i="89" s="1"/>
  <c r="B148" i="88"/>
  <c r="D126" i="89" s="1"/>
  <c r="B149" i="88"/>
  <c r="D127" i="89" s="1"/>
  <c r="B150" i="88"/>
  <c r="D128" i="89" s="1"/>
  <c r="B151" i="88"/>
  <c r="D129" i="89" s="1"/>
  <c r="B152" i="88"/>
  <c r="D130" i="89" s="1"/>
  <c r="B153" i="88"/>
  <c r="D131" i="89" s="1"/>
  <c r="B154" i="88"/>
  <c r="D132" i="89" s="1"/>
  <c r="B155" i="88"/>
  <c r="D133" i="89" s="1"/>
  <c r="B156" i="88"/>
  <c r="D134" i="89" s="1"/>
  <c r="B157" i="88"/>
  <c r="D135" i="89" s="1"/>
  <c r="B158" i="88"/>
  <c r="D136" i="89" s="1"/>
  <c r="B159" i="88"/>
  <c r="D137" i="89" s="1"/>
  <c r="B160" i="88"/>
  <c r="D138" i="89" s="1"/>
  <c r="B161" i="88"/>
  <c r="D139" i="89" s="1"/>
  <c r="B162" i="88"/>
  <c r="D140" i="89" s="1"/>
  <c r="B163" i="88"/>
  <c r="D141" i="89" s="1"/>
  <c r="B164" i="88"/>
  <c r="D142" i="89" s="1"/>
  <c r="B165" i="88"/>
  <c r="D143" i="89" s="1"/>
  <c r="B166" i="88"/>
  <c r="D144" i="89" s="1"/>
  <c r="B167" i="88"/>
  <c r="D145" i="89" s="1"/>
  <c r="B168" i="88"/>
  <c r="D146" i="89" s="1"/>
  <c r="B169" i="88"/>
  <c r="D147" i="89" s="1"/>
  <c r="B170" i="88"/>
  <c r="D148" i="89" s="1"/>
  <c r="B171" i="88"/>
  <c r="D149" i="89" s="1"/>
  <c r="B172" i="88"/>
  <c r="D150" i="89" s="1"/>
  <c r="B173" i="88"/>
  <c r="D151" i="89" s="1"/>
  <c r="B174" i="88"/>
  <c r="D152" i="89" s="1"/>
  <c r="B175" i="88"/>
  <c r="D153" i="89" s="1"/>
  <c r="B176" i="88"/>
  <c r="D154" i="89" s="1"/>
  <c r="B177" i="88"/>
  <c r="D155" i="89" s="1"/>
  <c r="B178" i="88"/>
  <c r="D156" i="89" s="1"/>
  <c r="B179" i="88"/>
  <c r="D157" i="89" s="1"/>
  <c r="B180" i="88"/>
  <c r="D158" i="89" s="1"/>
  <c r="B181" i="88"/>
  <c r="D159" i="89" s="1"/>
  <c r="B182" i="88"/>
  <c r="D160" i="89" s="1"/>
  <c r="B183" i="88"/>
  <c r="D161" i="89" s="1"/>
  <c r="B184" i="88"/>
  <c r="D162" i="89" s="1"/>
  <c r="B185" i="88"/>
  <c r="D163" i="89" s="1"/>
  <c r="B186" i="88"/>
  <c r="D164" i="89" s="1"/>
  <c r="B187" i="88"/>
  <c r="D165" i="89" s="1"/>
  <c r="A26" i="88"/>
  <c r="C5" i="89" s="1"/>
  <c r="A27" i="88"/>
  <c r="C6" i="89" s="1"/>
  <c r="A29" i="88"/>
  <c r="C7" i="89" s="1"/>
  <c r="A30" i="88"/>
  <c r="C8" i="89" s="1"/>
  <c r="A31" i="88"/>
  <c r="C9" i="89" s="1"/>
  <c r="A32" i="88"/>
  <c r="C10" i="89" s="1"/>
  <c r="A33" i="88"/>
  <c r="C11" i="89" s="1"/>
  <c r="A34" i="88"/>
  <c r="C12" i="89" s="1"/>
  <c r="A35" i="88"/>
  <c r="C13" i="89" s="1"/>
  <c r="A36" i="88"/>
  <c r="C14" i="89" s="1"/>
  <c r="A37" i="88"/>
  <c r="C15" i="89" s="1"/>
  <c r="A38" i="88"/>
  <c r="C16" i="89" s="1"/>
  <c r="A39" i="88"/>
  <c r="C17" i="89" s="1"/>
  <c r="A40" i="88"/>
  <c r="C18" i="89" s="1"/>
  <c r="A41" i="88"/>
  <c r="C19" i="89" s="1"/>
  <c r="A42" i="88"/>
  <c r="C20" i="89" s="1"/>
  <c r="A43" i="88"/>
  <c r="C21" i="89" s="1"/>
  <c r="A44" i="88"/>
  <c r="C22" i="89" s="1"/>
  <c r="A45" i="88"/>
  <c r="C23" i="89" s="1"/>
  <c r="A46" i="88"/>
  <c r="C24" i="89" s="1"/>
  <c r="A47" i="88"/>
  <c r="C25" i="89" s="1"/>
  <c r="A48" i="88"/>
  <c r="C26" i="89" s="1"/>
  <c r="A49" i="88"/>
  <c r="C27" i="89" s="1"/>
  <c r="A50" i="88"/>
  <c r="C28" i="89" s="1"/>
  <c r="A51" i="88"/>
  <c r="C29" i="89" s="1"/>
  <c r="A52" i="88"/>
  <c r="C30" i="89" s="1"/>
  <c r="A53" i="88"/>
  <c r="C31" i="89" s="1"/>
  <c r="A54" i="88"/>
  <c r="C32" i="89" s="1"/>
  <c r="A55" i="88"/>
  <c r="C33" i="89" s="1"/>
  <c r="A56" i="88"/>
  <c r="C34" i="89" s="1"/>
  <c r="A57" i="88"/>
  <c r="C35" i="89" s="1"/>
  <c r="A58" i="88"/>
  <c r="C36" i="89" s="1"/>
  <c r="A59" i="88"/>
  <c r="C37" i="89" s="1"/>
  <c r="A60" i="88"/>
  <c r="C38" i="89" s="1"/>
  <c r="A61" i="88"/>
  <c r="C39" i="89" s="1"/>
  <c r="A62" i="88"/>
  <c r="C40" i="89" s="1"/>
  <c r="A63" i="88"/>
  <c r="C41" i="89" s="1"/>
  <c r="A64" i="88"/>
  <c r="C42" i="89" s="1"/>
  <c r="A65" i="88"/>
  <c r="C43" i="89" s="1"/>
  <c r="A66" i="88"/>
  <c r="C44" i="89" s="1"/>
  <c r="A67" i="88"/>
  <c r="C45" i="89" s="1"/>
  <c r="A68" i="88"/>
  <c r="C46" i="89" s="1"/>
  <c r="A69" i="88"/>
  <c r="C47" i="89" s="1"/>
  <c r="A70" i="88"/>
  <c r="C48" i="89" s="1"/>
  <c r="A71" i="88"/>
  <c r="C49" i="89" s="1"/>
  <c r="A72" i="88"/>
  <c r="C50" i="89" s="1"/>
  <c r="A73" i="88"/>
  <c r="C51" i="89" s="1"/>
  <c r="A74" i="88"/>
  <c r="C52" i="89" s="1"/>
  <c r="A75" i="88"/>
  <c r="C53" i="89" s="1"/>
  <c r="A76" i="88"/>
  <c r="C54" i="89" s="1"/>
  <c r="A77" i="88"/>
  <c r="C55" i="89" s="1"/>
  <c r="A78" i="88"/>
  <c r="C56" i="89" s="1"/>
  <c r="A79" i="88"/>
  <c r="C57" i="89" s="1"/>
  <c r="A80" i="88"/>
  <c r="C58" i="89" s="1"/>
  <c r="A81" i="88"/>
  <c r="C59" i="89" s="1"/>
  <c r="A82" i="88"/>
  <c r="C60" i="89" s="1"/>
  <c r="A83" i="88"/>
  <c r="C61" i="89" s="1"/>
  <c r="A84" i="88"/>
  <c r="C62" i="89" s="1"/>
  <c r="A85" i="88"/>
  <c r="C63" i="89" s="1"/>
  <c r="A86" i="88"/>
  <c r="C64" i="89" s="1"/>
  <c r="A87" i="88"/>
  <c r="C65" i="89" s="1"/>
  <c r="A88" i="88"/>
  <c r="C66" i="89" s="1"/>
  <c r="A89" i="88"/>
  <c r="C67" i="89" s="1"/>
  <c r="A90" i="88"/>
  <c r="C68" i="89" s="1"/>
  <c r="A91" i="88"/>
  <c r="C69" i="89" s="1"/>
  <c r="A92" i="88"/>
  <c r="C70" i="89" s="1"/>
  <c r="A93" i="88"/>
  <c r="C71" i="89" s="1"/>
  <c r="A94" i="88"/>
  <c r="C72" i="89" s="1"/>
  <c r="A95" i="88"/>
  <c r="C73" i="89" s="1"/>
  <c r="A96" i="88"/>
  <c r="C74" i="89" s="1"/>
  <c r="A97" i="88"/>
  <c r="C75" i="89" s="1"/>
  <c r="A98" i="88"/>
  <c r="C76" i="89" s="1"/>
  <c r="A99" i="88"/>
  <c r="C77" i="89" s="1"/>
  <c r="A100" i="88"/>
  <c r="C78" i="89" s="1"/>
  <c r="A101" i="88"/>
  <c r="C79" i="89" s="1"/>
  <c r="A102" i="88"/>
  <c r="C80" i="89" s="1"/>
  <c r="A103" i="88"/>
  <c r="C81" i="89" s="1"/>
  <c r="A104" i="88"/>
  <c r="C82" i="89" s="1"/>
  <c r="A105" i="88"/>
  <c r="C83" i="89" s="1"/>
  <c r="A106" i="88"/>
  <c r="C84" i="89" s="1"/>
  <c r="A107" i="88"/>
  <c r="C85" i="89" s="1"/>
  <c r="A108" i="88"/>
  <c r="C86" i="89" s="1"/>
  <c r="A109" i="88"/>
  <c r="C87" i="89" s="1"/>
  <c r="A110" i="88"/>
  <c r="C88" i="89" s="1"/>
  <c r="A111" i="88"/>
  <c r="C89" i="89" s="1"/>
  <c r="A112" i="88"/>
  <c r="C90" i="89" s="1"/>
  <c r="A113" i="88"/>
  <c r="C91" i="89" s="1"/>
  <c r="A114" i="88"/>
  <c r="C92" i="89" s="1"/>
  <c r="A115" i="88"/>
  <c r="C93" i="89" s="1"/>
  <c r="A116" i="88"/>
  <c r="C94" i="89" s="1"/>
  <c r="A117" i="88"/>
  <c r="C95" i="89" s="1"/>
  <c r="A118" i="88"/>
  <c r="C96" i="89" s="1"/>
  <c r="A119" i="88"/>
  <c r="C97" i="89" s="1"/>
  <c r="A120" i="88"/>
  <c r="C98" i="89" s="1"/>
  <c r="A121" i="88"/>
  <c r="C99" i="89" s="1"/>
  <c r="A122" i="88"/>
  <c r="C100" i="89" s="1"/>
  <c r="A123" i="88"/>
  <c r="C101" i="89" s="1"/>
  <c r="A124" i="88"/>
  <c r="C102" i="89" s="1"/>
  <c r="A125" i="88"/>
  <c r="C103" i="89" s="1"/>
  <c r="A126" i="88"/>
  <c r="C104" i="89" s="1"/>
  <c r="A127" i="88"/>
  <c r="C105" i="89" s="1"/>
  <c r="A128" i="88"/>
  <c r="C106" i="89" s="1"/>
  <c r="A129" i="88"/>
  <c r="C107" i="89" s="1"/>
  <c r="A130" i="88"/>
  <c r="C108" i="89" s="1"/>
  <c r="A131" i="88"/>
  <c r="C109" i="89" s="1"/>
  <c r="A132" i="88"/>
  <c r="C110" i="89" s="1"/>
  <c r="A133" i="88"/>
  <c r="C111" i="89" s="1"/>
  <c r="A134" i="88"/>
  <c r="C112" i="89" s="1"/>
  <c r="A135" i="88"/>
  <c r="C113" i="89" s="1"/>
  <c r="A136" i="88"/>
  <c r="C114" i="89" s="1"/>
  <c r="A137" i="88"/>
  <c r="C115" i="89" s="1"/>
  <c r="A138" i="88"/>
  <c r="C116" i="89" s="1"/>
  <c r="A139" i="88"/>
  <c r="C117" i="89" s="1"/>
  <c r="A140" i="88"/>
  <c r="C118" i="89" s="1"/>
  <c r="A141" i="88"/>
  <c r="C119" i="89" s="1"/>
  <c r="A142" i="88"/>
  <c r="C120" i="89" s="1"/>
  <c r="A143" i="88"/>
  <c r="C121" i="89" s="1"/>
  <c r="A144" i="88"/>
  <c r="C122" i="89" s="1"/>
  <c r="A145" i="88"/>
  <c r="C123" i="89" s="1"/>
  <c r="A146" i="88"/>
  <c r="C124" i="89" s="1"/>
  <c r="A147" i="88"/>
  <c r="C125" i="89" s="1"/>
  <c r="A148" i="88"/>
  <c r="C126" i="89" s="1"/>
  <c r="A149" i="88"/>
  <c r="C127" i="89" s="1"/>
  <c r="A150" i="88"/>
  <c r="C128" i="89" s="1"/>
  <c r="A151" i="88"/>
  <c r="C129" i="89" s="1"/>
  <c r="A152" i="88"/>
  <c r="C130" i="89" s="1"/>
  <c r="A153" i="88"/>
  <c r="C131" i="89" s="1"/>
  <c r="A154" i="88"/>
  <c r="C132" i="89" s="1"/>
  <c r="A155" i="88"/>
  <c r="C133" i="89" s="1"/>
  <c r="A156" i="88"/>
  <c r="C134" i="89" s="1"/>
  <c r="A157" i="88"/>
  <c r="C135" i="89" s="1"/>
  <c r="A158" i="88"/>
  <c r="C136" i="89" s="1"/>
  <c r="A159" i="88"/>
  <c r="C137" i="89" s="1"/>
  <c r="A160" i="88"/>
  <c r="C138" i="89" s="1"/>
  <c r="A161" i="88"/>
  <c r="C139" i="89" s="1"/>
  <c r="A162" i="88"/>
  <c r="C140" i="89" s="1"/>
  <c r="A163" i="88"/>
  <c r="C141" i="89" s="1"/>
  <c r="A164" i="88"/>
  <c r="C142" i="89" s="1"/>
  <c r="A165" i="88"/>
  <c r="C143" i="89" s="1"/>
  <c r="A166" i="88"/>
  <c r="C144" i="89" s="1"/>
  <c r="A167" i="88"/>
  <c r="C145" i="89" s="1"/>
  <c r="A168" i="88"/>
  <c r="C146" i="89" s="1"/>
  <c r="A169" i="88"/>
  <c r="C147" i="89" s="1"/>
  <c r="A170" i="88"/>
  <c r="C148" i="89" s="1"/>
  <c r="A171" i="88"/>
  <c r="C149" i="89" s="1"/>
  <c r="A172" i="88"/>
  <c r="C150" i="89" s="1"/>
  <c r="A173" i="88"/>
  <c r="C151" i="89" s="1"/>
  <c r="A174" i="88"/>
  <c r="C152" i="89" s="1"/>
  <c r="A175" i="88"/>
  <c r="C153" i="89" s="1"/>
  <c r="A176" i="88"/>
  <c r="C154" i="89" s="1"/>
  <c r="A177" i="88"/>
  <c r="C155" i="89" s="1"/>
  <c r="A178" i="88"/>
  <c r="C156" i="89" s="1"/>
  <c r="A179" i="88"/>
  <c r="C157" i="89" s="1"/>
  <c r="A180" i="88"/>
  <c r="C158" i="89" s="1"/>
  <c r="A181" i="88"/>
  <c r="C159" i="89" s="1"/>
  <c r="A182" i="88"/>
  <c r="C160" i="89" s="1"/>
  <c r="A183" i="88"/>
  <c r="C161" i="89" s="1"/>
  <c r="A184" i="88"/>
  <c r="C162" i="89" s="1"/>
  <c r="A185" i="88"/>
  <c r="C163" i="89" s="1"/>
  <c r="A186" i="88"/>
  <c r="C164" i="89" s="1"/>
  <c r="A187" i="88"/>
  <c r="C165" i="89" s="1"/>
  <c r="B25" i="88"/>
  <c r="D4" i="89" s="1"/>
  <c r="A25" i="88"/>
  <c r="C4" i="89" s="1"/>
  <c r="B24" i="88"/>
  <c r="A24" i="88"/>
  <c r="C3" i="89" s="1"/>
  <c r="D18" i="88"/>
  <c r="E18" i="88"/>
  <c r="C18" i="88"/>
  <c r="D17" i="88"/>
  <c r="E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Q183" i="88"/>
  <c r="O183" i="88"/>
  <c r="M183" i="88"/>
  <c r="K183" i="88"/>
  <c r="I183" i="88"/>
  <c r="G183" i="88"/>
  <c r="E183" i="88"/>
  <c r="Q182" i="88"/>
  <c r="O182" i="88"/>
  <c r="M182" i="88"/>
  <c r="K182" i="88"/>
  <c r="I182" i="88"/>
  <c r="G182" i="88"/>
  <c r="E182" i="88"/>
  <c r="Q181" i="88"/>
  <c r="O181" i="88"/>
  <c r="M181" i="88"/>
  <c r="K181" i="88"/>
  <c r="I181" i="88"/>
  <c r="G181" i="88"/>
  <c r="E181" i="88"/>
  <c r="Q180" i="88"/>
  <c r="O180" i="88"/>
  <c r="M180" i="88"/>
  <c r="K180" i="88"/>
  <c r="I180" i="88"/>
  <c r="G180" i="88"/>
  <c r="E180" i="88"/>
  <c r="Q179" i="88"/>
  <c r="O179" i="88"/>
  <c r="M179" i="88"/>
  <c r="K179" i="88"/>
  <c r="I179" i="88"/>
  <c r="G179" i="88"/>
  <c r="E179" i="88"/>
  <c r="Q178" i="88"/>
  <c r="O178" i="88"/>
  <c r="M178" i="88"/>
  <c r="K178" i="88"/>
  <c r="I178" i="88"/>
  <c r="G178" i="88"/>
  <c r="E178" i="88"/>
  <c r="Q177" i="88"/>
  <c r="O177" i="88"/>
  <c r="M177" i="88"/>
  <c r="K177" i="88"/>
  <c r="I177" i="88"/>
  <c r="G177" i="88"/>
  <c r="E177" i="88"/>
  <c r="Q176" i="88"/>
  <c r="O176" i="88"/>
  <c r="M176" i="88"/>
  <c r="K176" i="88"/>
  <c r="I176" i="88"/>
  <c r="G176" i="88"/>
  <c r="E176" i="88"/>
  <c r="Q175" i="88"/>
  <c r="O175" i="88"/>
  <c r="M175" i="88"/>
  <c r="K175" i="88"/>
  <c r="I175" i="88"/>
  <c r="G175" i="88"/>
  <c r="E175" i="88"/>
  <c r="Q174" i="88"/>
  <c r="O174" i="88"/>
  <c r="M174" i="88"/>
  <c r="K174" i="88"/>
  <c r="I174" i="88"/>
  <c r="G174" i="88"/>
  <c r="E174" i="88"/>
  <c r="Q173" i="88"/>
  <c r="O173" i="88"/>
  <c r="M173" i="88"/>
  <c r="K173" i="88"/>
  <c r="I173" i="88"/>
  <c r="G173" i="88"/>
  <c r="E173" i="88"/>
  <c r="Q172" i="88"/>
  <c r="O172" i="88"/>
  <c r="M172" i="88"/>
  <c r="K172" i="88"/>
  <c r="I172" i="88"/>
  <c r="G172" i="88"/>
  <c r="E172" i="88"/>
  <c r="Q171" i="88"/>
  <c r="O171" i="88"/>
  <c r="M171" i="88"/>
  <c r="K171" i="88"/>
  <c r="I171" i="88"/>
  <c r="G171" i="88"/>
  <c r="E171" i="88"/>
  <c r="Q170" i="88"/>
  <c r="O170" i="88"/>
  <c r="M170" i="88"/>
  <c r="K170" i="88"/>
  <c r="I170" i="88"/>
  <c r="G170" i="88"/>
  <c r="E170" i="88"/>
  <c r="Q169" i="88"/>
  <c r="O169" i="88"/>
  <c r="M169" i="88"/>
  <c r="K169" i="88"/>
  <c r="I169" i="88"/>
  <c r="G169" i="88"/>
  <c r="E169" i="88"/>
  <c r="Q168" i="88"/>
  <c r="O168" i="88"/>
  <c r="M168" i="88"/>
  <c r="K168" i="88"/>
  <c r="I168" i="88"/>
  <c r="G168" i="88"/>
  <c r="E168" i="88"/>
  <c r="Q167" i="88"/>
  <c r="O167" i="88"/>
  <c r="M167" i="88"/>
  <c r="K167" i="88"/>
  <c r="I167" i="88"/>
  <c r="G167" i="88"/>
  <c r="E167" i="88"/>
  <c r="Q166" i="88"/>
  <c r="O166" i="88"/>
  <c r="M166" i="88"/>
  <c r="K166" i="88"/>
  <c r="I166" i="88"/>
  <c r="G166" i="88"/>
  <c r="E166" i="88"/>
  <c r="Q165" i="88"/>
  <c r="O165" i="88"/>
  <c r="M165" i="88"/>
  <c r="K165" i="88"/>
  <c r="I165" i="88"/>
  <c r="G165" i="88"/>
  <c r="E165" i="88"/>
  <c r="Q164" i="88"/>
  <c r="O164" i="88"/>
  <c r="M164" i="88"/>
  <c r="K164" i="88"/>
  <c r="I164" i="88"/>
  <c r="G164" i="88"/>
  <c r="E164" i="88"/>
  <c r="Q163" i="88"/>
  <c r="O163" i="88"/>
  <c r="M163" i="88"/>
  <c r="K163" i="88"/>
  <c r="I163" i="88"/>
  <c r="G163" i="88"/>
  <c r="E163" i="88"/>
  <c r="Q162" i="88"/>
  <c r="O162" i="88"/>
  <c r="M162" i="88"/>
  <c r="K162" i="88"/>
  <c r="I162" i="88"/>
  <c r="G162" i="88"/>
  <c r="E162" i="88"/>
  <c r="Q161" i="88"/>
  <c r="O161" i="88"/>
  <c r="M161" i="88"/>
  <c r="K161" i="88"/>
  <c r="I161" i="88"/>
  <c r="G161" i="88"/>
  <c r="E161" i="88"/>
  <c r="Q160" i="88"/>
  <c r="O160" i="88"/>
  <c r="M160" i="88"/>
  <c r="K160" i="88"/>
  <c r="I160" i="88"/>
  <c r="G160" i="88"/>
  <c r="E160" i="88"/>
  <c r="Q159" i="88"/>
  <c r="O159" i="88"/>
  <c r="M159" i="88"/>
  <c r="K159" i="88"/>
  <c r="I159" i="88"/>
  <c r="G159" i="88"/>
  <c r="E159" i="88"/>
  <c r="Q158" i="88"/>
  <c r="O158" i="88"/>
  <c r="M158" i="88"/>
  <c r="K158" i="88"/>
  <c r="I158" i="88"/>
  <c r="G158" i="88"/>
  <c r="E158" i="88"/>
  <c r="Q157" i="88"/>
  <c r="O157" i="88"/>
  <c r="M157" i="88"/>
  <c r="K157" i="88"/>
  <c r="I157" i="88"/>
  <c r="G157" i="88"/>
  <c r="E157" i="88"/>
  <c r="Q156" i="88"/>
  <c r="O156" i="88"/>
  <c r="M156" i="88"/>
  <c r="K156" i="88"/>
  <c r="I156" i="88"/>
  <c r="G156" i="88"/>
  <c r="E156" i="88"/>
  <c r="Q155" i="88"/>
  <c r="O155" i="88"/>
  <c r="M155" i="88"/>
  <c r="K155" i="88"/>
  <c r="I155" i="88"/>
  <c r="G155" i="88"/>
  <c r="E155" i="88"/>
  <c r="Q154" i="88"/>
  <c r="O154" i="88"/>
  <c r="M154" i="88"/>
  <c r="K154" i="88"/>
  <c r="I154" i="88"/>
  <c r="G154" i="88"/>
  <c r="E154" i="88"/>
  <c r="Q153" i="88"/>
  <c r="O153" i="88"/>
  <c r="M153" i="88"/>
  <c r="K153" i="88"/>
  <c r="I153" i="88"/>
  <c r="G153" i="88"/>
  <c r="E153" i="88"/>
  <c r="Q152" i="88"/>
  <c r="O152" i="88"/>
  <c r="M152" i="88"/>
  <c r="K152" i="88"/>
  <c r="I152" i="88"/>
  <c r="G152" i="88"/>
  <c r="E152" i="88"/>
  <c r="Q151" i="88"/>
  <c r="O151" i="88"/>
  <c r="M151" i="88"/>
  <c r="K151" i="88"/>
  <c r="I151" i="88"/>
  <c r="G151" i="88"/>
  <c r="E151" i="88"/>
  <c r="Q150" i="88"/>
  <c r="O150" i="88"/>
  <c r="M150" i="88"/>
  <c r="K150" i="88"/>
  <c r="I150" i="88"/>
  <c r="G150" i="88"/>
  <c r="E150" i="88"/>
  <c r="Q149" i="88"/>
  <c r="O149" i="88"/>
  <c r="M149" i="88"/>
  <c r="K149" i="88"/>
  <c r="I149" i="88"/>
  <c r="G149" i="88"/>
  <c r="E149" i="88"/>
  <c r="Q148" i="88"/>
  <c r="O148" i="88"/>
  <c r="M148" i="88"/>
  <c r="K148" i="88"/>
  <c r="I148" i="88"/>
  <c r="G148" i="88"/>
  <c r="E148" i="88"/>
  <c r="Q147" i="88"/>
  <c r="O147" i="88"/>
  <c r="M147" i="88"/>
  <c r="K147" i="88"/>
  <c r="I147" i="88"/>
  <c r="G147" i="88"/>
  <c r="E147" i="88"/>
  <c r="Q146" i="88"/>
  <c r="O146" i="88"/>
  <c r="M146" i="88"/>
  <c r="K146" i="88"/>
  <c r="I146" i="88"/>
  <c r="G146" i="88"/>
  <c r="E146" i="88"/>
  <c r="Q145" i="88"/>
  <c r="O145" i="88"/>
  <c r="M145" i="88"/>
  <c r="K145" i="88"/>
  <c r="I145" i="88"/>
  <c r="G145" i="88"/>
  <c r="E145" i="88"/>
  <c r="Q144" i="88"/>
  <c r="O144" i="88"/>
  <c r="M144" i="88"/>
  <c r="K144" i="88"/>
  <c r="I144" i="88"/>
  <c r="G144" i="88"/>
  <c r="E144" i="88"/>
  <c r="Q143" i="88"/>
  <c r="O143" i="88"/>
  <c r="M143" i="88"/>
  <c r="K143" i="88"/>
  <c r="I143" i="88"/>
  <c r="G143" i="88"/>
  <c r="E143" i="88"/>
  <c r="Q142" i="88"/>
  <c r="O142" i="88"/>
  <c r="M142" i="88"/>
  <c r="K142" i="88"/>
  <c r="I142" i="88"/>
  <c r="G142" i="88"/>
  <c r="E142" i="88"/>
  <c r="Q141" i="88"/>
  <c r="O141" i="88"/>
  <c r="M141" i="88"/>
  <c r="K141" i="88"/>
  <c r="I141" i="88"/>
  <c r="G141" i="88"/>
  <c r="E141" i="88"/>
  <c r="Q140" i="88"/>
  <c r="O140" i="88"/>
  <c r="M140" i="88"/>
  <c r="K140" i="88"/>
  <c r="I140" i="88"/>
  <c r="G140" i="88"/>
  <c r="E140" i="88"/>
  <c r="Q139" i="88"/>
  <c r="O139" i="88"/>
  <c r="M139" i="88"/>
  <c r="K139" i="88"/>
  <c r="I139" i="88"/>
  <c r="G139" i="88"/>
  <c r="E139" i="88"/>
  <c r="Q138" i="88"/>
  <c r="O138" i="88"/>
  <c r="M138" i="88"/>
  <c r="K138" i="88"/>
  <c r="I138" i="88"/>
  <c r="G138" i="88"/>
  <c r="E138" i="88"/>
  <c r="Q137" i="88"/>
  <c r="O137" i="88"/>
  <c r="M137" i="88"/>
  <c r="K137" i="88"/>
  <c r="I137" i="88"/>
  <c r="G137" i="88"/>
  <c r="E137" i="88"/>
  <c r="Q136" i="88"/>
  <c r="O136" i="88"/>
  <c r="M136" i="88"/>
  <c r="K136" i="88"/>
  <c r="I136" i="88"/>
  <c r="G136" i="88"/>
  <c r="E136" i="88"/>
  <c r="Q135" i="88"/>
  <c r="O135" i="88"/>
  <c r="M135" i="88"/>
  <c r="K135" i="88"/>
  <c r="I135" i="88"/>
  <c r="G135" i="88"/>
  <c r="E135" i="88"/>
  <c r="Q134" i="88"/>
  <c r="O134" i="88"/>
  <c r="M134" i="88"/>
  <c r="K134" i="88"/>
  <c r="I134" i="88"/>
  <c r="G134" i="88"/>
  <c r="E134" i="88"/>
  <c r="Q133" i="88"/>
  <c r="O133" i="88"/>
  <c r="M133" i="88"/>
  <c r="K133" i="88"/>
  <c r="I133" i="88"/>
  <c r="G133" i="88"/>
  <c r="E133" i="88"/>
  <c r="Q132" i="88"/>
  <c r="O132" i="88"/>
  <c r="M132" i="88"/>
  <c r="K132" i="88"/>
  <c r="I132" i="88"/>
  <c r="G132" i="88"/>
  <c r="E132" i="88"/>
  <c r="Q131" i="88"/>
  <c r="O131" i="88"/>
  <c r="M131" i="88"/>
  <c r="K131" i="88"/>
  <c r="I131" i="88"/>
  <c r="G131" i="88"/>
  <c r="E131" i="88"/>
  <c r="Q130" i="88"/>
  <c r="O130" i="88"/>
  <c r="M130" i="88"/>
  <c r="K130" i="88"/>
  <c r="I130" i="88"/>
  <c r="G130" i="88"/>
  <c r="E130" i="88"/>
  <c r="O129" i="88"/>
  <c r="M129" i="88"/>
  <c r="K129" i="88"/>
  <c r="I129" i="88"/>
  <c r="G129" i="88"/>
  <c r="E129" i="88"/>
  <c r="Q128" i="88"/>
  <c r="O128" i="88"/>
  <c r="M128" i="88"/>
  <c r="K128" i="88"/>
  <c r="I128" i="88"/>
  <c r="G128" i="88"/>
  <c r="E128" i="88"/>
  <c r="Q127" i="88"/>
  <c r="O127" i="88"/>
  <c r="M127" i="88"/>
  <c r="K127" i="88"/>
  <c r="I127" i="88"/>
  <c r="G127" i="88"/>
  <c r="E127" i="88"/>
  <c r="C127" i="88"/>
  <c r="Q126" i="88"/>
  <c r="O126" i="88"/>
  <c r="M126" i="88"/>
  <c r="K126" i="88"/>
  <c r="I126" i="88"/>
  <c r="G126" i="88"/>
  <c r="E126" i="88"/>
  <c r="Q125" i="88"/>
  <c r="O125" i="88"/>
  <c r="M125" i="88"/>
  <c r="K125" i="88"/>
  <c r="I125" i="88"/>
  <c r="G125" i="88"/>
  <c r="E125" i="88"/>
  <c r="Q124" i="88"/>
  <c r="O124" i="88"/>
  <c r="M124" i="88"/>
  <c r="K124" i="88"/>
  <c r="I124" i="88"/>
  <c r="G124" i="88"/>
  <c r="E124" i="88"/>
  <c r="Q123" i="88"/>
  <c r="O123" i="88"/>
  <c r="M123" i="88"/>
  <c r="K123" i="88"/>
  <c r="I123" i="88"/>
  <c r="G123" i="88"/>
  <c r="E123" i="88"/>
  <c r="Q122" i="88"/>
  <c r="O122" i="88"/>
  <c r="M122" i="88"/>
  <c r="K122" i="88"/>
  <c r="I122" i="88"/>
  <c r="G122" i="88"/>
  <c r="E122" i="88"/>
  <c r="Q121" i="88"/>
  <c r="O121" i="88"/>
  <c r="M121" i="88"/>
  <c r="K121" i="88"/>
  <c r="I121" i="88"/>
  <c r="G121" i="88"/>
  <c r="E121" i="88"/>
  <c r="Q120" i="88"/>
  <c r="O120" i="88"/>
  <c r="M120" i="88"/>
  <c r="K120" i="88"/>
  <c r="I120" i="88"/>
  <c r="G120" i="88"/>
  <c r="E120" i="88"/>
  <c r="Q119" i="88"/>
  <c r="O119" i="88"/>
  <c r="M119" i="88"/>
  <c r="K119" i="88"/>
  <c r="I119" i="88"/>
  <c r="G119" i="88"/>
  <c r="E119" i="88"/>
  <c r="Q118" i="88"/>
  <c r="O118" i="88"/>
  <c r="M118" i="88"/>
  <c r="K118" i="88"/>
  <c r="I118" i="88"/>
  <c r="G118" i="88"/>
  <c r="E118" i="88"/>
  <c r="Q117" i="88"/>
  <c r="O117" i="88"/>
  <c r="M117" i="88"/>
  <c r="K117" i="88"/>
  <c r="I117" i="88"/>
  <c r="G117" i="88"/>
  <c r="E117" i="88"/>
  <c r="Q116" i="88"/>
  <c r="O116" i="88"/>
  <c r="M116" i="88"/>
  <c r="K116" i="88"/>
  <c r="I116" i="88"/>
  <c r="G116" i="88"/>
  <c r="E116" i="88"/>
  <c r="Q115" i="88"/>
  <c r="O115" i="88"/>
  <c r="M115" i="88"/>
  <c r="K115" i="88"/>
  <c r="I115" i="88"/>
  <c r="G115" i="88"/>
  <c r="E115" i="88"/>
  <c r="Q114" i="88"/>
  <c r="O114" i="88"/>
  <c r="M114" i="88"/>
  <c r="K114" i="88"/>
  <c r="I114" i="88"/>
  <c r="G114" i="88"/>
  <c r="E114" i="88"/>
  <c r="Q113" i="88"/>
  <c r="O113" i="88"/>
  <c r="M113" i="88"/>
  <c r="K113" i="88"/>
  <c r="I113" i="88"/>
  <c r="G113" i="88"/>
  <c r="E113" i="88"/>
  <c r="Q112" i="88"/>
  <c r="O112" i="88"/>
  <c r="M112" i="88"/>
  <c r="K112" i="88"/>
  <c r="I112" i="88"/>
  <c r="G112" i="88"/>
  <c r="E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Q107" i="88"/>
  <c r="O107" i="88"/>
  <c r="M107" i="88"/>
  <c r="K107" i="88"/>
  <c r="I107" i="88"/>
  <c r="G107" i="88"/>
  <c r="E107" i="88"/>
  <c r="Q106" i="88"/>
  <c r="O106" i="88"/>
  <c r="M106" i="88"/>
  <c r="K106" i="88"/>
  <c r="I106" i="88"/>
  <c r="G106" i="88"/>
  <c r="E106" i="88"/>
  <c r="Q105" i="88"/>
  <c r="O105" i="88"/>
  <c r="M105" i="88"/>
  <c r="K105" i="88"/>
  <c r="I105" i="88"/>
  <c r="G105" i="88"/>
  <c r="E105" i="88"/>
  <c r="Q104" i="88"/>
  <c r="O104" i="88"/>
  <c r="M104" i="88"/>
  <c r="K104" i="88"/>
  <c r="I104" i="88"/>
  <c r="G104" i="88"/>
  <c r="E104" i="88"/>
  <c r="Q103" i="88"/>
  <c r="O103" i="88"/>
  <c r="M103" i="88"/>
  <c r="K103" i="88"/>
  <c r="I103" i="88"/>
  <c r="G103" i="88"/>
  <c r="E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E12" i="88"/>
  <c r="F12" i="88" s="1"/>
  <c r="G12" i="88" s="1"/>
  <c r="H12" i="88" s="1"/>
  <c r="I12" i="88" s="1"/>
  <c r="J12" i="88" s="1"/>
  <c r="K12" i="88" s="1"/>
  <c r="L12" i="88" s="1"/>
  <c r="M12" i="88" s="1"/>
  <c r="N12" i="88" s="1"/>
  <c r="O12" i="88" s="1"/>
  <c r="P12" i="88" s="1"/>
  <c r="Q12" i="88" s="1"/>
  <c r="R12" i="88" s="1"/>
  <c r="S12" i="88" s="1"/>
  <c r="D12" i="88"/>
  <c r="E10" i="88"/>
  <c r="F10" i="88" s="1"/>
  <c r="G10" i="88" s="1"/>
  <c r="H10" i="88" s="1"/>
  <c r="I10" i="88" s="1"/>
  <c r="J10" i="88" s="1"/>
  <c r="K10" i="88" s="1"/>
  <c r="L10" i="88" s="1"/>
  <c r="M10" i="88" s="1"/>
  <c r="N10" i="88" s="1"/>
  <c r="O10" i="88" s="1"/>
  <c r="P10" i="88" s="1"/>
  <c r="Q10" i="88" s="1"/>
  <c r="R10" i="88" s="1"/>
  <c r="S10" i="88" s="1"/>
  <c r="D10" i="88"/>
  <c r="E8" i="88"/>
  <c r="F8" i="88" s="1"/>
  <c r="G8" i="88" s="1"/>
  <c r="H8" i="88" s="1"/>
  <c r="I8" i="88" s="1"/>
  <c r="J8" i="88" s="1"/>
  <c r="K8" i="88" s="1"/>
  <c r="L8" i="88" s="1"/>
  <c r="M8" i="88" s="1"/>
  <c r="N8" i="88" s="1"/>
  <c r="O8" i="88" s="1"/>
  <c r="P8" i="88" s="1"/>
  <c r="Q8" i="88" s="1"/>
  <c r="R8" i="88" s="1"/>
  <c r="S8" i="88" s="1"/>
  <c r="D8" i="88"/>
  <c r="E6" i="88"/>
  <c r="F6" i="88" s="1"/>
  <c r="G6" i="88" s="1"/>
  <c r="H6" i="88" s="1"/>
  <c r="I6" i="88" s="1"/>
  <c r="J6" i="88" s="1"/>
  <c r="K6" i="88" s="1"/>
  <c r="L6" i="88" s="1"/>
  <c r="M6" i="88" s="1"/>
  <c r="N6" i="88" s="1"/>
  <c r="O6" i="88" s="1"/>
  <c r="P6" i="88" s="1"/>
  <c r="Q6" i="88" s="1"/>
  <c r="R6" i="88" s="1"/>
  <c r="S6" i="88" s="1"/>
  <c r="D6" i="88"/>
  <c r="F2" i="88"/>
  <c r="S2" i="88"/>
  <c r="R2" i="88"/>
  <c r="Q2" i="88"/>
  <c r="P2" i="88"/>
  <c r="O2" i="88"/>
  <c r="N2" i="88"/>
  <c r="M2" i="88"/>
  <c r="L2" i="88"/>
  <c r="K2" i="88"/>
  <c r="J2" i="88"/>
  <c r="I2" i="88"/>
  <c r="H2" i="88"/>
  <c r="G2" i="88"/>
  <c r="C2" i="88"/>
  <c r="S194" i="83"/>
  <c r="S193" i="83"/>
  <c r="T359" i="83"/>
  <c r="T358" i="83"/>
  <c r="T287" i="83"/>
  <c r="T286" i="83"/>
  <c r="T242" i="83"/>
  <c r="T241" i="83"/>
  <c r="S113" i="83"/>
  <c r="S112" i="83"/>
  <c r="T65" i="83"/>
  <c r="T64" i="83"/>
  <c r="B26" i="31"/>
  <c r="D169" i="89" s="1"/>
  <c r="B27" i="31"/>
  <c r="D170" i="89" s="1"/>
  <c r="B28" i="31"/>
  <c r="D171" i="89" s="1"/>
  <c r="B29" i="31"/>
  <c r="D172" i="89" s="1"/>
  <c r="B30" i="31"/>
  <c r="D173" i="89" s="1"/>
  <c r="B31" i="31"/>
  <c r="D174" i="89" s="1"/>
  <c r="B32" i="31"/>
  <c r="D175" i="89" s="1"/>
  <c r="B33" i="31"/>
  <c r="D176" i="89" s="1"/>
  <c r="B34" i="31"/>
  <c r="D177" i="89" s="1"/>
  <c r="B35" i="31"/>
  <c r="D178" i="89" s="1"/>
  <c r="B36" i="31"/>
  <c r="D179" i="89" s="1"/>
  <c r="B37" i="31"/>
  <c r="D180" i="89" s="1"/>
  <c r="B38" i="31"/>
  <c r="D181" i="89" s="1"/>
  <c r="B39" i="31"/>
  <c r="D182" i="89" s="1"/>
  <c r="B40" i="31"/>
  <c r="D183" i="89" s="1"/>
  <c r="B41" i="31"/>
  <c r="D184" i="89" s="1"/>
  <c r="B42" i="31"/>
  <c r="D185" i="89" s="1"/>
  <c r="B43" i="31"/>
  <c r="D186" i="89" s="1"/>
  <c r="B44" i="31"/>
  <c r="D187" i="89" s="1"/>
  <c r="B45" i="31"/>
  <c r="D188" i="89" s="1"/>
  <c r="B46" i="31"/>
  <c r="D189" i="89" s="1"/>
  <c r="B47" i="31"/>
  <c r="D190" i="89" s="1"/>
  <c r="B48" i="31"/>
  <c r="D191" i="89" s="1"/>
  <c r="B49" i="31"/>
  <c r="D192" i="89" s="1"/>
  <c r="B50" i="31"/>
  <c r="D193" i="89" s="1"/>
  <c r="B51" i="31"/>
  <c r="D194" i="89" s="1"/>
  <c r="B52" i="31"/>
  <c r="D195" i="89" s="1"/>
  <c r="B53" i="31"/>
  <c r="D196" i="89" s="1"/>
  <c r="B54" i="31"/>
  <c r="D197" i="89" s="1"/>
  <c r="B55" i="31"/>
  <c r="D198" i="89" s="1"/>
  <c r="B56" i="31"/>
  <c r="D199" i="89" s="1"/>
  <c r="B57" i="31"/>
  <c r="D200" i="89" s="1"/>
  <c r="B58" i="31"/>
  <c r="D201" i="89" s="1"/>
  <c r="B59" i="31"/>
  <c r="D202" i="89" s="1"/>
  <c r="B60" i="31"/>
  <c r="D203" i="89" s="1"/>
  <c r="B61" i="31"/>
  <c r="D204" i="89" s="1"/>
  <c r="B62" i="31"/>
  <c r="D205" i="89" s="1"/>
  <c r="B63" i="31"/>
  <c r="D206" i="89" s="1"/>
  <c r="B64" i="31"/>
  <c r="D207" i="89" s="1"/>
  <c r="B65" i="31"/>
  <c r="D208" i="89" s="1"/>
  <c r="B66" i="31"/>
  <c r="D209" i="89" s="1"/>
  <c r="B67" i="31"/>
  <c r="D210" i="89" s="1"/>
  <c r="B68" i="31"/>
  <c r="D211" i="89" s="1"/>
  <c r="B69" i="31"/>
  <c r="D212" i="89" s="1"/>
  <c r="B70" i="31"/>
  <c r="D213" i="89" s="1"/>
  <c r="B71" i="31"/>
  <c r="D214" i="89" s="1"/>
  <c r="B72" i="31"/>
  <c r="D215" i="89" s="1"/>
  <c r="B73" i="31"/>
  <c r="D216" i="89" s="1"/>
  <c r="B74" i="31"/>
  <c r="D217" i="89" s="1"/>
  <c r="B75" i="31"/>
  <c r="D218" i="89" s="1"/>
  <c r="B76" i="31"/>
  <c r="D219" i="89" s="1"/>
  <c r="B77" i="31"/>
  <c r="D220" i="89" s="1"/>
  <c r="B78" i="31"/>
  <c r="D221" i="89" s="1"/>
  <c r="B79" i="31"/>
  <c r="D222" i="89" s="1"/>
  <c r="B80" i="31"/>
  <c r="D223" i="89" s="1"/>
  <c r="B81" i="31"/>
  <c r="D224" i="89" s="1"/>
  <c r="B82" i="31"/>
  <c r="D225" i="89" s="1"/>
  <c r="B83" i="31"/>
  <c r="D226" i="89" s="1"/>
  <c r="B84" i="31"/>
  <c r="D227" i="89" s="1"/>
  <c r="B85" i="31"/>
  <c r="D228" i="89" s="1"/>
  <c r="B86" i="31"/>
  <c r="D229" i="89" s="1"/>
  <c r="B87" i="31"/>
  <c r="D230" i="89" s="1"/>
  <c r="B88" i="31"/>
  <c r="D231" i="89" s="1"/>
  <c r="B89" i="31"/>
  <c r="D232" i="89" s="1"/>
  <c r="B90" i="31"/>
  <c r="D233" i="89" s="1"/>
  <c r="B91" i="31"/>
  <c r="D234" i="89" s="1"/>
  <c r="B92" i="31"/>
  <c r="D235" i="89" s="1"/>
  <c r="B93" i="31"/>
  <c r="D236" i="89" s="1"/>
  <c r="B94" i="31"/>
  <c r="D237" i="89" s="1"/>
  <c r="B95" i="31"/>
  <c r="D238" i="89" s="1"/>
  <c r="B96" i="31"/>
  <c r="D239" i="89" s="1"/>
  <c r="B97" i="31"/>
  <c r="D240" i="89" s="1"/>
  <c r="B98" i="31"/>
  <c r="D241" i="89" s="1"/>
  <c r="B99" i="31"/>
  <c r="D242" i="89" s="1"/>
  <c r="B100" i="31"/>
  <c r="D243" i="89" s="1"/>
  <c r="B101" i="31"/>
  <c r="D244" i="89" s="1"/>
  <c r="B102" i="31"/>
  <c r="D245" i="89" s="1"/>
  <c r="A26" i="31"/>
  <c r="C169" i="89" s="1"/>
  <c r="A27" i="31"/>
  <c r="C170" i="89" s="1"/>
  <c r="A28" i="31"/>
  <c r="C171" i="89" s="1"/>
  <c r="A29" i="31"/>
  <c r="C172" i="89" s="1"/>
  <c r="A30" i="31"/>
  <c r="C173" i="89" s="1"/>
  <c r="A31" i="31"/>
  <c r="C174" i="89" s="1"/>
  <c r="A32" i="31"/>
  <c r="C175" i="89" s="1"/>
  <c r="A33" i="31"/>
  <c r="C176" i="89" s="1"/>
  <c r="A34" i="31"/>
  <c r="C177" i="89" s="1"/>
  <c r="A35" i="31"/>
  <c r="C178" i="89" s="1"/>
  <c r="A36" i="31"/>
  <c r="C179" i="89" s="1"/>
  <c r="A37" i="31"/>
  <c r="C180" i="89" s="1"/>
  <c r="A38" i="31"/>
  <c r="C181" i="89" s="1"/>
  <c r="A39" i="31"/>
  <c r="C182" i="89" s="1"/>
  <c r="A40" i="31"/>
  <c r="C183" i="89" s="1"/>
  <c r="A41" i="31"/>
  <c r="C184" i="89" s="1"/>
  <c r="A42" i="31"/>
  <c r="C185" i="89" s="1"/>
  <c r="A43" i="31"/>
  <c r="C186" i="89" s="1"/>
  <c r="A44" i="31"/>
  <c r="C187" i="89" s="1"/>
  <c r="A45" i="31"/>
  <c r="C188" i="89" s="1"/>
  <c r="A46" i="31"/>
  <c r="C189" i="89" s="1"/>
  <c r="A47" i="31"/>
  <c r="C190" i="89" s="1"/>
  <c r="A48" i="31"/>
  <c r="C191" i="89" s="1"/>
  <c r="A49" i="31"/>
  <c r="C192" i="89" s="1"/>
  <c r="A50" i="31"/>
  <c r="C193" i="89" s="1"/>
  <c r="A51" i="31"/>
  <c r="C194" i="89" s="1"/>
  <c r="A52" i="31"/>
  <c r="C195" i="89" s="1"/>
  <c r="A53" i="31"/>
  <c r="C196" i="89" s="1"/>
  <c r="A54" i="31"/>
  <c r="C197" i="89" s="1"/>
  <c r="A55" i="31"/>
  <c r="C198" i="89" s="1"/>
  <c r="A56" i="31"/>
  <c r="C199" i="89" s="1"/>
  <c r="A57" i="31"/>
  <c r="C200" i="89" s="1"/>
  <c r="A58" i="31"/>
  <c r="C201" i="89" s="1"/>
  <c r="A59" i="31"/>
  <c r="C202" i="89" s="1"/>
  <c r="A60" i="31"/>
  <c r="C203" i="89" s="1"/>
  <c r="A61" i="31"/>
  <c r="C204" i="89" s="1"/>
  <c r="A62" i="31"/>
  <c r="C205" i="89" s="1"/>
  <c r="A63" i="31"/>
  <c r="C206" i="89" s="1"/>
  <c r="A64" i="31"/>
  <c r="C207" i="89" s="1"/>
  <c r="A65" i="31"/>
  <c r="C208" i="89" s="1"/>
  <c r="A66" i="31"/>
  <c r="C209" i="89" s="1"/>
  <c r="A67" i="31"/>
  <c r="C210" i="89" s="1"/>
  <c r="A68" i="31"/>
  <c r="C211" i="89" s="1"/>
  <c r="A69" i="31"/>
  <c r="C212" i="89" s="1"/>
  <c r="A70" i="31"/>
  <c r="C213" i="89" s="1"/>
  <c r="A71" i="31"/>
  <c r="C214" i="89" s="1"/>
  <c r="A72" i="31"/>
  <c r="C215" i="89" s="1"/>
  <c r="A73" i="31"/>
  <c r="C216" i="89" s="1"/>
  <c r="A74" i="31"/>
  <c r="C217" i="89" s="1"/>
  <c r="A75" i="31"/>
  <c r="C218" i="89" s="1"/>
  <c r="A76" i="31"/>
  <c r="C219" i="89" s="1"/>
  <c r="A77" i="31"/>
  <c r="C220" i="89" s="1"/>
  <c r="A78" i="31"/>
  <c r="C221" i="89" s="1"/>
  <c r="A79" i="31"/>
  <c r="C222" i="89" s="1"/>
  <c r="A80" i="31"/>
  <c r="C223" i="89" s="1"/>
  <c r="A81" i="31"/>
  <c r="C224" i="89" s="1"/>
  <c r="A82" i="31"/>
  <c r="C225" i="89" s="1"/>
  <c r="A83" i="31"/>
  <c r="C226" i="89" s="1"/>
  <c r="A84" i="31"/>
  <c r="C227" i="89" s="1"/>
  <c r="A85" i="31"/>
  <c r="C228" i="89" s="1"/>
  <c r="A86" i="31"/>
  <c r="C229" i="89" s="1"/>
  <c r="A87" i="31"/>
  <c r="C230" i="89" s="1"/>
  <c r="A88" i="31"/>
  <c r="C231" i="89" s="1"/>
  <c r="A89" i="31"/>
  <c r="C232" i="89" s="1"/>
  <c r="A90" i="31"/>
  <c r="C233" i="89" s="1"/>
  <c r="A91" i="31"/>
  <c r="C234" i="89" s="1"/>
  <c r="A92" i="31"/>
  <c r="C235" i="89" s="1"/>
  <c r="A93" i="31"/>
  <c r="C236" i="89" s="1"/>
  <c r="A94" i="31"/>
  <c r="C237" i="89" s="1"/>
  <c r="A95" i="31"/>
  <c r="C238" i="89" s="1"/>
  <c r="A96" i="31"/>
  <c r="C239" i="89" s="1"/>
  <c r="A97" i="31"/>
  <c r="C240" i="89" s="1"/>
  <c r="A98" i="31"/>
  <c r="C241" i="89" s="1"/>
  <c r="A99" i="31"/>
  <c r="C242" i="89" s="1"/>
  <c r="A100" i="31"/>
  <c r="C243" i="89" s="1"/>
  <c r="A101" i="31"/>
  <c r="C244" i="89" s="1"/>
  <c r="A102" i="31"/>
  <c r="C245" i="89" s="1"/>
  <c r="B25" i="31"/>
  <c r="D168" i="89" s="1"/>
  <c r="A25" i="31"/>
  <c r="C168" i="89" s="1"/>
  <c r="B24" i="31"/>
  <c r="D167" i="89" s="1"/>
  <c r="D246" i="89" s="1"/>
  <c r="A24" i="31"/>
  <c r="C167" i="89" s="1"/>
  <c r="I38" i="39"/>
  <c r="G38" i="39"/>
  <c r="E38" i="39"/>
  <c r="I5" i="39"/>
  <c r="G5" i="39"/>
  <c r="E5" i="39"/>
  <c r="D70" i="39"/>
  <c r="E70" i="39" s="1"/>
  <c r="F70" i="39" s="1"/>
  <c r="G70" i="39" s="1"/>
  <c r="H70" i="39" s="1"/>
  <c r="I70" i="39" s="1"/>
  <c r="J70" i="39" s="1"/>
  <c r="K70" i="39" s="1"/>
  <c r="L70" i="39" s="1"/>
  <c r="M70" i="39" s="1"/>
  <c r="N70" i="39" s="1"/>
  <c r="O70" i="39" s="1"/>
  <c r="I7" i="39"/>
  <c r="G7" i="39"/>
  <c r="E7" i="39"/>
  <c r="T233" i="82"/>
  <c r="S193" i="82"/>
  <c r="C33" i="21"/>
  <c r="S73" i="82"/>
  <c r="E33" i="21" s="1"/>
  <c r="K13" i="3"/>
  <c r="C31" i="35" s="1"/>
  <c r="I13" i="3"/>
  <c r="F19" i="6" s="1"/>
  <c r="F20" i="88"/>
  <c r="C183" i="88" l="1"/>
  <c r="D3" i="89"/>
  <c r="D166" i="89" s="1"/>
  <c r="D247" i="89" s="1"/>
  <c r="C103" i="88"/>
  <c r="C104" i="88"/>
  <c r="C105" i="88"/>
  <c r="C106" i="88"/>
  <c r="C107" i="88"/>
  <c r="C113" i="88"/>
  <c r="C114" i="88"/>
  <c r="C115" i="88"/>
  <c r="C116" i="88"/>
  <c r="C117" i="88"/>
  <c r="C118" i="88"/>
  <c r="C119" i="88"/>
  <c r="C120" i="88"/>
  <c r="C121" i="88"/>
  <c r="C122" i="88"/>
  <c r="C123" i="88"/>
  <c r="C124" i="88"/>
  <c r="C125" i="88"/>
  <c r="C129" i="88"/>
  <c r="C130" i="88"/>
  <c r="C131" i="88"/>
  <c r="C132" i="88"/>
  <c r="C133" i="88"/>
  <c r="C134" i="88"/>
  <c r="C135" i="88"/>
  <c r="C136" i="88"/>
  <c r="C137" i="88"/>
  <c r="C138" i="88"/>
  <c r="C139" i="88"/>
  <c r="C140" i="88"/>
  <c r="C141" i="88"/>
  <c r="C142" i="88"/>
  <c r="C143" i="88"/>
  <c r="C144" i="88"/>
  <c r="C145" i="88"/>
  <c r="C146" i="88"/>
  <c r="C147" i="88"/>
  <c r="C148" i="88"/>
  <c r="C149" i="88"/>
  <c r="C150" i="88"/>
  <c r="C151" i="88"/>
  <c r="C152" i="88"/>
  <c r="C153" i="88"/>
  <c r="C154" i="88"/>
  <c r="C155" i="88"/>
  <c r="C156" i="88"/>
  <c r="C157" i="88"/>
  <c r="C158" i="88"/>
  <c r="C159" i="88"/>
  <c r="C160" i="88"/>
  <c r="C161" i="88"/>
  <c r="C162" i="88"/>
  <c r="C163" i="88"/>
  <c r="C164" i="88"/>
  <c r="C165" i="88"/>
  <c r="C166" i="88"/>
  <c r="C167" i="88"/>
  <c r="C168" i="88"/>
  <c r="C169" i="88"/>
  <c r="C170" i="88"/>
  <c r="C171" i="88"/>
  <c r="C172" i="88"/>
  <c r="C173" i="88"/>
  <c r="C174" i="88"/>
  <c r="C175" i="88"/>
  <c r="C176" i="88"/>
  <c r="C177" i="88"/>
  <c r="C178" i="88"/>
  <c r="C179" i="88"/>
  <c r="C180" i="88"/>
  <c r="C181" i="88"/>
  <c r="C182" i="88"/>
  <c r="C184" i="88"/>
  <c r="C128" i="88"/>
  <c r="C126" i="88"/>
  <c r="C112" i="88"/>
  <c r="C108" i="88"/>
  <c r="B22" i="88"/>
  <c r="B14" i="74" s="1"/>
  <c r="G20" i="6"/>
  <c r="C60" i="88"/>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D165" i="84" l="1"/>
  <c r="D167" i="84" l="1"/>
  <c r="C88" i="9"/>
  <c r="L5" i="83"/>
  <c r="L4" i="83"/>
  <c r="A120" i="80" l="1"/>
  <c r="E111" i="80"/>
  <c r="A126" i="80" s="1"/>
  <c r="E109" i="80"/>
  <c r="A124" i="80" s="1"/>
  <c r="E107" i="80"/>
  <c r="A122" i="80" s="1"/>
  <c r="H106" i="80"/>
  <c r="H103" i="80" s="1"/>
  <c r="D120" i="80" s="1"/>
  <c r="H105" i="80"/>
  <c r="H104" i="80"/>
  <c r="D101" i="80"/>
  <c r="C101" i="80"/>
  <c r="E90" i="80"/>
  <c r="D89" i="80"/>
  <c r="C89" i="80" s="1"/>
  <c r="C87" i="80" s="1"/>
  <c r="H77" i="80"/>
  <c r="D77" i="80"/>
  <c r="C76" i="80"/>
  <c r="F59" i="80"/>
  <c r="O55" i="80" s="1"/>
  <c r="E59" i="80"/>
  <c r="F56" i="80"/>
  <c r="O54" i="80" s="1"/>
  <c r="N55" i="80"/>
  <c r="K55" i="80"/>
  <c r="J55" i="80"/>
  <c r="I55" i="80"/>
  <c r="F55" i="80" s="1"/>
  <c r="O53" i="80" s="1"/>
  <c r="N54" i="80"/>
  <c r="N53" i="80"/>
  <c r="K49" i="80"/>
  <c r="E48" i="80"/>
  <c r="N52" i="80" s="1"/>
  <c r="F33" i="80"/>
  <c r="D27" i="80"/>
  <c r="C25" i="80"/>
  <c r="C24" i="80"/>
  <c r="D17" i="80"/>
  <c r="C17" i="80"/>
  <c r="C18" i="80" s="1"/>
  <c r="D18" i="80" s="1"/>
  <c r="L4" i="80"/>
  <c r="K4" i="80"/>
  <c r="H1" i="80"/>
  <c r="H109" i="80" l="1"/>
  <c r="D124" i="80" s="1"/>
  <c r="D125" i="80" s="1"/>
  <c r="K120" i="80"/>
  <c r="D121" i="80"/>
  <c r="H110" i="80"/>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R25" i="77" l="1"/>
  <c r="D7" i="77"/>
  <c r="C26" i="77" s="1"/>
  <c r="C32" i="77"/>
  <c r="C38" i="77" s="1"/>
  <c r="C39" i="77" s="1"/>
  <c r="R19" i="77"/>
  <c r="E26" i="77"/>
  <c r="E38" i="77"/>
  <c r="E39" i="77" s="1"/>
  <c r="E29" i="77"/>
  <c r="E32" i="77" s="1"/>
  <c r="AH10" i="71"/>
  <c r="AG10" i="71"/>
  <c r="AE10" i="71"/>
  <c r="AF10" i="71" s="1"/>
  <c r="AD10" i="71"/>
  <c r="Q10" i="71"/>
  <c r="P10" i="71"/>
  <c r="O10" i="71"/>
  <c r="N10" i="71"/>
  <c r="R5" i="77" l="1"/>
  <c r="U5" i="77" s="1"/>
  <c r="C40" i="77"/>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s="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4" i="62"/>
  <c r="B60" i="72" s="1"/>
  <c r="A13" i="62"/>
  <c r="B59" i="72" s="1"/>
  <c r="A19" i="62"/>
  <c r="A12" i="62"/>
  <c r="B58" i="72" s="1"/>
  <c r="A120" i="9"/>
  <c r="A6" i="52" s="1"/>
  <c r="B57" i="72" s="1"/>
  <c r="H2" i="52"/>
  <c r="A1" i="52"/>
  <c r="A3" i="53"/>
  <c r="Q26" i="71"/>
  <c r="P26" i="71"/>
  <c r="O26" i="71"/>
  <c r="N26" i="71"/>
  <c r="A15" i="51"/>
  <c r="B12" i="72" s="1"/>
  <c r="C76" i="9"/>
  <c r="I107" i="40"/>
  <c r="K6" i="4"/>
  <c r="B22" i="31"/>
  <c r="B15" i="74" s="1"/>
  <c r="N56" i="9"/>
  <c r="K56" i="9"/>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Q40" i="71"/>
  <c r="P40" i="71"/>
  <c r="O40" i="71"/>
  <c r="N40" i="71"/>
  <c r="Q39" i="71"/>
  <c r="AB39" i="71" s="1"/>
  <c r="P39" i="71"/>
  <c r="O39" i="71"/>
  <c r="N39" i="71"/>
  <c r="X39" i="71" s="1"/>
  <c r="Q38" i="71"/>
  <c r="AB38" i="71" s="1"/>
  <c r="P38" i="71"/>
  <c r="O38" i="71"/>
  <c r="N38" i="71"/>
  <c r="X38" i="71" s="1"/>
  <c r="Q37" i="71"/>
  <c r="F38" i="71" s="1"/>
  <c r="F39" i="71" s="1"/>
  <c r="F40" i="71" s="1"/>
  <c r="V40" i="71" s="1"/>
  <c r="P37" i="71"/>
  <c r="O37" i="71"/>
  <c r="C38" i="71" s="1"/>
  <c r="D38" i="71" s="1"/>
  <c r="N37" i="71"/>
  <c r="B38" i="71" s="1"/>
  <c r="D37" i="71"/>
  <c r="Q36" i="71"/>
  <c r="P36" i="71"/>
  <c r="AA36" i="71" s="1"/>
  <c r="O36" i="71"/>
  <c r="N36" i="71"/>
  <c r="X36" i="71" s="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D33" i="71"/>
  <c r="Q32" i="71"/>
  <c r="P32" i="71"/>
  <c r="O32" i="71"/>
  <c r="N32" i="71"/>
  <c r="Q31" i="71"/>
  <c r="P31" i="71"/>
  <c r="O31" i="71"/>
  <c r="N31" i="71"/>
  <c r="Q30" i="71"/>
  <c r="P30" i="71"/>
  <c r="O30" i="71"/>
  <c r="N30" i="71"/>
  <c r="Q29" i="71"/>
  <c r="AB25" i="71" s="1"/>
  <c r="P29" i="71"/>
  <c r="O29" i="71"/>
  <c r="C30" i="71" s="1"/>
  <c r="D30" i="71" s="1"/>
  <c r="N29" i="71"/>
  <c r="D29" i="71"/>
  <c r="O28" i="71"/>
  <c r="N28" i="71"/>
  <c r="X27" i="71" s="1"/>
  <c r="B30" i="71"/>
  <c r="B31" i="71"/>
  <c r="E30" i="71"/>
  <c r="E31" i="71" s="1"/>
  <c r="E32" i="71"/>
  <c r="U32" i="71" s="1"/>
  <c r="E38" i="71"/>
  <c r="N68" i="71"/>
  <c r="C34" i="71"/>
  <c r="C35" i="71" s="1"/>
  <c r="AB37" i="71"/>
  <c r="C28" i="71"/>
  <c r="D42" i="71"/>
  <c r="C51" i="71"/>
  <c r="D51" i="71" s="1"/>
  <c r="D50" i="71"/>
  <c r="P28" i="71"/>
  <c r="E59" i="71"/>
  <c r="E60" i="71" s="1"/>
  <c r="U60" i="71" s="1"/>
  <c r="E67" i="71"/>
  <c r="E66" i="71" s="1"/>
  <c r="P66" i="71" s="1"/>
  <c r="Q28" i="71"/>
  <c r="D58" i="71"/>
  <c r="C67" i="71"/>
  <c r="C71" i="71"/>
  <c r="E71" i="71"/>
  <c r="E70" i="71"/>
  <c r="E75" i="71"/>
  <c r="E74" i="71" s="1"/>
  <c r="E79" i="71"/>
  <c r="E78" i="71" s="1"/>
  <c r="D80" i="71"/>
  <c r="C83" i="71"/>
  <c r="D83" i="71" s="1"/>
  <c r="C87" i="71"/>
  <c r="D87" i="71" s="1"/>
  <c r="F28" i="71"/>
  <c r="F27" i="71" s="1"/>
  <c r="F26" i="71" s="1"/>
  <c r="AA25" i="71"/>
  <c r="D6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Q29" i="39"/>
  <c r="Z29" i="39" s="1"/>
  <c r="D102" i="39"/>
  <c r="E102" i="39" s="1"/>
  <c r="F102" i="39" s="1"/>
  <c r="G102" i="39" s="1"/>
  <c r="F29" i="39"/>
  <c r="AA29" i="39" s="1"/>
  <c r="Q18" i="36"/>
  <c r="Z18" i="36" s="1"/>
  <c r="D66" i="36"/>
  <c r="E66" i="36" s="1"/>
  <c r="F66" i="36" s="1"/>
  <c r="H18" i="36"/>
  <c r="F18" i="36"/>
  <c r="AA18" i="36" s="1"/>
  <c r="C18" i="36"/>
  <c r="Q18" i="35"/>
  <c r="Z18" i="35" s="1"/>
  <c r="D68" i="35"/>
  <c r="E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21" i="21"/>
  <c r="AA21" i="21" s="1"/>
  <c r="D81" i="21"/>
  <c r="G20" i="20"/>
  <c r="B88" i="43" s="1"/>
  <c r="C22" i="20"/>
  <c r="C25" i="40"/>
  <c r="S18" i="36"/>
  <c r="F94" i="40"/>
  <c r="H25" i="40"/>
  <c r="G94" i="40"/>
  <c r="J25" i="40"/>
  <c r="H29" i="39"/>
  <c r="J29" i="39"/>
  <c r="AC29" i="39" s="1"/>
  <c r="G66" i="36"/>
  <c r="J18" i="36"/>
  <c r="AC18" i="36" s="1"/>
  <c r="F68" i="35"/>
  <c r="G68" i="35" s="1"/>
  <c r="H18" i="35"/>
  <c r="AB18" i="35" s="1"/>
  <c r="J18" i="35"/>
  <c r="H21" i="37"/>
  <c r="AB21" i="37" s="1"/>
  <c r="F21" i="37"/>
  <c r="S21" i="37" s="1"/>
  <c r="H21" i="34"/>
  <c r="U21" i="34" s="1"/>
  <c r="H21" i="33"/>
  <c r="F21" i="33"/>
  <c r="AA21" i="33" s="1"/>
  <c r="H1" i="69"/>
  <c r="AC25" i="40"/>
  <c r="W25" i="40"/>
  <c r="AB25" i="40"/>
  <c r="U25" i="40"/>
  <c r="W18" i="36"/>
  <c r="AA21" i="37"/>
  <c r="AB21" i="34"/>
  <c r="S21" i="33"/>
  <c r="J21" i="37"/>
  <c r="W21" i="37" s="1"/>
  <c r="J21" i="34"/>
  <c r="W21" i="34" s="1"/>
  <c r="J21" i="33"/>
  <c r="W21" i="33" s="1"/>
  <c r="F83" i="21"/>
  <c r="H21" i="21"/>
  <c r="U21" i="21" s="1"/>
  <c r="F38" i="69"/>
  <c r="E37" i="69"/>
  <c r="F36" i="69"/>
  <c r="F35" i="69"/>
  <c r="F21" i="69"/>
  <c r="F40" i="69" s="1"/>
  <c r="F20" i="69"/>
  <c r="F39" i="69" s="1"/>
  <c r="E10" i="69"/>
  <c r="E9" i="69"/>
  <c r="AC21" i="34"/>
  <c r="AB21" i="21"/>
  <c r="G83" i="21"/>
  <c r="J21" i="21"/>
  <c r="C40" i="69"/>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AZ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R501" i="31"/>
  <c r="R502" i="31"/>
  <c r="S502" i="31" s="1"/>
  <c r="R503" i="31"/>
  <c r="S503" i="31" s="1"/>
  <c r="R504" i="31"/>
  <c r="R505" i="31"/>
  <c r="S505" i="31" s="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219" i="31"/>
  <c r="S215" i="31"/>
  <c r="S211" i="31"/>
  <c r="S207" i="31"/>
  <c r="S203" i="31"/>
  <c r="S199" i="31"/>
  <c r="S195" i="31"/>
  <c r="S191" i="31"/>
  <c r="S487" i="31"/>
  <c r="S471" i="31"/>
  <c r="S444" i="31"/>
  <c r="S442" i="31"/>
  <c r="S440" i="31"/>
  <c r="S438" i="31"/>
  <c r="S436" i="31"/>
  <c r="S434" i="31"/>
  <c r="S432" i="31"/>
  <c r="S430" i="31"/>
  <c r="S504" i="31"/>
  <c r="S500" i="31"/>
  <c r="S456" i="31"/>
  <c r="S454" i="31"/>
  <c r="S452" i="31"/>
  <c r="S450"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D493" i="3"/>
  <c r="BE493" i="3"/>
  <c r="BF493" i="3"/>
  <c r="BG493" i="3"/>
  <c r="BG5" i="3" s="1"/>
  <c r="BH493" i="3"/>
  <c r="BI493" i="3"/>
  <c r="BJ493" i="3"/>
  <c r="BK493" i="3"/>
  <c r="BM493" i="3"/>
  <c r="BN493" i="3"/>
  <c r="BN5" i="3" s="1"/>
  <c r="BO493" i="3"/>
  <c r="BP493" i="3"/>
  <c r="BR493" i="3"/>
  <c r="BS493" i="3"/>
  <c r="BT493" i="3"/>
  <c r="H494" i="3"/>
  <c r="AC494" i="3"/>
  <c r="BB494" i="3"/>
  <c r="BB5" i="3" s="1"/>
  <c r="E5" i="6" s="1"/>
  <c r="BC494" i="3"/>
  <c r="BD494" i="3"/>
  <c r="BE494" i="3"/>
  <c r="BF494" i="3"/>
  <c r="BF5" i="3" s="1"/>
  <c r="BG494" i="3"/>
  <c r="BH494" i="3"/>
  <c r="BI494" i="3"/>
  <c r="BJ494" i="3"/>
  <c r="BK494" i="3"/>
  <c r="BM494" i="3"/>
  <c r="BN494" i="3"/>
  <c r="BO494" i="3"/>
  <c r="BO5"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A575" i="3" s="1"/>
  <c r="BC575" i="3"/>
  <c r="BD575" i="3"/>
  <c r="BE575" i="3"/>
  <c r="BF575" i="3"/>
  <c r="BG575" i="3"/>
  <c r="BH575" i="3"/>
  <c r="BI575" i="3"/>
  <c r="BJ575" i="3"/>
  <c r="BK575" i="3"/>
  <c r="BM575" i="3"/>
  <c r="BN575" i="3"/>
  <c r="BO575" i="3"/>
  <c r="BP575" i="3"/>
  <c r="BR575" i="3"/>
  <c r="BS575" i="3"/>
  <c r="BT575" i="3"/>
  <c r="H576" i="3"/>
  <c r="AC576" i="3"/>
  <c r="G576" i="3" s="1"/>
  <c r="BB576" i="3"/>
  <c r="BC576" i="3"/>
  <c r="BA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L579" i="3" s="1"/>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F36" i="39" s="1"/>
  <c r="J30" i="36"/>
  <c r="AC30" i="36" s="1"/>
  <c r="H30" i="36"/>
  <c r="F30" i="36"/>
  <c r="AA30" i="36" s="1"/>
  <c r="C26" i="35"/>
  <c r="C79" i="35" s="1"/>
  <c r="J31" i="35"/>
  <c r="H31" i="35"/>
  <c r="U31" i="35" s="1"/>
  <c r="F31" i="35"/>
  <c r="D87" i="35"/>
  <c r="E87" i="35" s="1"/>
  <c r="F87" i="35" s="1"/>
  <c r="G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c r="AA37" i="33" s="1"/>
  <c r="D111" i="33"/>
  <c r="E111" i="33"/>
  <c r="F111" i="33" s="1"/>
  <c r="S516" i="31"/>
  <c r="S518" i="31"/>
  <c r="S520" i="31"/>
  <c r="S522"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c r="W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J38" i="37" s="1"/>
  <c r="C23" i="37"/>
  <c r="C19" i="37"/>
  <c r="C17" i="37"/>
  <c r="C15" i="37"/>
  <c r="B112" i="37"/>
  <c r="H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F28" i="37" s="1"/>
  <c r="B84" i="37"/>
  <c r="B82" i="37"/>
  <c r="H26" i="37" s="1"/>
  <c r="AB26" i="37" s="1"/>
  <c r="D79" i="37"/>
  <c r="E79" i="37" s="1"/>
  <c r="D75" i="37"/>
  <c r="E75" i="37" s="1"/>
  <c r="F75" i="37" s="1"/>
  <c r="G75" i="37" s="1"/>
  <c r="D73" i="37"/>
  <c r="E73" i="37" s="1"/>
  <c r="F73" i="37"/>
  <c r="G73" i="37" s="1"/>
  <c r="D71" i="37"/>
  <c r="H15" i="37"/>
  <c r="AB15" i="37" s="1"/>
  <c r="B68" i="37"/>
  <c r="B66" i="37"/>
  <c r="F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F33" i="36" s="1"/>
  <c r="AA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F13" i="36" s="1"/>
  <c r="S13" i="36" s="1"/>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B77" i="35"/>
  <c r="F25" i="35" s="1"/>
  <c r="B75" i="35"/>
  <c r="J24" i="35" s="1"/>
  <c r="AC24" i="35" s="1"/>
  <c r="B73" i="35"/>
  <c r="H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54" i="43" s="1"/>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J46" i="21" s="1"/>
  <c r="B128" i="21"/>
  <c r="J45" i="21"/>
  <c r="W45" i="21" s="1"/>
  <c r="B126" i="21"/>
  <c r="H44" i="21" s="1"/>
  <c r="B98" i="21"/>
  <c r="H31" i="21" s="1"/>
  <c r="B96" i="21"/>
  <c r="B94" i="21"/>
  <c r="J29" i="21" s="1"/>
  <c r="AC29" i="21" s="1"/>
  <c r="B92" i="21"/>
  <c r="B90" i="21"/>
  <c r="J27" i="21" s="1"/>
  <c r="W27" i="21" s="1"/>
  <c r="B74" i="2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c r="AB41" i="21"/>
  <c r="S41" i="21"/>
  <c r="J44" i="39"/>
  <c r="AC44" i="39" s="1"/>
  <c r="H36" i="39"/>
  <c r="AB36" i="39" s="1"/>
  <c r="J35" i="39"/>
  <c r="AC35" i="39" s="1"/>
  <c r="F35" i="39"/>
  <c r="AA35" i="39" s="1"/>
  <c r="W40" i="39"/>
  <c r="W31" i="37"/>
  <c r="F39" i="37"/>
  <c r="F29" i="36"/>
  <c r="AA29" i="36" s="1"/>
  <c r="F16" i="36"/>
  <c r="AA16" i="36" s="1"/>
  <c r="U9" i="36"/>
  <c r="H22" i="35"/>
  <c r="AB22" i="35" s="1"/>
  <c r="AC27" i="35"/>
  <c r="W22" i="35"/>
  <c r="F36" i="34"/>
  <c r="J35" i="34"/>
  <c r="AC35" i="34" s="1"/>
  <c r="U34" i="34"/>
  <c r="H39" i="33"/>
  <c r="AB39" i="33" s="1"/>
  <c r="U35" i="33"/>
  <c r="S40" i="33"/>
  <c r="W33" i="33"/>
  <c r="H39" i="37"/>
  <c r="AB39" i="37" s="1"/>
  <c r="S27" i="35"/>
  <c r="F11" i="40"/>
  <c r="AA11" i="40" s="1"/>
  <c r="H11" i="40"/>
  <c r="AB11" i="40" s="1"/>
  <c r="AB39" i="40"/>
  <c r="AA9" i="40"/>
  <c r="U38" i="40"/>
  <c r="S38" i="40"/>
  <c r="F42" i="39"/>
  <c r="AA42" i="39" s="1"/>
  <c r="F41" i="39"/>
  <c r="S41" i="39" s="1"/>
  <c r="H40" i="39"/>
  <c r="AB40" i="39" s="1"/>
  <c r="H39" i="39"/>
  <c r="U39" i="39" s="1"/>
  <c r="S38" i="39"/>
  <c r="H34" i="39"/>
  <c r="U34" i="39" s="1"/>
  <c r="E108" i="39"/>
  <c r="F34" i="39" s="1"/>
  <c r="H31" i="39"/>
  <c r="AB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W31" i="39" s="1"/>
  <c r="J19" i="39"/>
  <c r="AC19" i="39" s="1"/>
  <c r="J17" i="39"/>
  <c r="AC17" i="39" s="1"/>
  <c r="F11" i="21"/>
  <c r="S11" i="21" s="1"/>
  <c r="S40" i="21"/>
  <c r="C25" i="39"/>
  <c r="S40" i="39"/>
  <c r="H32" i="33"/>
  <c r="AB32" i="33" s="1"/>
  <c r="H11" i="21"/>
  <c r="U11" i="21" s="1"/>
  <c r="J11" i="21"/>
  <c r="W11" i="21" s="1"/>
  <c r="H37" i="40"/>
  <c r="U37" i="40" s="1"/>
  <c r="H36" i="40"/>
  <c r="AB36" i="40" s="1"/>
  <c r="F35" i="40"/>
  <c r="AA35" i="40" s="1"/>
  <c r="H23" i="40"/>
  <c r="H17" i="40"/>
  <c r="U17" i="40" s="1"/>
  <c r="J15" i="40"/>
  <c r="W15" i="40" s="1"/>
  <c r="J11" i="40"/>
  <c r="AB12" i="35"/>
  <c r="W32" i="40"/>
  <c r="F37" i="39"/>
  <c r="AA37" i="39" s="1"/>
  <c r="U30" i="36"/>
  <c r="J30" i="35"/>
  <c r="W30" i="35" s="1"/>
  <c r="H30" i="35"/>
  <c r="AB30" i="35" s="1"/>
  <c r="F22" i="35"/>
  <c r="AA22" i="35" s="1"/>
  <c r="H10" i="35"/>
  <c r="U10" i="35" s="1"/>
  <c r="W30" i="36"/>
  <c r="H16" i="36"/>
  <c r="AB16" i="36"/>
  <c r="F85" i="36"/>
  <c r="G85" i="36" s="1"/>
  <c r="H85" i="36" s="1"/>
  <c r="I85" i="36" s="1"/>
  <c r="J85" i="36" s="1"/>
  <c r="K85" i="36" s="1"/>
  <c r="L85" i="36" s="1"/>
  <c r="M85" i="36" s="1"/>
  <c r="J29" i="36"/>
  <c r="AC29" i="36" s="1"/>
  <c r="F12" i="36"/>
  <c r="F24" i="36"/>
  <c r="AA24" i="36" s="1"/>
  <c r="F14" i="35"/>
  <c r="AA14" i="35" s="1"/>
  <c r="J32" i="35"/>
  <c r="AC32" i="35" s="1"/>
  <c r="J16" i="35"/>
  <c r="AC16" i="35" s="1"/>
  <c r="H16" i="35"/>
  <c r="U16" i="35" s="1"/>
  <c r="F16" i="35"/>
  <c r="S16" i="35" s="1"/>
  <c r="H14" i="35"/>
  <c r="AB14"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F28" i="34"/>
  <c r="AA28" i="34" s="1"/>
  <c r="F27" i="34"/>
  <c r="AA27" i="34" s="1"/>
  <c r="F25" i="34"/>
  <c r="S25" i="34" s="1"/>
  <c r="H23" i="34"/>
  <c r="J23" i="34"/>
  <c r="W23" i="34" s="1"/>
  <c r="F19" i="34"/>
  <c r="H17" i="34"/>
  <c r="U17" i="34" s="1"/>
  <c r="F15" i="34"/>
  <c r="AA15" i="34" s="1"/>
  <c r="J15" i="34"/>
  <c r="AC15" i="34" s="1"/>
  <c r="H15" i="34"/>
  <c r="AB15" i="34" s="1"/>
  <c r="W8" i="34"/>
  <c r="F41" i="33"/>
  <c r="AA41" i="33"/>
  <c r="E113" i="33"/>
  <c r="F113" i="33" s="1"/>
  <c r="G113" i="33" s="1"/>
  <c r="H113" i="33" s="1"/>
  <c r="I113" i="33" s="1"/>
  <c r="J113" i="33" s="1"/>
  <c r="K113" i="33" s="1"/>
  <c r="L113" i="33" s="1"/>
  <c r="M113" i="33" s="1"/>
  <c r="F32" i="33"/>
  <c r="AA32" i="33"/>
  <c r="J19" i="33"/>
  <c r="AC19" i="33"/>
  <c r="J15" i="33"/>
  <c r="AC15" i="33" s="1"/>
  <c r="F11" i="33"/>
  <c r="AA11" i="33" s="1"/>
  <c r="W40" i="33"/>
  <c r="F37" i="40"/>
  <c r="AA37" i="40"/>
  <c r="F36" i="40"/>
  <c r="AA36" i="40"/>
  <c r="H28" i="40"/>
  <c r="U28" i="40"/>
  <c r="F23" i="40"/>
  <c r="AA23" i="40" s="1"/>
  <c r="F17" i="40"/>
  <c r="AA17" i="40" s="1"/>
  <c r="J17" i="40"/>
  <c r="W17" i="40" s="1"/>
  <c r="F15" i="40"/>
  <c r="S15" i="40" s="1"/>
  <c r="H15" i="40"/>
  <c r="AB15" i="40" s="1"/>
  <c r="S12" i="36"/>
  <c r="AA12" i="36"/>
  <c r="AB30" i="36"/>
  <c r="H33" i="37"/>
  <c r="AB33" i="37" s="1"/>
  <c r="F33" i="37"/>
  <c r="AA33" i="37" s="1"/>
  <c r="U34" i="37"/>
  <c r="S34" i="37"/>
  <c r="AA34" i="37"/>
  <c r="J43" i="34"/>
  <c r="W43" i="34" s="1"/>
  <c r="AB42" i="34"/>
  <c r="J40" i="34"/>
  <c r="AC40" i="34" s="1"/>
  <c r="H38" i="34"/>
  <c r="AB38" i="34" s="1"/>
  <c r="J36" i="34"/>
  <c r="W36" i="34" s="1"/>
  <c r="H37" i="34"/>
  <c r="U37" i="34" s="1"/>
  <c r="H25" i="34"/>
  <c r="AB25" i="34"/>
  <c r="J25" i="34"/>
  <c r="AC25" i="34"/>
  <c r="F23" i="34"/>
  <c r="AA23" i="34" s="1"/>
  <c r="J19" i="34"/>
  <c r="AC19" i="34" s="1"/>
  <c r="F17" i="34"/>
  <c r="AA17" i="34" s="1"/>
  <c r="J17" i="34"/>
  <c r="W17" i="34" s="1"/>
  <c r="S15" i="34"/>
  <c r="S41" i="33"/>
  <c r="H37" i="33"/>
  <c r="AB37" i="33" s="1"/>
  <c r="H15" i="33"/>
  <c r="AB15" i="33" s="1"/>
  <c r="H11" i="33"/>
  <c r="AB11" i="33" s="1"/>
  <c r="F28" i="40"/>
  <c r="AA28" i="40"/>
  <c r="S42" i="34"/>
  <c r="AA38" i="34"/>
  <c r="J37" i="34"/>
  <c r="AC37" i="34" s="1"/>
  <c r="J11" i="33"/>
  <c r="W11" i="33" s="1"/>
  <c r="J42" i="21"/>
  <c r="AC42" i="21" s="1"/>
  <c r="H42" i="21"/>
  <c r="U42" i="21" s="1"/>
  <c r="J44" i="34"/>
  <c r="W44" i="34" s="1"/>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F46" i="21"/>
  <c r="AA46" i="21" s="1"/>
  <c r="H26" i="33"/>
  <c r="U26"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H27" i="21"/>
  <c r="AB27" i="21" s="1"/>
  <c r="J31" i="21"/>
  <c r="AC31" i="21" s="1"/>
  <c r="F45" i="21"/>
  <c r="AA45" i="21" s="1"/>
  <c r="F27" i="33"/>
  <c r="AA27" i="33" s="1"/>
  <c r="J13" i="33"/>
  <c r="AC13" i="33" s="1"/>
  <c r="F29" i="33"/>
  <c r="S29" i="33" s="1"/>
  <c r="J45" i="33"/>
  <c r="W45" i="33" s="1"/>
  <c r="H14" i="34"/>
  <c r="U14" i="34" s="1"/>
  <c r="J32" i="34"/>
  <c r="W32" i="34" s="1"/>
  <c r="J26" i="36"/>
  <c r="W26" i="36" s="1"/>
  <c r="H28" i="36"/>
  <c r="U28" i="36" s="1"/>
  <c r="J11" i="36"/>
  <c r="AC11" i="36" s="1"/>
  <c r="F11" i="36"/>
  <c r="AA11" i="36" s="1"/>
  <c r="J13" i="36"/>
  <c r="AC13" i="36" s="1"/>
  <c r="F89" i="37"/>
  <c r="G89" i="37" s="1"/>
  <c r="H89" i="37" s="1"/>
  <c r="I89" i="37" s="1"/>
  <c r="J89" i="37" s="1"/>
  <c r="K89" i="37" s="1"/>
  <c r="L89" i="37" s="1"/>
  <c r="M89" i="37" s="1"/>
  <c r="J29" i="37"/>
  <c r="W29" i="37" s="1"/>
  <c r="F29" i="37"/>
  <c r="S29" i="37" s="1"/>
  <c r="F105" i="37"/>
  <c r="G105" i="37" s="1"/>
  <c r="H36" i="37"/>
  <c r="AB36" i="37" s="1"/>
  <c r="J37" i="37"/>
  <c r="AC37" i="37" s="1"/>
  <c r="H37" i="37"/>
  <c r="U37" i="37" s="1"/>
  <c r="J40" i="37"/>
  <c r="AC40" i="37" s="1"/>
  <c r="AC12" i="40"/>
  <c r="H14" i="33"/>
  <c r="U14" i="33" s="1"/>
  <c r="F14" i="33"/>
  <c r="S14" i="33" s="1"/>
  <c r="J14" i="33"/>
  <c r="H30" i="33"/>
  <c r="AB30" i="33" s="1"/>
  <c r="F30" i="33"/>
  <c r="S30" i="33" s="1"/>
  <c r="J30" i="33"/>
  <c r="H44" i="33"/>
  <c r="U44" i="33" s="1"/>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H25" i="35"/>
  <c r="AB25" i="35" s="1"/>
  <c r="F35" i="35"/>
  <c r="AA35" i="35" s="1"/>
  <c r="J25" i="36"/>
  <c r="W25" i="36" s="1"/>
  <c r="H25" i="36"/>
  <c r="AB25" i="36" s="1"/>
  <c r="H13" i="37"/>
  <c r="AB13" i="37" s="1"/>
  <c r="J13" i="37"/>
  <c r="W13" i="37" s="1"/>
  <c r="J28" i="37"/>
  <c r="AC28" i="37" s="1"/>
  <c r="H38" i="37"/>
  <c r="AB38" i="37" s="1"/>
  <c r="F38" i="37"/>
  <c r="S38" i="37" s="1"/>
  <c r="J14" i="39"/>
  <c r="AC14" i="39" s="1"/>
  <c r="F14" i="39"/>
  <c r="S14" i="39" s="1"/>
  <c r="H14" i="39"/>
  <c r="AB14" i="39" s="1"/>
  <c r="F12" i="40"/>
  <c r="S12" i="40" s="1"/>
  <c r="H12" i="40"/>
  <c r="AB12" i="40" s="1"/>
  <c r="H30" i="40"/>
  <c r="AB30" i="40" s="1"/>
  <c r="J35" i="40"/>
  <c r="AC35" i="40" s="1"/>
  <c r="J37" i="40"/>
  <c r="AC37" i="40" s="1"/>
  <c r="J13" i="39"/>
  <c r="W13" i="39" s="1"/>
  <c r="H14" i="40"/>
  <c r="AB14" i="40" s="1"/>
  <c r="J14" i="40"/>
  <c r="W14" i="40" s="1"/>
  <c r="F14" i="40"/>
  <c r="AA14" i="40" s="1"/>
  <c r="J14" i="37"/>
  <c r="AC14" i="37" s="1"/>
  <c r="U31" i="34"/>
  <c r="J36" i="37"/>
  <c r="AC36" i="37" s="1"/>
  <c r="J10" i="36"/>
  <c r="AC10" i="36" s="1"/>
  <c r="AB30" i="21"/>
  <c r="S11" i="36"/>
  <c r="BA586" i="3"/>
  <c r="H17" i="21"/>
  <c r="AB17" i="21" s="1"/>
  <c r="W44" i="39"/>
  <c r="W35" i="39"/>
  <c r="U36" i="39"/>
  <c r="G544" i="3"/>
  <c r="G535" i="3"/>
  <c r="G527" i="3"/>
  <c r="G510" i="3"/>
  <c r="G496" i="3"/>
  <c r="G580" i="3"/>
  <c r="G568" i="3"/>
  <c r="G554" i="3"/>
  <c r="BL576" i="3"/>
  <c r="BL568" i="3"/>
  <c r="BL554" i="3"/>
  <c r="BL542" i="3"/>
  <c r="BL530" i="3"/>
  <c r="BL512" i="3"/>
  <c r="BL494" i="3"/>
  <c r="BL578" i="3"/>
  <c r="BL566" i="3"/>
  <c r="BL556" i="3"/>
  <c r="BL544" i="3"/>
  <c r="G533" i="3"/>
  <c r="G525" i="3"/>
  <c r="BL510" i="3"/>
  <c r="G493" i="3"/>
  <c r="BA582" i="3"/>
  <c r="BA578" i="3"/>
  <c r="AZ578" i="3" s="1"/>
  <c r="BA574" i="3"/>
  <c r="BA570" i="3"/>
  <c r="BA566" i="3"/>
  <c r="AZ566" i="3" s="1"/>
  <c r="BA562" i="3"/>
  <c r="BA556" i="3"/>
  <c r="AZ556" i="3" s="1"/>
  <c r="BA552" i="3"/>
  <c r="BA546" i="3"/>
  <c r="BA542" i="3"/>
  <c r="AZ542" i="3" s="1"/>
  <c r="BA526" i="3"/>
  <c r="BA522" i="3"/>
  <c r="BA516" i="3"/>
  <c r="BA506" i="3"/>
  <c r="BA494" i="3"/>
  <c r="BA583" i="3"/>
  <c r="BA579" i="3"/>
  <c r="BA573" i="3"/>
  <c r="BA569" i="3"/>
  <c r="BA563" i="3"/>
  <c r="BA555" i="3"/>
  <c r="BA547" i="3"/>
  <c r="BA543" i="3"/>
  <c r="BA535" i="3"/>
  <c r="BA527" i="3"/>
  <c r="BA517" i="3"/>
  <c r="BA507" i="3"/>
  <c r="BA499" i="3"/>
  <c r="G581" i="3"/>
  <c r="G573" i="3"/>
  <c r="G569" i="3"/>
  <c r="G565" i="3"/>
  <c r="BA557" i="3"/>
  <c r="AC557" i="3"/>
  <c r="G557" i="3" s="1"/>
  <c r="BQ557" i="3"/>
  <c r="BL557" i="3" s="1"/>
  <c r="BQ583" i="3"/>
  <c r="BQ581" i="3"/>
  <c r="BQ579" i="3"/>
  <c r="BQ577" i="3"/>
  <c r="BQ575" i="3"/>
  <c r="BQ573" i="3"/>
  <c r="BL573" i="3" s="1"/>
  <c r="AZ573" i="3" s="1"/>
  <c r="BQ571" i="3"/>
  <c r="BL571" i="3"/>
  <c r="BQ569" i="3"/>
  <c r="BQ567" i="3"/>
  <c r="BL567" i="3" s="1"/>
  <c r="BQ565" i="3"/>
  <c r="BQ563" i="3"/>
  <c r="BQ561" i="3"/>
  <c r="BQ559" i="3"/>
  <c r="G553" i="3"/>
  <c r="G547" i="3"/>
  <c r="G543" i="3"/>
  <c r="G537" i="3"/>
  <c r="BQ555" i="3"/>
  <c r="BQ553" i="3"/>
  <c r="BL553" i="3" s="1"/>
  <c r="BQ551" i="3"/>
  <c r="BL551" i="3"/>
  <c r="BQ549" i="3"/>
  <c r="BQ547" i="3"/>
  <c r="BL547" i="3" s="1"/>
  <c r="AZ547" i="3" s="1"/>
  <c r="BQ545" i="3"/>
  <c r="BL545" i="3"/>
  <c r="BQ543" i="3"/>
  <c r="BQ541" i="3"/>
  <c r="BL541" i="3" s="1"/>
  <c r="BQ539" i="3"/>
  <c r="BQ537" i="3"/>
  <c r="BQ535" i="3"/>
  <c r="BQ533" i="3"/>
  <c r="BQ531" i="3"/>
  <c r="BQ529" i="3"/>
  <c r="BL529" i="3"/>
  <c r="BQ527" i="3"/>
  <c r="BQ525" i="3"/>
  <c r="BL525" i="3" s="1"/>
  <c r="BQ523" i="3"/>
  <c r="AC521" i="3"/>
  <c r="BQ521" i="3"/>
  <c r="G517" i="3"/>
  <c r="BQ519" i="3"/>
  <c r="BQ517" i="3"/>
  <c r="BQ515" i="3"/>
  <c r="BQ513" i="3"/>
  <c r="BL513" i="3"/>
  <c r="BQ511" i="3"/>
  <c r="AC509" i="3"/>
  <c r="BQ509" i="3"/>
  <c r="BL509" i="3"/>
  <c r="G501" i="3"/>
  <c r="BQ507" i="3"/>
  <c r="BQ505" i="3"/>
  <c r="BL505" i="3"/>
  <c r="BQ503" i="3"/>
  <c r="BQ501" i="3"/>
  <c r="BL501" i="3" s="1"/>
  <c r="BQ499" i="3"/>
  <c r="BQ497" i="3"/>
  <c r="BL497" i="3" s="1"/>
  <c r="BQ495" i="3"/>
  <c r="BQ493" i="3"/>
  <c r="BQ5" i="3" s="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H43" i="33"/>
  <c r="AB43" i="33" s="1"/>
  <c r="H17" i="37"/>
  <c r="U17" i="37" s="1"/>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2" i="40"/>
  <c r="S32" i="40"/>
  <c r="H32" i="40"/>
  <c r="AB32" i="40"/>
  <c r="J36" i="40"/>
  <c r="W36" i="40"/>
  <c r="H19" i="37"/>
  <c r="AB19" i="37" s="1"/>
  <c r="F123" i="33"/>
  <c r="G123" i="33" s="1"/>
  <c r="H123" i="33" s="1"/>
  <c r="I123" i="33" s="1"/>
  <c r="J123" i="33" s="1"/>
  <c r="K123" i="33" s="1"/>
  <c r="L123" i="33" s="1"/>
  <c r="M123" i="33" s="1"/>
  <c r="H42" i="33"/>
  <c r="AB42" i="33" s="1"/>
  <c r="J43" i="33"/>
  <c r="AC43" i="33" s="1"/>
  <c r="U14" i="40"/>
  <c r="AB13" i="34"/>
  <c r="AC36" i="34"/>
  <c r="AC45" i="33"/>
  <c r="W44" i="33"/>
  <c r="U11" i="33"/>
  <c r="AB38" i="21"/>
  <c r="F43" i="33"/>
  <c r="AA43" i="33" s="1"/>
  <c r="W15" i="34"/>
  <c r="W40" i="37"/>
  <c r="H19" i="34"/>
  <c r="AB19" i="34" s="1"/>
  <c r="F36" i="35"/>
  <c r="S36" i="35"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U45" i="39"/>
  <c r="AB44" i="39"/>
  <c r="U44" i="39"/>
  <c r="W37" i="39"/>
  <c r="H25" i="39"/>
  <c r="AB25" i="39" s="1"/>
  <c r="J25" i="39"/>
  <c r="AC25" i="39" s="1"/>
  <c r="F25" i="39"/>
  <c r="AA25" i="39" s="1"/>
  <c r="F15" i="39"/>
  <c r="AA15" i="39" s="1"/>
  <c r="J15" i="39"/>
  <c r="W15" i="39" s="1"/>
  <c r="AB34" i="39"/>
  <c r="U40" i="39"/>
  <c r="W9" i="39"/>
  <c r="J19" i="40"/>
  <c r="AC19" i="40" s="1"/>
  <c r="J50" i="40"/>
  <c r="H103" i="9"/>
  <c r="D8" i="53" s="1"/>
  <c r="B16" i="53"/>
  <c r="B33" i="72" s="1"/>
  <c r="C7" i="34"/>
  <c r="W35" i="40"/>
  <c r="A118" i="9"/>
  <c r="A4" i="52"/>
  <c r="B41" i="72" s="1"/>
  <c r="F11" i="39"/>
  <c r="AA11" i="39" s="1"/>
  <c r="G4" i="4"/>
  <c r="I4" i="4"/>
  <c r="A2" i="9"/>
  <c r="F61" i="43"/>
  <c r="H64" i="43" s="1"/>
  <c r="AZ28" i="3"/>
  <c r="AZ32" i="3"/>
  <c r="AZ49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BL124" i="3"/>
  <c r="AZ124" i="3" s="1"/>
  <c r="G125" i="3"/>
  <c r="BA127" i="3"/>
  <c r="BL128" i="3"/>
  <c r="G129" i="3"/>
  <c r="BA131" i="3"/>
  <c r="AZ131" i="3"/>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s="1"/>
  <c r="BL160" i="3"/>
  <c r="G161" i="3"/>
  <c r="BA163" i="3"/>
  <c r="AZ163" i="3" s="1"/>
  <c r="BL164" i="3"/>
  <c r="G165" i="3"/>
  <c r="BA167" i="3"/>
  <c r="AZ167" i="3" s="1"/>
  <c r="BL168" i="3"/>
  <c r="G169" i="3"/>
  <c r="BA171" i="3"/>
  <c r="AZ171" i="3" s="1"/>
  <c r="BL172" i="3"/>
  <c r="AZ172" i="3" s="1"/>
  <c r="G173" i="3"/>
  <c r="BA175" i="3"/>
  <c r="AZ175" i="3" s="1"/>
  <c r="BL176" i="3"/>
  <c r="G177" i="3"/>
  <c r="BA179" i="3"/>
  <c r="BL180" i="3"/>
  <c r="G181" i="3"/>
  <c r="BA183" i="3"/>
  <c r="BL184" i="3"/>
  <c r="AZ184" i="3" s="1"/>
  <c r="G185" i="3"/>
  <c r="BA187" i="3"/>
  <c r="BL188" i="3"/>
  <c r="AZ188" i="3" s="1"/>
  <c r="G189" i="3"/>
  <c r="BA191" i="3"/>
  <c r="AZ191" i="3" s="1"/>
  <c r="BL192" i="3"/>
  <c r="G193" i="3"/>
  <c r="BA195" i="3"/>
  <c r="AZ195" i="3" s="1"/>
  <c r="BL196" i="3"/>
  <c r="G197" i="3"/>
  <c r="BA199" i="3"/>
  <c r="AZ199" i="3" s="1"/>
  <c r="BL200" i="3"/>
  <c r="G201" i="3"/>
  <c r="BA203" i="3"/>
  <c r="AZ203" i="3" s="1"/>
  <c r="BL204" i="3"/>
  <c r="AZ204" i="3" s="1"/>
  <c r="AZ39" i="3"/>
  <c r="AZ51" i="3"/>
  <c r="AZ75" i="3"/>
  <c r="AZ144" i="3"/>
  <c r="AZ168" i="3"/>
  <c r="AZ176" i="3"/>
  <c r="AZ200" i="3"/>
  <c r="AZ89" i="3"/>
  <c r="G534" i="3"/>
  <c r="G512" i="3"/>
  <c r="G16" i="3"/>
  <c r="G15" i="3"/>
  <c r="BA304" i="3"/>
  <c r="BA305" i="3"/>
  <c r="BL305" i="3"/>
  <c r="G306" i="3"/>
  <c r="G309" i="3"/>
  <c r="BL310" i="3"/>
  <c r="BA312" i="3"/>
  <c r="BA313" i="3"/>
  <c r="BL313" i="3"/>
  <c r="AZ313" i="3" s="1"/>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s="1"/>
  <c r="BA364" i="3"/>
  <c r="BL364" i="3"/>
  <c r="AZ364" i="3" s="1"/>
  <c r="G365" i="3"/>
  <c r="G368" i="3"/>
  <c r="BL369" i="3"/>
  <c r="BA371" i="3"/>
  <c r="BA372" i="3"/>
  <c r="BL372" i="3"/>
  <c r="G373" i="3"/>
  <c r="G376" i="3"/>
  <c r="BL377" i="3"/>
  <c r="BL379" i="3"/>
  <c r="BA381" i="3"/>
  <c r="BA382" i="3"/>
  <c r="BL382" i="3"/>
  <c r="G383" i="3"/>
  <c r="G386" i="3"/>
  <c r="BL387" i="3"/>
  <c r="BA389" i="3"/>
  <c r="AZ389" i="3" s="1"/>
  <c r="BA390" i="3"/>
  <c r="AZ390" i="3" s="1"/>
  <c r="BL390" i="3"/>
  <c r="G391" i="3"/>
  <c r="G394" i="3"/>
  <c r="AZ142" i="3"/>
  <c r="AZ166" i="3"/>
  <c r="AZ170" i="3"/>
  <c r="AZ174" i="3"/>
  <c r="AZ198" i="3"/>
  <c r="AZ202" i="3"/>
  <c r="AZ206" i="3"/>
  <c r="BA16" i="3"/>
  <c r="BL303" i="3"/>
  <c r="G304" i="3"/>
  <c r="BA306" i="3"/>
  <c r="AZ306" i="3"/>
  <c r="BL307" i="3"/>
  <c r="G308" i="3"/>
  <c r="BA310" i="3"/>
  <c r="AZ310" i="3" s="1"/>
  <c r="BL311" i="3"/>
  <c r="AZ311" i="3" s="1"/>
  <c r="G312" i="3"/>
  <c r="BA314" i="3"/>
  <c r="BL315" i="3"/>
  <c r="G316" i="3"/>
  <c r="BA318" i="3"/>
  <c r="AZ318" i="3" s="1"/>
  <c r="BL319" i="3"/>
  <c r="G320" i="3"/>
  <c r="BA322" i="3"/>
  <c r="BL323" i="3"/>
  <c r="G324" i="3"/>
  <c r="BA326" i="3"/>
  <c r="AZ326" i="3" s="1"/>
  <c r="BL327" i="3"/>
  <c r="G328" i="3"/>
  <c r="BA330" i="3"/>
  <c r="AZ330" i="3" s="1"/>
  <c r="BL331" i="3"/>
  <c r="G332" i="3"/>
  <c r="BA334" i="3"/>
  <c r="AZ334" i="3" s="1"/>
  <c r="BL335" i="3"/>
  <c r="G336" i="3"/>
  <c r="BA338" i="3"/>
  <c r="AZ338" i="3" s="1"/>
  <c r="BL339" i="3"/>
  <c r="AZ339" i="3" s="1"/>
  <c r="G340" i="3"/>
  <c r="BL343" i="3"/>
  <c r="G344" i="3"/>
  <c r="G348" i="3"/>
  <c r="G355" i="3"/>
  <c r="AZ335" i="3"/>
  <c r="G342" i="3"/>
  <c r="BL345" i="3"/>
  <c r="AZ345" i="3" s="1"/>
  <c r="G346" i="3"/>
  <c r="AZ348" i="3"/>
  <c r="BL349" i="3"/>
  <c r="AZ349" i="3" s="1"/>
  <c r="BL352" i="3"/>
  <c r="G353" i="3"/>
  <c r="BA357" i="3"/>
  <c r="AZ357" i="3" s="1"/>
  <c r="BL358" i="3"/>
  <c r="G359" i="3"/>
  <c r="BA361" i="3"/>
  <c r="AZ361" i="3"/>
  <c r="BL362" i="3"/>
  <c r="G363" i="3"/>
  <c r="BA365" i="3"/>
  <c r="BL366" i="3"/>
  <c r="AZ366" i="3" s="1"/>
  <c r="G367" i="3"/>
  <c r="BA369" i="3"/>
  <c r="AZ369" i="3" s="1"/>
  <c r="BL370" i="3"/>
  <c r="AZ370" i="3" s="1"/>
  <c r="G371" i="3"/>
  <c r="BA373" i="3"/>
  <c r="BL374" i="3"/>
  <c r="AZ374" i="3" s="1"/>
  <c r="G375" i="3"/>
  <c r="BA377" i="3"/>
  <c r="AZ377" i="3" s="1"/>
  <c r="AZ249" i="3"/>
  <c r="AZ253" i="3"/>
  <c r="AZ269" i="3"/>
  <c r="AZ273" i="3"/>
  <c r="BA379" i="3"/>
  <c r="AZ379" i="3" s="1"/>
  <c r="BL380" i="3"/>
  <c r="G381" i="3"/>
  <c r="BA383" i="3"/>
  <c r="BL384" i="3"/>
  <c r="G385" i="3"/>
  <c r="BA387" i="3"/>
  <c r="AZ387" i="3" s="1"/>
  <c r="BL388" i="3"/>
  <c r="G389" i="3"/>
  <c r="BA391" i="3"/>
  <c r="AZ391" i="3" s="1"/>
  <c r="BL392" i="3"/>
  <c r="G393" i="3"/>
  <c r="AZ275" i="3"/>
  <c r="BJ5" i="3"/>
  <c r="G548" i="3"/>
  <c r="BS5" i="3"/>
  <c r="BK5" i="3"/>
  <c r="BC5" i="3"/>
  <c r="G17" i="3"/>
  <c r="BA17" i="3"/>
  <c r="BA15" i="3"/>
  <c r="AZ380" i="3"/>
  <c r="G509" i="3"/>
  <c r="F83" i="43"/>
  <c r="H85" i="43" s="1"/>
  <c r="F50" i="43"/>
  <c r="H54" i="43" s="1"/>
  <c r="F72" i="43"/>
  <c r="H75" i="43" s="1"/>
  <c r="U35" i="21"/>
  <c r="G8" i="1"/>
  <c r="G10" i="1"/>
  <c r="W37" i="37"/>
  <c r="AC44" i="34"/>
  <c r="S15" i="37"/>
  <c r="U13" i="37"/>
  <c r="AA12" i="40"/>
  <c r="J37" i="33"/>
  <c r="W37" i="33" s="1"/>
  <c r="AC17" i="34"/>
  <c r="J34" i="33"/>
  <c r="W34" i="33" s="1"/>
  <c r="F33" i="34"/>
  <c r="S33" i="34" s="1"/>
  <c r="H20" i="36"/>
  <c r="U20" i="36" s="1"/>
  <c r="J20" i="36"/>
  <c r="W20" i="36" s="1"/>
  <c r="J27" i="36"/>
  <c r="W27" i="36" s="1"/>
  <c r="H35" i="40"/>
  <c r="AB35" i="40" s="1"/>
  <c r="H35" i="37"/>
  <c r="U35" i="37" s="1"/>
  <c r="H20" i="35"/>
  <c r="U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48" i="3"/>
  <c r="AZ251" i="3"/>
  <c r="AZ271" i="3"/>
  <c r="AZ296" i="3"/>
  <c r="AZ114" i="3"/>
  <c r="AZ31" i="3"/>
  <c r="AZ33" i="3"/>
  <c r="AZ37" i="3"/>
  <c r="AZ50" i="3"/>
  <c r="AZ53" i="3"/>
  <c r="F23" i="39"/>
  <c r="AA23" i="39" s="1"/>
  <c r="H27" i="36"/>
  <c r="U27" i="36" s="1"/>
  <c r="F27" i="36"/>
  <c r="AA27" i="36" s="1"/>
  <c r="H33" i="34"/>
  <c r="U33" i="34" s="1"/>
  <c r="F32" i="37"/>
  <c r="AA32" i="37" s="1"/>
  <c r="F20" i="36"/>
  <c r="AA20" i="36" s="1"/>
  <c r="J33" i="34"/>
  <c r="AC33" i="34" s="1"/>
  <c r="H23" i="39"/>
  <c r="U23" i="39" s="1"/>
  <c r="K9" i="1"/>
  <c r="M9" i="1" s="1"/>
  <c r="W26" i="33"/>
  <c r="AC27" i="34"/>
  <c r="AB34" i="36"/>
  <c r="AC12" i="39"/>
  <c r="AC39" i="40"/>
  <c r="AZ401" i="3"/>
  <c r="AZ412" i="3"/>
  <c r="W12" i="33"/>
  <c r="AZ408" i="3"/>
  <c r="AZ473" i="3"/>
  <c r="BL14" i="3"/>
  <c r="U30" i="33"/>
  <c r="AC13" i="34"/>
  <c r="AA47" i="34"/>
  <c r="S19" i="39"/>
  <c r="F12" i="33"/>
  <c r="AA12" i="33" s="1"/>
  <c r="H12" i="39"/>
  <c r="AB12" i="39" s="1"/>
  <c r="F39" i="40"/>
  <c r="AA39" i="40" s="1"/>
  <c r="BA14" i="3"/>
  <c r="AZ14" i="3"/>
  <c r="AZ250" i="3"/>
  <c r="AZ165" i="3"/>
  <c r="AZ197" i="3"/>
  <c r="AZ26" i="3"/>
  <c r="AZ35" i="3"/>
  <c r="B12" i="1"/>
  <c r="E12" i="1" s="1"/>
  <c r="B10" i="1"/>
  <c r="E10" i="1" s="1"/>
  <c r="AZ80" i="3"/>
  <c r="K12" i="1"/>
  <c r="M12" i="1" s="1"/>
  <c r="S13" i="1"/>
  <c r="AR13" i="1" s="1"/>
  <c r="R13" i="1"/>
  <c r="J51" i="67"/>
  <c r="AC34" i="33"/>
  <c r="AA34" i="33"/>
  <c r="S35" i="40"/>
  <c r="AC36" i="40"/>
  <c r="W38" i="40"/>
  <c r="AA32" i="40"/>
  <c r="S23" i="40"/>
  <c r="AC17" i="40"/>
  <c r="AC15" i="40"/>
  <c r="S30" i="40"/>
  <c r="S28" i="40"/>
  <c r="F32" i="39"/>
  <c r="AA32" i="39" s="1"/>
  <c r="U25" i="39"/>
  <c r="U31" i="39"/>
  <c r="J21" i="39"/>
  <c r="W21" i="39" s="1"/>
  <c r="F21" i="39"/>
  <c r="AA21" i="39" s="1"/>
  <c r="H21" i="39"/>
  <c r="AB21" i="39" s="1"/>
  <c r="W19" i="39"/>
  <c r="S15" i="39"/>
  <c r="U14" i="39"/>
  <c r="AA26" i="36"/>
  <c r="AC26" i="36"/>
  <c r="AB14" i="36"/>
  <c r="S16" i="36"/>
  <c r="AB20" i="36"/>
  <c r="U16" i="36"/>
  <c r="S14" i="36"/>
  <c r="AB13" i="35"/>
  <c r="U32" i="35"/>
  <c r="AA33" i="35"/>
  <c r="S32" i="35"/>
  <c r="AC20" i="35"/>
  <c r="AC9" i="35"/>
  <c r="W9" i="35"/>
  <c r="F9" i="35"/>
  <c r="S9" i="35" s="1"/>
  <c r="H9" i="35"/>
  <c r="U9" i="35" s="1"/>
  <c r="S26" i="37"/>
  <c r="AC29" i="37"/>
  <c r="U29" i="37"/>
  <c r="AB31" i="37"/>
  <c r="W30" i="37"/>
  <c r="S36" i="37"/>
  <c r="U32" i="37"/>
  <c r="W39" i="37"/>
  <c r="S30" i="37"/>
  <c r="S37" i="37"/>
  <c r="AC15" i="37"/>
  <c r="J17" i="37"/>
  <c r="W17" i="37" s="1"/>
  <c r="F17" i="37"/>
  <c r="AA17" i="37" s="1"/>
  <c r="F19" i="37"/>
  <c r="AA19" i="37" s="1"/>
  <c r="F79" i="37"/>
  <c r="G79" i="37" s="1"/>
  <c r="F23" i="37"/>
  <c r="S23" i="37" s="1"/>
  <c r="U23" i="37"/>
  <c r="AC13" i="37"/>
  <c r="H10" i="37"/>
  <c r="AB10" i="37" s="1"/>
  <c r="F11" i="37"/>
  <c r="S11" i="37" s="1"/>
  <c r="S27" i="34"/>
  <c r="W25" i="34"/>
  <c r="AA33" i="34"/>
  <c r="U44" i="34"/>
  <c r="U43" i="34"/>
  <c r="AC42" i="34"/>
  <c r="S43" i="34"/>
  <c r="AA45" i="34"/>
  <c r="S17" i="34"/>
  <c r="U27" i="34"/>
  <c r="S23" i="34"/>
  <c r="U15" i="34"/>
  <c r="H10" i="34"/>
  <c r="AB10" i="34" s="1"/>
  <c r="F11" i="34"/>
  <c r="S11" i="34" s="1"/>
  <c r="F70" i="34"/>
  <c r="G70" i="34" s="1"/>
  <c r="H70" i="34" s="1"/>
  <c r="I70" i="34" s="1"/>
  <c r="J70" i="34" s="1"/>
  <c r="K70" i="34" s="1"/>
  <c r="L70" i="34" s="1"/>
  <c r="M70" i="34" s="1"/>
  <c r="S27" i="33"/>
  <c r="S32" i="33"/>
  <c r="W38" i="33"/>
  <c r="H41" i="33"/>
  <c r="U41" i="33" s="1"/>
  <c r="S42" i="33"/>
  <c r="F36" i="33"/>
  <c r="AA36" i="33" s="1"/>
  <c r="G111" i="33"/>
  <c r="J35" i="33"/>
  <c r="AC35" i="33" s="1"/>
  <c r="S37" i="33"/>
  <c r="S39" i="33"/>
  <c r="F101" i="33"/>
  <c r="G101" i="33" s="1"/>
  <c r="H101" i="33" s="1"/>
  <c r="I101" i="33" s="1"/>
  <c r="J101" i="33" s="1"/>
  <c r="K101" i="33" s="1"/>
  <c r="L101" i="33" s="1"/>
  <c r="M101" i="33" s="1"/>
  <c r="J32" i="33"/>
  <c r="AC32" i="33" s="1"/>
  <c r="S43" i="33"/>
  <c r="F91" i="33"/>
  <c r="G91" i="33" s="1"/>
  <c r="H91" i="33" s="1"/>
  <c r="I91" i="33" s="1"/>
  <c r="J91" i="33" s="1"/>
  <c r="K91" i="33" s="1"/>
  <c r="L91" i="33" s="1"/>
  <c r="M91" i="33" s="1"/>
  <c r="H27" i="33"/>
  <c r="U27" i="33" s="1"/>
  <c r="H25" i="33"/>
  <c r="AB25" i="33" s="1"/>
  <c r="F25" i="33"/>
  <c r="S25" i="33" s="1"/>
  <c r="J23" i="33"/>
  <c r="W23" i="33" s="1"/>
  <c r="F85" i="33"/>
  <c r="H23" i="33"/>
  <c r="U23" i="33" s="1"/>
  <c r="F19" i="33"/>
  <c r="S19" i="33" s="1"/>
  <c r="W19" i="33"/>
  <c r="J17" i="33"/>
  <c r="W17" i="33" s="1"/>
  <c r="S15" i="33"/>
  <c r="W15" i="33"/>
  <c r="U9" i="33"/>
  <c r="J10" i="33"/>
  <c r="W10" i="33" s="1"/>
  <c r="H10" i="33"/>
  <c r="U10" i="33" s="1"/>
  <c r="AC11" i="33"/>
  <c r="AB14" i="33"/>
  <c r="W41" i="21"/>
  <c r="AA38" i="21"/>
  <c r="AA36" i="21"/>
  <c r="F77" i="21"/>
  <c r="G77"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G1" i="68"/>
  <c r="K1" i="12"/>
  <c r="E19" i="69"/>
  <c r="E19" i="68"/>
  <c r="E19" i="11"/>
  <c r="E1" i="73"/>
  <c r="G22" i="69"/>
  <c r="G22" i="68"/>
  <c r="G26" i="12"/>
  <c r="G22" i="11"/>
  <c r="C6" i="43"/>
  <c r="B19" i="53"/>
  <c r="B37" i="72" s="1"/>
  <c r="C7" i="35"/>
  <c r="C7" i="21"/>
  <c r="M47" i="9"/>
  <c r="A4" i="51"/>
  <c r="B6" i="72" s="1"/>
  <c r="H67" i="43"/>
  <c r="L20" i="6"/>
  <c r="B6" i="1"/>
  <c r="E6" i="1" s="1"/>
  <c r="K11" i="1"/>
  <c r="M11" i="1" s="1"/>
  <c r="O11" i="1" s="1"/>
  <c r="B9" i="1"/>
  <c r="E9" i="1" s="1"/>
  <c r="K7" i="1"/>
  <c r="M7" i="1" s="1"/>
  <c r="O7" i="1" s="1"/>
  <c r="P7" i="1" s="1"/>
  <c r="G1" i="15"/>
  <c r="G1" i="69"/>
  <c r="G1" i="67"/>
  <c r="U32" i="40"/>
  <c r="S37" i="40"/>
  <c r="AB28" i="40"/>
  <c r="W28" i="40"/>
  <c r="W34" i="40"/>
  <c r="W19" i="40"/>
  <c r="S36" i="40"/>
  <c r="W37" i="40"/>
  <c r="AA15" i="40"/>
  <c r="U11" i="40"/>
  <c r="U15" i="40"/>
  <c r="AB17" i="40"/>
  <c r="U8" i="40"/>
  <c r="S8" i="40"/>
  <c r="AA14" i="39"/>
  <c r="W17" i="39"/>
  <c r="AC31" i="39"/>
  <c r="W34" i="39"/>
  <c r="S8" i="39"/>
  <c r="AC25" i="36"/>
  <c r="AC20" i="36"/>
  <c r="U25" i="36"/>
  <c r="AA13" i="36"/>
  <c r="S9" i="36"/>
  <c r="S35" i="35"/>
  <c r="W36" i="37"/>
  <c r="W32" i="37"/>
  <c r="U38" i="37"/>
  <c r="AC34" i="37"/>
  <c r="AB35" i="37"/>
  <c r="AA31" i="37"/>
  <c r="AA29" i="37"/>
  <c r="AA40" i="34"/>
  <c r="AB40" i="34"/>
  <c r="U19" i="34"/>
  <c r="AB33" i="34"/>
  <c r="AB45" i="34"/>
  <c r="U25" i="34"/>
  <c r="AB36" i="34"/>
  <c r="AC32" i="34"/>
  <c r="AC29" i="34"/>
  <c r="W29" i="34"/>
  <c r="AA32" i="34"/>
  <c r="U38" i="34"/>
  <c r="W40" i="34"/>
  <c r="AA19" i="34"/>
  <c r="S19" i="34"/>
  <c r="AA36" i="34"/>
  <c r="S36" i="34"/>
  <c r="S8" i="34"/>
  <c r="AC43" i="34"/>
  <c r="AC23" i="34"/>
  <c r="W35" i="34"/>
  <c r="AC37" i="33"/>
  <c r="W46" i="33"/>
  <c r="U38" i="33"/>
  <c r="AB34" i="33"/>
  <c r="AB44" i="33"/>
  <c r="AA30" i="33"/>
  <c r="AC14" i="33"/>
  <c r="W14" i="33"/>
  <c r="AC30" i="33"/>
  <c r="W30" i="33"/>
  <c r="W13" i="33"/>
  <c r="U15" i="33"/>
  <c r="S11" i="33"/>
  <c r="W9" i="33"/>
  <c r="W8" i="33"/>
  <c r="F33" i="21"/>
  <c r="AA33" i="21" s="1"/>
  <c r="J33" i="21"/>
  <c r="AC33" i="21" s="1"/>
  <c r="H33" i="21"/>
  <c r="AB33" i="21" s="1"/>
  <c r="AA26" i="21"/>
  <c r="AB14" i="21"/>
  <c r="U40" i="21"/>
  <c r="S35" i="21"/>
  <c r="AC19" i="21"/>
  <c r="AC14" i="21"/>
  <c r="W30" i="21"/>
  <c r="S46" i="21"/>
  <c r="H45" i="21"/>
  <c r="U45" i="21" s="1"/>
  <c r="AC38" i="21"/>
  <c r="J9" i="21"/>
  <c r="W9" i="21" s="1"/>
  <c r="F32" i="21"/>
  <c r="AA32" i="21" s="1"/>
  <c r="S19" i="21"/>
  <c r="AA9" i="21"/>
  <c r="W42" i="21"/>
  <c r="F10" i="21"/>
  <c r="AA10" i="21" s="1"/>
  <c r="W25" i="21"/>
  <c r="AC26" i="21"/>
  <c r="S28" i="21"/>
  <c r="AC34" i="21"/>
  <c r="C17" i="40"/>
  <c r="U30" i="40"/>
  <c r="B56" i="43"/>
  <c r="B51" i="43"/>
  <c r="B58" i="43"/>
  <c r="B69" i="43"/>
  <c r="D23" i="15"/>
  <c r="D22" i="15"/>
  <c r="E4" i="4"/>
  <c r="B5" i="62" s="1"/>
  <c r="B73" i="72" s="1"/>
  <c r="C4" i="4"/>
  <c r="S12" i="33"/>
  <c r="J32" i="39"/>
  <c r="AC32" i="39" s="1"/>
  <c r="H32" i="39"/>
  <c r="AB32" i="39" s="1"/>
  <c r="S32" i="39"/>
  <c r="J19" i="37"/>
  <c r="W19" i="37" s="1"/>
  <c r="S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AB27" i="33"/>
  <c r="J27" i="33"/>
  <c r="AC27" i="33" s="1"/>
  <c r="U25" i="33"/>
  <c r="AA25" i="33"/>
  <c r="J25" i="33"/>
  <c r="AC25" i="33" s="1"/>
  <c r="AB23" i="33"/>
  <c r="F23" i="33"/>
  <c r="AA23" i="33" s="1"/>
  <c r="G85" i="33"/>
  <c r="AC23" i="33"/>
  <c r="AA19" i="33"/>
  <c r="H19" i="33"/>
  <c r="U19" i="33" s="1"/>
  <c r="H17" i="33"/>
  <c r="U17" i="33" s="1"/>
  <c r="F17" i="33"/>
  <c r="S17" i="33" s="1"/>
  <c r="AC17" i="33"/>
  <c r="J23" i="21"/>
  <c r="W23" i="21" s="1"/>
  <c r="AP7" i="1"/>
  <c r="U32" i="39"/>
  <c r="W32" i="39"/>
  <c r="AC19" i="37"/>
  <c r="AC23" i="37"/>
  <c r="J11" i="37"/>
  <c r="AC11" i="37" s="1"/>
  <c r="J11" i="34"/>
  <c r="W11" i="34" s="1"/>
  <c r="AB36" i="33"/>
  <c r="W27" i="33"/>
  <c r="W25" i="33"/>
  <c r="AB19" i="33"/>
  <c r="AA17" i="33"/>
  <c r="H109" i="9"/>
  <c r="AD3" i="71"/>
  <c r="J1" i="7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9" i="71"/>
  <c r="E10" i="76"/>
  <c r="E8" i="76"/>
  <c r="E2" i="69"/>
  <c r="B12" i="76"/>
  <c r="M9" i="15"/>
  <c r="J15" i="15"/>
  <c r="F26" i="67"/>
  <c r="F5" i="73"/>
  <c r="AO13" i="1"/>
  <c r="M22" i="67"/>
  <c r="B10" i="76"/>
  <c r="D7" i="73"/>
  <c r="B8" i="76"/>
  <c r="E7" i="76"/>
  <c r="F16" i="67"/>
  <c r="F37" i="15"/>
  <c r="M24" i="67"/>
  <c r="F13" i="67"/>
  <c r="F43" i="15"/>
  <c r="F6" i="73"/>
  <c r="F16" i="15"/>
  <c r="F7" i="73"/>
  <c r="F4" i="73"/>
  <c r="D6" i="73"/>
  <c r="B7" i="76"/>
  <c r="B13" i="76"/>
  <c r="M23" i="67"/>
  <c r="B11" i="76"/>
  <c r="M24" i="15"/>
  <c r="F20" i="31"/>
  <c r="E13" i="76"/>
  <c r="E2" i="68"/>
  <c r="F3" i="73"/>
  <c r="D4" i="73"/>
  <c r="M6" i="15"/>
  <c r="D5" i="73"/>
  <c r="F9" i="15"/>
  <c r="E12" i="76"/>
  <c r="E11" i="76"/>
  <c r="D3" i="73"/>
  <c r="E9" i="76"/>
  <c r="B9" i="76"/>
  <c r="F36" i="67"/>
  <c r="H69" i="43" l="1"/>
  <c r="AB31" i="35"/>
  <c r="W46" i="21"/>
  <c r="AC46" i="21"/>
  <c r="S13" i="37"/>
  <c r="AA13" i="37"/>
  <c r="AA28" i="37"/>
  <c r="S28" i="37"/>
  <c r="AC38" i="37"/>
  <c r="W38" i="37"/>
  <c r="AA31" i="39"/>
  <c r="S31" i="39"/>
  <c r="S36" i="39"/>
  <c r="AA36" i="39"/>
  <c r="AZ572" i="3"/>
  <c r="U23" i="35"/>
  <c r="AB23" i="35"/>
  <c r="S25" i="35"/>
  <c r="AA25" i="35"/>
  <c r="AC35" i="35"/>
  <c r="W35" i="35"/>
  <c r="AZ560" i="3"/>
  <c r="AZ518" i="3"/>
  <c r="AZ500" i="3"/>
  <c r="K141" i="21"/>
  <c r="K143" i="21"/>
  <c r="K144" i="21"/>
  <c r="K145" i="21"/>
  <c r="AZ331" i="3"/>
  <c r="AZ552" i="3"/>
  <c r="AZ582" i="3"/>
  <c r="D18" i="71"/>
  <c r="S23" i="33"/>
  <c r="H23" i="21"/>
  <c r="AB23" i="21" s="1"/>
  <c r="S17" i="37"/>
  <c r="S39" i="40"/>
  <c r="B65" i="43"/>
  <c r="C21" i="40"/>
  <c r="C19" i="39"/>
  <c r="AC27" i="21"/>
  <c r="W31" i="21"/>
  <c r="AC45" i="21"/>
  <c r="J32" i="21"/>
  <c r="W32" i="21" s="1"/>
  <c r="H32" i="21"/>
  <c r="W39" i="21"/>
  <c r="J17" i="21"/>
  <c r="AC17" i="21" s="1"/>
  <c r="U13" i="21"/>
  <c r="AB46" i="21"/>
  <c r="U37" i="33"/>
  <c r="S31" i="33"/>
  <c r="S33" i="33"/>
  <c r="U39" i="33"/>
  <c r="AB14" i="34"/>
  <c r="AB30" i="34"/>
  <c r="AC46" i="34"/>
  <c r="W33" i="34"/>
  <c r="AA31" i="34"/>
  <c r="U36" i="37"/>
  <c r="AC25" i="35"/>
  <c r="W22" i="36"/>
  <c r="W29" i="36"/>
  <c r="S20" i="36"/>
  <c r="U38" i="39"/>
  <c r="AB39" i="39"/>
  <c r="W25" i="39"/>
  <c r="AC14" i="40"/>
  <c r="W23" i="40"/>
  <c r="F23" i="21"/>
  <c r="AB39" i="21"/>
  <c r="W43" i="21"/>
  <c r="W43" i="33"/>
  <c r="AA35" i="33"/>
  <c r="AA25" i="34"/>
  <c r="AB41" i="34"/>
  <c r="U39" i="34"/>
  <c r="AC39" i="34"/>
  <c r="AB8" i="34"/>
  <c r="U15" i="37"/>
  <c r="AA38" i="37"/>
  <c r="S32" i="37"/>
  <c r="U14" i="35"/>
  <c r="U22" i="35"/>
  <c r="U24" i="36"/>
  <c r="U22" i="36"/>
  <c r="W14" i="36"/>
  <c r="U26" i="36"/>
  <c r="AC13" i="39"/>
  <c r="S9" i="39"/>
  <c r="U19" i="39"/>
  <c r="S37" i="39"/>
  <c r="U21" i="40"/>
  <c r="S17" i="40"/>
  <c r="U35" i="40"/>
  <c r="AB37" i="40"/>
  <c r="F20" i="35"/>
  <c r="AA20" i="35" s="1"/>
  <c r="U12" i="40"/>
  <c r="AC35" i="21"/>
  <c r="U17" i="39"/>
  <c r="AZ322" i="3"/>
  <c r="AZ372" i="3"/>
  <c r="AZ329" i="3"/>
  <c r="AZ320" i="3"/>
  <c r="AZ305" i="3"/>
  <c r="AZ187" i="3"/>
  <c r="AZ343" i="3"/>
  <c r="AZ341" i="3"/>
  <c r="AZ327" i="3"/>
  <c r="AZ325" i="3"/>
  <c r="AZ309" i="3"/>
  <c r="J11" i="39"/>
  <c r="W11" i="39" s="1"/>
  <c r="H41" i="39"/>
  <c r="AB41" i="39" s="1"/>
  <c r="H15" i="39"/>
  <c r="U15" i="39" s="1"/>
  <c r="H37" i="39"/>
  <c r="AC43" i="39"/>
  <c r="J9" i="37"/>
  <c r="W9" i="37" s="1"/>
  <c r="U26" i="37"/>
  <c r="U39" i="37"/>
  <c r="W23" i="35"/>
  <c r="H31" i="40"/>
  <c r="F31" i="40"/>
  <c r="H28" i="34"/>
  <c r="AB28" i="34" s="1"/>
  <c r="BL495" i="3"/>
  <c r="BL499" i="3"/>
  <c r="AZ499" i="3" s="1"/>
  <c r="BL517" i="3"/>
  <c r="AZ517" i="3" s="1"/>
  <c r="BL533" i="3"/>
  <c r="BL543" i="3"/>
  <c r="AZ543" i="3" s="1"/>
  <c r="BL555" i="3"/>
  <c r="AZ555" i="3" s="1"/>
  <c r="BL569" i="3"/>
  <c r="AZ569" i="3" s="1"/>
  <c r="BL575" i="3"/>
  <c r="BL583" i="3"/>
  <c r="AZ583" i="3" s="1"/>
  <c r="S35" i="39"/>
  <c r="J41" i="39"/>
  <c r="W41" i="39" s="1"/>
  <c r="F17" i="21"/>
  <c r="W31" i="34"/>
  <c r="AA14" i="33"/>
  <c r="AA44" i="33"/>
  <c r="H43" i="39"/>
  <c r="H28" i="37"/>
  <c r="H35" i="35"/>
  <c r="H13" i="36"/>
  <c r="F46" i="34"/>
  <c r="J30" i="34"/>
  <c r="J14" i="34"/>
  <c r="W14" i="34" s="1"/>
  <c r="H31" i="33"/>
  <c r="J29" i="33"/>
  <c r="F31" i="21"/>
  <c r="F27" i="21"/>
  <c r="AA27" i="21" s="1"/>
  <c r="J13" i="21"/>
  <c r="S38" i="33"/>
  <c r="S35" i="34"/>
  <c r="F23" i="35"/>
  <c r="F34" i="36"/>
  <c r="J34" i="36"/>
  <c r="W34" i="36" s="1"/>
  <c r="AB8" i="39"/>
  <c r="H11" i="39"/>
  <c r="U34" i="21"/>
  <c r="W31" i="40"/>
  <c r="W39" i="33"/>
  <c r="F26" i="33"/>
  <c r="U31" i="36"/>
  <c r="W25" i="37"/>
  <c r="J36" i="39"/>
  <c r="AC36" i="39" s="1"/>
  <c r="J45" i="39"/>
  <c r="W45" i="39" s="1"/>
  <c r="H43" i="21"/>
  <c r="AB43" i="21" s="1"/>
  <c r="F43" i="21"/>
  <c r="S43" i="21" s="1"/>
  <c r="AC41" i="33"/>
  <c r="F12" i="35"/>
  <c r="S12" i="35" s="1"/>
  <c r="J26" i="37"/>
  <c r="H40" i="40"/>
  <c r="G570" i="3"/>
  <c r="G566" i="3"/>
  <c r="G563" i="3"/>
  <c r="G560" i="3"/>
  <c r="G559" i="3"/>
  <c r="G526" i="3"/>
  <c r="G14" i="3"/>
  <c r="G398" i="3"/>
  <c r="G400" i="3"/>
  <c r="BL403" i="3"/>
  <c r="G404" i="3"/>
  <c r="G407" i="3"/>
  <c r="G410" i="3"/>
  <c r="G412" i="3"/>
  <c r="BA414" i="3"/>
  <c r="AZ414" i="3" s="1"/>
  <c r="BL414" i="3"/>
  <c r="BA415" i="3"/>
  <c r="AZ415" i="3" s="1"/>
  <c r="BA417" i="3"/>
  <c r="BL417" i="3"/>
  <c r="G420" i="3"/>
  <c r="BA421" i="3"/>
  <c r="BL421" i="3"/>
  <c r="BA423" i="3"/>
  <c r="AZ423" i="3" s="1"/>
  <c r="BL423" i="3"/>
  <c r="BA424" i="3"/>
  <c r="AZ424" i="3" s="1"/>
  <c r="BL426" i="3"/>
  <c r="G427" i="3"/>
  <c r="G429" i="3"/>
  <c r="BA430" i="3"/>
  <c r="BL430" i="3"/>
  <c r="BA431" i="3"/>
  <c r="AZ431" i="3" s="1"/>
  <c r="BA433" i="3"/>
  <c r="BL433" i="3"/>
  <c r="G436" i="3"/>
  <c r="BL437" i="3"/>
  <c r="G438" i="3"/>
  <c r="BL439" i="3"/>
  <c r="G440" i="3"/>
  <c r="G442" i="3"/>
  <c r="G446" i="3"/>
  <c r="G448" i="3"/>
  <c r="BA449" i="3"/>
  <c r="BL449" i="3"/>
  <c r="G452" i="3"/>
  <c r="BA453" i="3"/>
  <c r="BL453" i="3"/>
  <c r="BA455" i="3"/>
  <c r="BL455" i="3"/>
  <c r="BA456" i="3"/>
  <c r="AZ456" i="3" s="1"/>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G475" i="3"/>
  <c r="BA476" i="3"/>
  <c r="BL476" i="3"/>
  <c r="BA478" i="3"/>
  <c r="AZ478" i="3" s="1"/>
  <c r="BL478" i="3"/>
  <c r="BA479" i="3"/>
  <c r="AZ479" i="3" s="1"/>
  <c r="BA481" i="3"/>
  <c r="AZ481" i="3" s="1"/>
  <c r="BL483" i="3"/>
  <c r="G484" i="3"/>
  <c r="G487" i="3"/>
  <c r="G489" i="3"/>
  <c r="BL490" i="3"/>
  <c r="G491" i="3"/>
  <c r="BA492" i="3"/>
  <c r="BL492" i="3"/>
  <c r="G307" i="3"/>
  <c r="BL308" i="3"/>
  <c r="AZ308" i="3" s="1"/>
  <c r="G311" i="3"/>
  <c r="BL312" i="3"/>
  <c r="AZ312" i="3" s="1"/>
  <c r="BA315" i="3"/>
  <c r="AZ315" i="3" s="1"/>
  <c r="BA317" i="3"/>
  <c r="BL317" i="3"/>
  <c r="G323" i="3"/>
  <c r="BL324" i="3"/>
  <c r="AZ324" i="3" s="1"/>
  <c r="AB21" i="33"/>
  <c r="U21" i="33"/>
  <c r="W18" i="35"/>
  <c r="AC18" i="35"/>
  <c r="AB18" i="36"/>
  <c r="U18" i="36"/>
  <c r="AA25" i="40"/>
  <c r="S25" i="40"/>
  <c r="AZ545" i="3"/>
  <c r="AZ553" i="3"/>
  <c r="AZ522" i="3"/>
  <c r="AZ546" i="3"/>
  <c r="AZ562" i="3"/>
  <c r="AZ570" i="3"/>
  <c r="BA332" i="3"/>
  <c r="AZ332" i="3" s="1"/>
  <c r="G343" i="3"/>
  <c r="G345" i="3"/>
  <c r="G351" i="3"/>
  <c r="BA352" i="3"/>
  <c r="AZ352" i="3" s="1"/>
  <c r="BA354" i="3"/>
  <c r="AZ354" i="3" s="1"/>
  <c r="BL354" i="3"/>
  <c r="BA358" i="3"/>
  <c r="AZ358" i="3" s="1"/>
  <c r="G366" i="3"/>
  <c r="BA367" i="3"/>
  <c r="AZ367" i="3" s="1"/>
  <c r="BL367" i="3"/>
  <c r="AC21" i="21"/>
  <c r="W21" i="21"/>
  <c r="C86" i="71"/>
  <c r="D86" i="71" s="1"/>
  <c r="D71" i="71"/>
  <c r="C70" i="71"/>
  <c r="D70" i="71" s="1"/>
  <c r="C27" i="71"/>
  <c r="T28" i="71"/>
  <c r="D43" i="71"/>
  <c r="C44" i="71"/>
  <c r="S68" i="71"/>
  <c r="B67" i="71"/>
  <c r="P68" i="71"/>
  <c r="U68" i="71"/>
  <c r="T72" i="71"/>
  <c r="D72" i="71"/>
  <c r="T80" i="71"/>
  <c r="C79" i="71"/>
  <c r="C78" i="71" s="1"/>
  <c r="D78" i="71"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AZ230" i="3" s="1"/>
  <c r="BL230" i="3"/>
  <c r="BA231" i="3"/>
  <c r="AZ231" i="3" s="1"/>
  <c r="BA232" i="3"/>
  <c r="AZ232" i="3" s="1"/>
  <c r="BA233" i="3"/>
  <c r="AZ233" i="3" s="1"/>
  <c r="BA234" i="3"/>
  <c r="AZ234" i="3" s="1"/>
  <c r="BA235" i="3"/>
  <c r="AZ235" i="3" s="1"/>
  <c r="BA237" i="3"/>
  <c r="BL237" i="3"/>
  <c r="BL239" i="3"/>
  <c r="G240" i="3"/>
  <c r="BL241" i="3"/>
  <c r="G242" i="3"/>
  <c r="G244" i="3"/>
  <c r="BL245" i="3"/>
  <c r="G246" i="3"/>
  <c r="G253" i="3"/>
  <c r="G255" i="3"/>
  <c r="BL256" i="3"/>
  <c r="G257" i="3"/>
  <c r="BA258" i="3"/>
  <c r="AZ258" i="3" s="1"/>
  <c r="BL258" i="3"/>
  <c r="BL260" i="3"/>
  <c r="G261" i="3"/>
  <c r="BA262" i="3"/>
  <c r="AZ262" i="3" s="1"/>
  <c r="BL262" i="3"/>
  <c r="BL264" i="3"/>
  <c r="G265" i="3"/>
  <c r="BL266" i="3"/>
  <c r="G267" i="3"/>
  <c r="G269" i="3"/>
  <c r="G273" i="3"/>
  <c r="G277" i="3"/>
  <c r="BA278" i="3"/>
  <c r="BL278" i="3"/>
  <c r="BA280" i="3"/>
  <c r="BL280" i="3"/>
  <c r="BL282" i="3"/>
  <c r="G283" i="3"/>
  <c r="BA284" i="3"/>
  <c r="BL284" i="3"/>
  <c r="BA285" i="3"/>
  <c r="AZ285" i="3" s="1"/>
  <c r="BA286" i="3"/>
  <c r="AZ286" i="3" s="1"/>
  <c r="BA287" i="3"/>
  <c r="AZ287" i="3" s="1"/>
  <c r="BA288" i="3"/>
  <c r="AZ288" i="3" s="1"/>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G174" i="3"/>
  <c r="BA177" i="3"/>
  <c r="BL177" i="3"/>
  <c r="BL179" i="3"/>
  <c r="AZ179" i="3" s="1"/>
  <c r="G180" i="3"/>
  <c r="BA181" i="3"/>
  <c r="AZ181" i="3" s="1"/>
  <c r="BA182" i="3"/>
  <c r="AZ182" i="3" s="1"/>
  <c r="G184" i="3"/>
  <c r="BA185" i="3"/>
  <c r="AZ185" i="3" s="1"/>
  <c r="BA186" i="3"/>
  <c r="AZ186" i="3" s="1"/>
  <c r="BL187" i="3"/>
  <c r="BA190" i="3"/>
  <c r="AZ190" i="3" s="1"/>
  <c r="BL190" i="3"/>
  <c r="BA192" i="3"/>
  <c r="AZ192" i="3" s="1"/>
  <c r="G195" i="3"/>
  <c r="G206" i="3"/>
  <c r="BA18" i="3"/>
  <c r="BL18" i="3"/>
  <c r="BA20" i="3"/>
  <c r="BL20" i="3"/>
  <c r="BL22" i="3"/>
  <c r="G23" i="3"/>
  <c r="G25" i="3"/>
  <c r="G28" i="3"/>
  <c r="G30" i="3"/>
  <c r="G35" i="3"/>
  <c r="G39" i="3"/>
  <c r="BL41" i="3"/>
  <c r="G42" i="3"/>
  <c r="BL43" i="3"/>
  <c r="G44" i="3"/>
  <c r="G46" i="3"/>
  <c r="BL47" i="3"/>
  <c r="G48" i="3"/>
  <c r="G53" i="3"/>
  <c r="BL55" i="3"/>
  <c r="G56" i="3"/>
  <c r="BL58" i="3"/>
  <c r="G59" i="3"/>
  <c r="BA60" i="3"/>
  <c r="BL60" i="3"/>
  <c r="BL62" i="3"/>
  <c r="G63" i="3"/>
  <c r="BA64" i="3"/>
  <c r="AZ64" i="3" s="1"/>
  <c r="BL64" i="3"/>
  <c r="BA65" i="3"/>
  <c r="AZ65" i="3" s="1"/>
  <c r="BA66" i="3"/>
  <c r="AZ66" i="3" s="1"/>
  <c r="BA67" i="3"/>
  <c r="AZ67" i="3" s="1"/>
  <c r="BA69" i="3"/>
  <c r="BL69" i="3"/>
  <c r="BL70" i="3"/>
  <c r="G71" i="3"/>
  <c r="BL72" i="3"/>
  <c r="G73" i="3"/>
  <c r="G75" i="3"/>
  <c r="BL77" i="3"/>
  <c r="G78" i="3"/>
  <c r="G80" i="3"/>
  <c r="BL82" i="3"/>
  <c r="G83" i="3"/>
  <c r="BL84" i="3"/>
  <c r="G85" i="3"/>
  <c r="BL86" i="3"/>
  <c r="G87" i="3"/>
  <c r="G89" i="3"/>
  <c r="BA91" i="3"/>
  <c r="BL91" i="3"/>
  <c r="BL92" i="3"/>
  <c r="G93" i="3"/>
  <c r="BL94" i="3"/>
  <c r="G95" i="3"/>
  <c r="BL97" i="3"/>
  <c r="G98" i="3"/>
  <c r="BA100" i="3"/>
  <c r="BL100" i="3"/>
  <c r="BA102" i="3"/>
  <c r="AZ102" i="3" s="1"/>
  <c r="BL102" i="3"/>
  <c r="BL103" i="3"/>
  <c r="G104" i="3"/>
  <c r="G106" i="3"/>
  <c r="BL107" i="3"/>
  <c r="G108" i="3"/>
  <c r="BA109" i="3"/>
  <c r="BL109" i="3"/>
  <c r="BA111" i="3"/>
  <c r="BL111" i="3"/>
  <c r="BL112" i="3"/>
  <c r="F3" i="35"/>
  <c r="P27" i="6"/>
  <c r="E39" i="71"/>
  <c r="AB36" i="71"/>
  <c r="B39" i="71"/>
  <c r="B40" i="71" s="1"/>
  <c r="S40" i="71" s="1"/>
  <c r="AB31" i="21"/>
  <c r="U31" i="21"/>
  <c r="AB17" i="33"/>
  <c r="D20" i="71"/>
  <c r="U20" i="71" s="1"/>
  <c r="T20" i="71"/>
  <c r="AC23" i="21"/>
  <c r="C48" i="35"/>
  <c r="D48" i="35" s="1"/>
  <c r="G7" i="35"/>
  <c r="I7" i="35"/>
  <c r="E7" i="35"/>
  <c r="AA39" i="34"/>
  <c r="AZ17" i="3"/>
  <c r="AZ373" i="3"/>
  <c r="AZ382" i="3"/>
  <c r="AZ371" i="3"/>
  <c r="AZ342" i="3"/>
  <c r="AZ336" i="3"/>
  <c r="AZ321" i="3"/>
  <c r="AZ304" i="3"/>
  <c r="AZ394" i="3"/>
  <c r="AZ563" i="3"/>
  <c r="AZ579" i="3"/>
  <c r="AZ568" i="3"/>
  <c r="AZ576" i="3"/>
  <c r="AZ584" i="3"/>
  <c r="AB26" i="33"/>
  <c r="F42" i="21"/>
  <c r="AA42" i="21" s="1"/>
  <c r="F64" i="35"/>
  <c r="G64" i="35" s="1"/>
  <c r="J14" i="35"/>
  <c r="W14" i="35" s="1"/>
  <c r="J12" i="36"/>
  <c r="H12" i="36"/>
  <c r="G7" i="21"/>
  <c r="E7" i="21"/>
  <c r="I7" i="21"/>
  <c r="AZ495" i="3"/>
  <c r="AZ513" i="3"/>
  <c r="AZ567" i="3"/>
  <c r="AZ571" i="3"/>
  <c r="AZ575" i="3"/>
  <c r="AZ581" i="3"/>
  <c r="AZ586" i="3"/>
  <c r="BL586" i="3"/>
  <c r="BA585" i="3"/>
  <c r="AZ585" i="3" s="1"/>
  <c r="BL580" i="3"/>
  <c r="AZ580" i="3" s="1"/>
  <c r="BL577" i="3"/>
  <c r="BA577" i="3"/>
  <c r="BL574" i="3"/>
  <c r="AZ574" i="3" s="1"/>
  <c r="BL565" i="3"/>
  <c r="BA565" i="3"/>
  <c r="BL564" i="3"/>
  <c r="AZ564" i="3" s="1"/>
  <c r="BA561" i="3"/>
  <c r="AZ561" i="3" s="1"/>
  <c r="BL559" i="3"/>
  <c r="AZ559" i="3" s="1"/>
  <c r="BL558" i="3"/>
  <c r="BA558" i="3"/>
  <c r="BA551" i="3"/>
  <c r="AZ551" i="3" s="1"/>
  <c r="BL550" i="3"/>
  <c r="BA550" i="3"/>
  <c r="BL549" i="3"/>
  <c r="BA549" i="3"/>
  <c r="A15" i="62"/>
  <c r="B61" i="72" s="1"/>
  <c r="AZ403" i="3"/>
  <c r="AZ418" i="3"/>
  <c r="AZ422" i="3"/>
  <c r="AZ434" i="3"/>
  <c r="AZ450" i="3"/>
  <c r="AZ454" i="3"/>
  <c r="AZ459" i="3"/>
  <c r="AZ477" i="3"/>
  <c r="F25" i="37"/>
  <c r="AA25" i="37" s="1"/>
  <c r="F40" i="40"/>
  <c r="G574" i="3"/>
  <c r="G558" i="3"/>
  <c r="G542" i="3"/>
  <c r="BA541" i="3"/>
  <c r="AZ541" i="3" s="1"/>
  <c r="BA540" i="3"/>
  <c r="AZ540" i="3" s="1"/>
  <c r="BL539" i="3"/>
  <c r="AZ539" i="3" s="1"/>
  <c r="G539" i="3"/>
  <c r="BA538" i="3"/>
  <c r="AZ538" i="3" s="1"/>
  <c r="G538" i="3"/>
  <c r="BA537" i="3"/>
  <c r="AZ537" i="3" s="1"/>
  <c r="BL536" i="3"/>
  <c r="BA536" i="3"/>
  <c r="G536" i="3"/>
  <c r="BL535" i="3"/>
  <c r="AZ535" i="3" s="1"/>
  <c r="BL534" i="3"/>
  <c r="BA534" i="3"/>
  <c r="BA533" i="3"/>
  <c r="AZ533" i="3" s="1"/>
  <c r="BL532" i="3"/>
  <c r="BA532" i="3"/>
  <c r="G532" i="3"/>
  <c r="BL531" i="3"/>
  <c r="AZ531" i="3" s="1"/>
  <c r="BA530" i="3"/>
  <c r="AZ530" i="3" s="1"/>
  <c r="G530" i="3"/>
  <c r="BA529" i="3"/>
  <c r="AZ529" i="3" s="1"/>
  <c r="BL528" i="3"/>
  <c r="G528" i="3"/>
  <c r="BL527" i="3"/>
  <c r="AZ527" i="3" s="1"/>
  <c r="BL526" i="3"/>
  <c r="AZ526" i="3" s="1"/>
  <c r="BA525" i="3"/>
  <c r="AZ525" i="3" s="1"/>
  <c r="BL524" i="3"/>
  <c r="G524" i="3"/>
  <c r="BL523" i="3"/>
  <c r="AZ523" i="3" s="1"/>
  <c r="G523" i="3"/>
  <c r="BA521" i="3"/>
  <c r="AZ521" i="3" s="1"/>
  <c r="BL520" i="3"/>
  <c r="BA520" i="3"/>
  <c r="BL519" i="3"/>
  <c r="BA519" i="3"/>
  <c r="G519" i="3"/>
  <c r="BL516" i="3"/>
  <c r="AZ516" i="3" s="1"/>
  <c r="G516" i="3"/>
  <c r="BL515" i="3"/>
  <c r="BA515" i="3"/>
  <c r="G515" i="3"/>
  <c r="BL514" i="3"/>
  <c r="AZ514" i="3" s="1"/>
  <c r="G514" i="3"/>
  <c r="BA512" i="3"/>
  <c r="AZ512" i="3" s="1"/>
  <c r="BL511" i="3"/>
  <c r="BA511" i="3"/>
  <c r="G511" i="3"/>
  <c r="BA510" i="3"/>
  <c r="AZ510" i="3" s="1"/>
  <c r="BA509" i="3"/>
  <c r="AZ509" i="3" s="1"/>
  <c r="BL508" i="3"/>
  <c r="BA508" i="3"/>
  <c r="G508" i="3"/>
  <c r="BL507" i="3"/>
  <c r="AZ507" i="3" s="1"/>
  <c r="G507" i="3"/>
  <c r="BL506" i="3"/>
  <c r="AZ506" i="3" s="1"/>
  <c r="G506" i="3"/>
  <c r="BA505" i="3"/>
  <c r="AZ505" i="3" s="1"/>
  <c r="BL504" i="3"/>
  <c r="BA504" i="3"/>
  <c r="BL503" i="3"/>
  <c r="AZ503" i="3" s="1"/>
  <c r="G503" i="3"/>
  <c r="BA502" i="3"/>
  <c r="AZ502" i="3" s="1"/>
  <c r="G502" i="3"/>
  <c r="BA501" i="3"/>
  <c r="AZ501" i="3" s="1"/>
  <c r="G500" i="3"/>
  <c r="G499" i="3"/>
  <c r="BL498" i="3"/>
  <c r="BA498" i="3"/>
  <c r="BA497" i="3"/>
  <c r="AZ497" i="3" s="1"/>
  <c r="BL496" i="3"/>
  <c r="BA496" i="3"/>
  <c r="BT5" i="3"/>
  <c r="G28" i="6" s="1"/>
  <c r="BR5" i="3"/>
  <c r="G495" i="3"/>
  <c r="BM5" i="3"/>
  <c r="BH5" i="3"/>
  <c r="BD5" i="3"/>
  <c r="G494" i="3"/>
  <c r="BP5" i="3"/>
  <c r="BL493" i="3"/>
  <c r="BI5" i="3"/>
  <c r="BE5" i="3"/>
  <c r="BA493" i="3"/>
  <c r="BL15" i="3"/>
  <c r="AZ15" i="3" s="1"/>
  <c r="BL16" i="3"/>
  <c r="AZ16" i="3" s="1"/>
  <c r="G399" i="3"/>
  <c r="BL399" i="3"/>
  <c r="G401" i="3"/>
  <c r="G402" i="3"/>
  <c r="BA405" i="3"/>
  <c r="AZ405" i="3" s="1"/>
  <c r="BA406" i="3"/>
  <c r="BL406" i="3"/>
  <c r="G408" i="3"/>
  <c r="G409" i="3"/>
  <c r="BL409" i="3"/>
  <c r="G411" i="3"/>
  <c r="BL411" i="3"/>
  <c r="AZ411" i="3" s="1"/>
  <c r="BA413" i="3"/>
  <c r="AZ413" i="3" s="1"/>
  <c r="G416" i="3"/>
  <c r="BL416" i="3"/>
  <c r="AZ416" i="3" s="1"/>
  <c r="BA419" i="3"/>
  <c r="BL419" i="3"/>
  <c r="BA420" i="3"/>
  <c r="AZ420" i="3" s="1"/>
  <c r="G425" i="3"/>
  <c r="BL425" i="3"/>
  <c r="BA426" i="3"/>
  <c r="AZ426" i="3" s="1"/>
  <c r="BL428" i="3"/>
  <c r="AZ428" i="3" s="1"/>
  <c r="BA429" i="3"/>
  <c r="AZ429" i="3" s="1"/>
  <c r="G432" i="3"/>
  <c r="BL432" i="3"/>
  <c r="AZ432" i="3" s="1"/>
  <c r="BA435" i="3"/>
  <c r="BL435" i="3"/>
  <c r="BA436" i="3"/>
  <c r="AZ436" i="3" s="1"/>
  <c r="BA437" i="3"/>
  <c r="AZ437" i="3" s="1"/>
  <c r="BA438" i="3"/>
  <c r="BL438" i="3"/>
  <c r="BA439" i="3"/>
  <c r="BL441" i="3"/>
  <c r="AZ441" i="3" s="1"/>
  <c r="G443" i="3"/>
  <c r="G445" i="3"/>
  <c r="BL445" i="3"/>
  <c r="AZ445" i="3" s="1"/>
  <c r="G447" i="3"/>
  <c r="BL447" i="3"/>
  <c r="AZ447" i="3" s="1"/>
  <c r="BA448" i="3"/>
  <c r="AZ448" i="3" s="1"/>
  <c r="BA451" i="3"/>
  <c r="BL451" i="3"/>
  <c r="BA452" i="3"/>
  <c r="AZ452" i="3" s="1"/>
  <c r="G457" i="3"/>
  <c r="G458" i="3"/>
  <c r="G462" i="3"/>
  <c r="G464" i="3"/>
  <c r="BL464" i="3"/>
  <c r="G467" i="3"/>
  <c r="BL467" i="3"/>
  <c r="BA468" i="3"/>
  <c r="AZ468" i="3" s="1"/>
  <c r="BA469" i="3"/>
  <c r="BL469" i="3"/>
  <c r="BA470" i="3"/>
  <c r="AZ470" i="3" s="1"/>
  <c r="G473" i="3"/>
  <c r="G474" i="3"/>
  <c r="BL474" i="3"/>
  <c r="AZ474" i="3" s="1"/>
  <c r="BA475" i="3"/>
  <c r="AZ475" i="3" s="1"/>
  <c r="G480" i="3"/>
  <c r="BL480" i="3"/>
  <c r="G482" i="3"/>
  <c r="BL482" i="3"/>
  <c r="BA483" i="3"/>
  <c r="G486" i="3"/>
  <c r="BL486" i="3"/>
  <c r="G488" i="3"/>
  <c r="BL488" i="3"/>
  <c r="AZ488" i="3" s="1"/>
  <c r="BA489" i="3"/>
  <c r="AZ489" i="3" s="1"/>
  <c r="BA490" i="3"/>
  <c r="BA491" i="3"/>
  <c r="AZ491" i="3" s="1"/>
  <c r="BA303" i="3"/>
  <c r="AZ303" i="3" s="1"/>
  <c r="BA307" i="3"/>
  <c r="AZ307"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BA213" i="3"/>
  <c r="AZ213" i="3" s="1"/>
  <c r="BA214" i="3"/>
  <c r="BA215" i="3"/>
  <c r="AZ215" i="3" s="1"/>
  <c r="G218" i="3"/>
  <c r="G219" i="3"/>
  <c r="BL219" i="3"/>
  <c r="BA220" i="3"/>
  <c r="AZ220" i="3" s="1"/>
  <c r="BL222" i="3"/>
  <c r="AZ222" i="3" s="1"/>
  <c r="BL224" i="3"/>
  <c r="AZ224" i="3" s="1"/>
  <c r="BA225" i="3"/>
  <c r="AZ225" i="3" s="1"/>
  <c r="BL227" i="3"/>
  <c r="AZ227" i="3" s="1"/>
  <c r="BA228" i="3"/>
  <c r="BA229" i="3"/>
  <c r="AZ229" i="3" s="1"/>
  <c r="G232" i="3"/>
  <c r="G233" i="3"/>
  <c r="G234" i="3"/>
  <c r="G235" i="3"/>
  <c r="G236" i="3"/>
  <c r="BL236" i="3"/>
  <c r="BL238" i="3"/>
  <c r="AZ238" i="3" s="1"/>
  <c r="BA239" i="3"/>
  <c r="AZ239" i="3" s="1"/>
  <c r="BA240" i="3"/>
  <c r="AZ240" i="3" s="1"/>
  <c r="BA241" i="3"/>
  <c r="AZ241" i="3" s="1"/>
  <c r="BL243" i="3"/>
  <c r="AZ243" i="3" s="1"/>
  <c r="BA244" i="3"/>
  <c r="AZ244" i="3" s="1"/>
  <c r="BA245" i="3"/>
  <c r="G248" i="3"/>
  <c r="G249" i="3"/>
  <c r="G250" i="3"/>
  <c r="G251" i="3"/>
  <c r="G252" i="3"/>
  <c r="BL252" i="3"/>
  <c r="BL254" i="3"/>
  <c r="AZ254" i="3" s="1"/>
  <c r="BA255" i="3"/>
  <c r="AZ255" i="3" s="1"/>
  <c r="BA256" i="3"/>
  <c r="AZ256" i="3" s="1"/>
  <c r="BA257" i="3"/>
  <c r="AZ257" i="3" s="1"/>
  <c r="BL259" i="3"/>
  <c r="AZ259" i="3" s="1"/>
  <c r="BA260" i="3"/>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AZ302" i="3"/>
  <c r="AZ141" i="3"/>
  <c r="D54" i="71"/>
  <c r="C55" i="71"/>
  <c r="BL183" i="3"/>
  <c r="AZ183" i="3" s="1"/>
  <c r="G186" i="3"/>
  <c r="G187" i="3"/>
  <c r="BL189" i="3"/>
  <c r="AZ189" i="3" s="1"/>
  <c r="G192" i="3"/>
  <c r="BL194" i="3"/>
  <c r="AZ194" i="3" s="1"/>
  <c r="BA196" i="3"/>
  <c r="AZ196" i="3" s="1"/>
  <c r="G198" i="3"/>
  <c r="G199" i="3"/>
  <c r="G202" i="3"/>
  <c r="G203" i="3"/>
  <c r="G205" i="3"/>
  <c r="BL205" i="3"/>
  <c r="AZ205" i="3" s="1"/>
  <c r="BA207" i="3"/>
  <c r="AZ207" i="3" s="1"/>
  <c r="BL19" i="3"/>
  <c r="AZ19" i="3" s="1"/>
  <c r="BL21" i="3"/>
  <c r="AZ21" i="3" s="1"/>
  <c r="BA22" i="3"/>
  <c r="AZ22" i="3" s="1"/>
  <c r="BL24" i="3"/>
  <c r="AZ24" i="3" s="1"/>
  <c r="G26" i="3"/>
  <c r="G27" i="3"/>
  <c r="BL27" i="3"/>
  <c r="BL29" i="3"/>
  <c r="AZ29" i="3" s="1"/>
  <c r="G31" i="3"/>
  <c r="G32" i="3"/>
  <c r="G33" i="3"/>
  <c r="G34" i="3"/>
  <c r="BL34" i="3"/>
  <c r="G37" i="3"/>
  <c r="G38" i="3"/>
  <c r="BL38" i="3"/>
  <c r="AZ38" i="3" s="1"/>
  <c r="BA40" i="3"/>
  <c r="AZ40" i="3" s="1"/>
  <c r="BA41" i="3"/>
  <c r="BA42" i="3"/>
  <c r="AZ42" i="3" s="1"/>
  <c r="BA43" i="3"/>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BA62" i="3"/>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BL105" i="3"/>
  <c r="AZ105" i="3" s="1"/>
  <c r="BA106" i="3"/>
  <c r="AZ106" i="3" s="1"/>
  <c r="BA107" i="3"/>
  <c r="AZ107" i="3" s="1"/>
  <c r="D62" i="71"/>
  <c r="C63" i="71"/>
  <c r="BL110" i="3"/>
  <c r="AZ110" i="3" s="1"/>
  <c r="BA112" i="3"/>
  <c r="AZ112" i="3" s="1"/>
  <c r="C7" i="37"/>
  <c r="C52" i="37" s="1"/>
  <c r="D52" i="37" s="1"/>
  <c r="M47" i="80"/>
  <c r="C51" i="10"/>
  <c r="A13" i="51" s="1"/>
  <c r="B11" i="72" s="1"/>
  <c r="A118" i="80"/>
  <c r="A2" i="80"/>
  <c r="C40" i="68"/>
  <c r="C21" i="68"/>
  <c r="AC21" i="33"/>
  <c r="AC21" i="37"/>
  <c r="U21" i="37"/>
  <c r="P65" i="71"/>
  <c r="C52" i="71"/>
  <c r="T52" i="71" s="1"/>
  <c r="C82" i="71"/>
  <c r="D82" i="71" s="1"/>
  <c r="D28" i="71"/>
  <c r="U28" i="71" s="1"/>
  <c r="X31" i="71"/>
  <c r="X37" i="71"/>
  <c r="B59" i="71"/>
  <c r="B60" i="71" s="1"/>
  <c r="S60" i="71" s="1"/>
  <c r="M56" i="9"/>
  <c r="M56" i="80"/>
  <c r="J56" i="80"/>
  <c r="J57" i="80" s="1"/>
  <c r="J59" i="80" s="1"/>
  <c r="J61" i="80" s="1"/>
  <c r="N56" i="80"/>
  <c r="K56" i="80"/>
  <c r="AC14" i="35"/>
  <c r="U28" i="35"/>
  <c r="S28" i="35"/>
  <c r="H87" i="35"/>
  <c r="I87" i="35" s="1"/>
  <c r="J87" i="35" s="1"/>
  <c r="K87" i="35" s="1"/>
  <c r="L87" i="35" s="1"/>
  <c r="M87" i="35" s="1"/>
  <c r="J29" i="35"/>
  <c r="H29" i="35"/>
  <c r="F29" i="35"/>
  <c r="AA29" i="35" s="1"/>
  <c r="U18" i="35"/>
  <c r="AA16" i="35"/>
  <c r="AB16" i="35"/>
  <c r="W16" i="35"/>
  <c r="S14" i="35"/>
  <c r="U27" i="21"/>
  <c r="H15" i="21"/>
  <c r="U15" i="21" s="1"/>
  <c r="F100" i="39"/>
  <c r="G100" i="39" s="1"/>
  <c r="F27" i="39"/>
  <c r="AA27" i="39" s="1"/>
  <c r="H27" i="39"/>
  <c r="J27" i="39"/>
  <c r="U42" i="39"/>
  <c r="S42" i="39"/>
  <c r="AC41" i="39"/>
  <c r="U41" i="39"/>
  <c r="AA41" i="39"/>
  <c r="W29"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80"/>
  <c r="D78" i="9"/>
  <c r="D93" i="80"/>
  <c r="D78" i="80"/>
  <c r="E32" i="6"/>
  <c r="F29" i="6"/>
  <c r="G29" i="6"/>
  <c r="F28" i="6"/>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6" i="53"/>
  <c r="B34" i="72" s="1"/>
  <c r="D6" i="52"/>
  <c r="AB15" i="21"/>
  <c r="AC17" i="37"/>
  <c r="D68" i="9"/>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J26" i="43"/>
  <c r="A1" i="79"/>
  <c r="H55" i="43"/>
  <c r="H86" i="43"/>
  <c r="H87" i="43"/>
  <c r="N94" i="46"/>
  <c r="H89" i="43"/>
  <c r="H88" i="43"/>
  <c r="H84" i="43"/>
  <c r="C69" i="39"/>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F71" i="15"/>
  <c r="C27" i="67"/>
  <c r="F65" i="15"/>
  <c r="B13" i="70"/>
  <c r="F64" i="67"/>
  <c r="D9" i="68"/>
  <c r="F37" i="67"/>
  <c r="F13" i="15"/>
  <c r="F7" i="67"/>
  <c r="M26" i="15"/>
  <c r="L48" i="15"/>
  <c r="F42" i="67"/>
  <c r="G1" i="73"/>
  <c r="F8" i="67"/>
  <c r="M28" i="67"/>
  <c r="M29" i="67"/>
  <c r="M9" i="67"/>
  <c r="M8" i="15"/>
  <c r="F36" i="15"/>
  <c r="M8" i="67"/>
  <c r="M22" i="15"/>
  <c r="L47" i="15"/>
  <c r="F42" i="15"/>
  <c r="F8" i="15"/>
  <c r="L48" i="67"/>
  <c r="F40" i="67"/>
  <c r="M6" i="67"/>
  <c r="D9" i="69"/>
  <c r="J15" i="67"/>
  <c r="M23" i="15"/>
  <c r="C76" i="67"/>
  <c r="F38" i="67"/>
  <c r="F40" i="15"/>
  <c r="F7" i="15"/>
  <c r="M26" i="67"/>
  <c r="F26" i="15"/>
  <c r="F38" i="15"/>
  <c r="C16" i="15"/>
  <c r="F9" i="67"/>
  <c r="F6" i="67"/>
  <c r="F43" i="67"/>
  <c r="M29" i="15"/>
  <c r="C36" i="69"/>
  <c r="M28" i="15"/>
  <c r="F6" i="15"/>
  <c r="C76" i="15"/>
  <c r="L47" i="67"/>
  <c r="Q71" i="67" l="1"/>
  <c r="M7" i="15"/>
  <c r="J6" i="15" s="1"/>
  <c r="J18" i="15" s="1"/>
  <c r="F50" i="15"/>
  <c r="F68" i="67"/>
  <c r="F65" i="67"/>
  <c r="J53" i="15"/>
  <c r="L56" i="15" s="1"/>
  <c r="I54" i="15"/>
  <c r="J57" i="15"/>
  <c r="J55" i="15" s="1"/>
  <c r="J58" i="15" s="1"/>
  <c r="Q50" i="15" s="1"/>
  <c r="F68" i="15"/>
  <c r="F30" i="69"/>
  <c r="F52" i="9"/>
  <c r="F48" i="9"/>
  <c r="O52" i="9" s="1"/>
  <c r="D79" i="71"/>
  <c r="AZ103" i="3"/>
  <c r="AZ62" i="3"/>
  <c r="AZ43" i="3"/>
  <c r="AZ41" i="3"/>
  <c r="AZ260" i="3"/>
  <c r="AZ245" i="3"/>
  <c r="AZ228" i="3"/>
  <c r="AZ214" i="3"/>
  <c r="AZ212" i="3"/>
  <c r="AZ490" i="3"/>
  <c r="AZ483" i="3"/>
  <c r="AZ451" i="3"/>
  <c r="AZ439" i="3"/>
  <c r="AZ438" i="3"/>
  <c r="AZ435" i="3"/>
  <c r="AZ419" i="3"/>
  <c r="AZ406" i="3"/>
  <c r="AZ111" i="3"/>
  <c r="AZ109" i="3"/>
  <c r="AZ69" i="3"/>
  <c r="AZ20" i="3"/>
  <c r="AZ158" i="3"/>
  <c r="AZ130" i="3"/>
  <c r="AZ284" i="3"/>
  <c r="AZ280" i="3"/>
  <c r="AZ278" i="3"/>
  <c r="AZ237" i="3"/>
  <c r="AZ209" i="3"/>
  <c r="C26" i="71"/>
  <c r="D26" i="71" s="1"/>
  <c r="D27" i="71"/>
  <c r="AZ317" i="3"/>
  <c r="AZ462" i="3"/>
  <c r="AZ433" i="3"/>
  <c r="AZ417" i="3"/>
  <c r="AA26" i="33"/>
  <c r="S26" i="33"/>
  <c r="AB11" i="39"/>
  <c r="U11" i="39"/>
  <c r="AA23" i="35"/>
  <c r="S23" i="35"/>
  <c r="S46" i="34"/>
  <c r="AA46" i="34"/>
  <c r="AB35" i="35"/>
  <c r="U35" i="35"/>
  <c r="U43" i="39"/>
  <c r="AB43" i="39"/>
  <c r="AA17" i="21"/>
  <c r="S17" i="21"/>
  <c r="AB31" i="40"/>
  <c r="U31" i="40"/>
  <c r="U37" i="39"/>
  <c r="AB37" i="39"/>
  <c r="B66" i="71"/>
  <c r="N67" i="71"/>
  <c r="T44" i="71"/>
  <c r="D44" i="71"/>
  <c r="AC26" i="37"/>
  <c r="W26" i="37"/>
  <c r="S34" i="36"/>
  <c r="AA34" i="36"/>
  <c r="AC13" i="21"/>
  <c r="W13" i="21"/>
  <c r="S31" i="21"/>
  <c r="AA31" i="21"/>
  <c r="AB31" i="33"/>
  <c r="U31" i="33"/>
  <c r="AB13" i="36"/>
  <c r="U13" i="36"/>
  <c r="U28" i="37"/>
  <c r="AB28" i="37"/>
  <c r="S31" i="40"/>
  <c r="AA31" i="40"/>
  <c r="S23" i="21"/>
  <c r="AA23" i="21"/>
  <c r="AB32" i="21"/>
  <c r="U32" i="21"/>
  <c r="C36" i="68"/>
  <c r="E26" i="43"/>
  <c r="H26" i="43"/>
  <c r="F48" i="80"/>
  <c r="O52" i="80" s="1"/>
  <c r="F53" i="80"/>
  <c r="F54" i="9"/>
  <c r="S27" i="39"/>
  <c r="D55" i="71"/>
  <c r="C56" i="71"/>
  <c r="U12" i="36"/>
  <c r="AB12" i="36"/>
  <c r="AZ469" i="3"/>
  <c r="AZ5" i="3" s="1"/>
  <c r="W12" i="36"/>
  <c r="AC12" i="36"/>
  <c r="AC29" i="35"/>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K16" i="1"/>
  <c r="D17" i="53"/>
  <c r="B36" i="72" s="1"/>
  <c r="K46" i="36"/>
  <c r="L46" i="36" s="1"/>
  <c r="M46" i="36" s="1"/>
  <c r="N46" i="36" s="1"/>
  <c r="O46" i="36" s="1"/>
  <c r="F7" i="36"/>
  <c r="F51" i="15"/>
  <c r="C49" i="15" s="1"/>
  <c r="C27" i="15"/>
  <c r="N59" i="15"/>
  <c r="M59" i="15"/>
  <c r="L59" i="15"/>
  <c r="Q61" i="15" s="1"/>
  <c r="L58" i="15"/>
  <c r="Q73" i="15" s="1"/>
  <c r="Q71" i="15"/>
  <c r="F64" i="15"/>
  <c r="J57" i="67"/>
  <c r="J55" i="67" s="1"/>
  <c r="J58" i="67" s="1"/>
  <c r="Q50" i="67" s="1"/>
  <c r="I54" i="67"/>
  <c r="J53" i="67"/>
  <c r="Q52" i="67" s="1"/>
  <c r="L56" i="67"/>
  <c r="F31" i="15"/>
  <c r="C6" i="15"/>
  <c r="F66" i="15"/>
  <c r="F66" i="67"/>
  <c r="C6" i="67"/>
  <c r="C32" i="67" s="1"/>
  <c r="F51" i="67"/>
  <c r="L59" i="67"/>
  <c r="Q74" i="67" s="1"/>
  <c r="M59" i="67"/>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B40" i="1"/>
  <c r="L36" i="43" s="1"/>
  <c r="S10" i="39"/>
  <c r="AA10" i="39"/>
  <c r="H7" i="33"/>
  <c r="J7" i="33"/>
  <c r="D65" i="40"/>
  <c r="E63" i="40"/>
  <c r="F48" i="35"/>
  <c r="S7" i="36"/>
  <c r="AA7" i="36"/>
  <c r="R36" i="36" s="1"/>
  <c r="AC7" i="37"/>
  <c r="V42" i="37" s="1"/>
  <c r="I42" i="37" s="1"/>
  <c r="W7" i="37"/>
  <c r="F7" i="33"/>
  <c r="E58" i="21"/>
  <c r="F7" i="37"/>
  <c r="M17" i="67"/>
  <c r="M17" i="15"/>
  <c r="F59" i="15"/>
  <c r="P28" i="43"/>
  <c r="B66" i="40" s="1"/>
  <c r="P25" i="43"/>
  <c r="P29" i="43"/>
  <c r="P27" i="43"/>
  <c r="B70" i="39" s="1"/>
  <c r="M11" i="67"/>
  <c r="J10" i="67" s="1"/>
  <c r="F11" i="15"/>
  <c r="M11" i="15"/>
  <c r="J10" i="15" s="1"/>
  <c r="F11" i="67"/>
  <c r="AE11" i="1"/>
  <c r="AE6" i="1"/>
  <c r="AE9" i="1"/>
  <c r="F27" i="68"/>
  <c r="AE8" i="1"/>
  <c r="AE12" i="1"/>
  <c r="AE10" i="1"/>
  <c r="C16" i="67"/>
  <c r="F27" i="69"/>
  <c r="F1" i="15" l="1"/>
  <c r="J5" i="15"/>
  <c r="J24" i="15" s="1"/>
  <c r="Q52" i="15"/>
  <c r="E3" i="6"/>
  <c r="AY6" i="3"/>
  <c r="H6" i="3"/>
  <c r="N65" i="71"/>
  <c r="N66" i="71"/>
  <c r="F48" i="69"/>
  <c r="C30" i="69"/>
  <c r="C32" i="15"/>
  <c r="J7" i="36"/>
  <c r="H7" i="36"/>
  <c r="E65" i="39"/>
  <c r="F67" i="39"/>
  <c r="D56" i="71"/>
  <c r="T56" i="71"/>
  <c r="C47" i="69"/>
  <c r="D45" i="69" s="1"/>
  <c r="F45" i="69"/>
  <c r="F48" i="68"/>
  <c r="C30" i="68"/>
  <c r="C48" i="68"/>
  <c r="C29" i="69"/>
  <c r="D27" i="69" s="1"/>
  <c r="M18" i="80"/>
  <c r="B118" i="80"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S7" i="33"/>
  <c r="AA7" i="33"/>
  <c r="R48" i="33" s="1"/>
  <c r="R50" i="34"/>
  <c r="G53" i="34"/>
  <c r="H53" i="34"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M27" i="67"/>
  <c r="AE7" i="1"/>
  <c r="M27" i="15"/>
  <c r="F41" i="15"/>
  <c r="AC7" i="36" l="1"/>
  <c r="V36" i="36" s="1"/>
  <c r="I36" i="36" s="1"/>
  <c r="I40" i="36" s="1"/>
  <c r="J40" i="36" s="1"/>
  <c r="W7" i="36"/>
  <c r="AB7" i="36"/>
  <c r="T36" i="36" s="1"/>
  <c r="G36" i="36" s="1"/>
  <c r="U7" i="36"/>
  <c r="C48" i="67"/>
  <c r="C66" i="67" s="1"/>
  <c r="C13" i="71"/>
  <c r="D14"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D10" i="68"/>
  <c r="C17" i="67"/>
  <c r="F41" i="67"/>
  <c r="C17" i="15"/>
  <c r="D10" i="69"/>
  <c r="C34" i="69"/>
  <c r="C14" i="67"/>
  <c r="G40" i="36" l="1"/>
  <c r="H40" i="36" s="1"/>
  <c r="G41" i="36"/>
  <c r="H41" i="36" s="1"/>
  <c r="L19" i="80"/>
  <c r="M19" i="80"/>
  <c r="C118" i="80" s="1"/>
  <c r="S20" i="6"/>
  <c r="L18" i="80"/>
  <c r="F69" i="67"/>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H33" i="69" s="1"/>
  <c r="I91" i="9" s="1"/>
  <c r="I5" i="6"/>
  <c r="I6" i="6"/>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0" i="12"/>
  <c r="C28" i="12" s="1"/>
  <c r="C38" i="11"/>
  <c r="C35" i="11"/>
  <c r="H27" i="6"/>
  <c r="R19" i="6"/>
  <c r="C27" i="12"/>
  <c r="C25" i="12"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C39" i="68" l="1"/>
  <c r="C43" i="68" s="1"/>
  <c r="C91" i="9"/>
  <c r="AC7" i="21"/>
  <c r="V48" i="21" s="1"/>
  <c r="I48" i="21" s="1"/>
  <c r="I52" i="21" s="1"/>
  <c r="J52" i="21" s="1"/>
  <c r="D10" i="71"/>
  <c r="C9" i="71"/>
  <c r="Q49" i="67"/>
  <c r="J14" i="67"/>
  <c r="J13" i="67" s="1"/>
  <c r="J23" i="67" s="1"/>
  <c r="C36" i="67"/>
  <c r="C57" i="67"/>
  <c r="C64" i="67" s="1"/>
  <c r="C13" i="67"/>
  <c r="C33" i="11"/>
  <c r="C39" i="11" s="1"/>
  <c r="C61" i="67"/>
  <c r="C42" i="68"/>
  <c r="C32" i="12"/>
  <c r="B2" i="12" s="1"/>
  <c r="B3" i="12" s="1"/>
  <c r="C23" i="15"/>
  <c r="C29" i="15" s="1"/>
  <c r="C41" i="69"/>
  <c r="R27" i="6"/>
  <c r="R6" i="1"/>
  <c r="C46" i="69"/>
  <c r="C45" i="69" s="1"/>
  <c r="C25" i="68"/>
  <c r="C22" i="68" s="1"/>
  <c r="C31" i="68" s="1"/>
  <c r="C46" i="68"/>
  <c r="C45" i="68" s="1"/>
  <c r="L67" i="39"/>
  <c r="K69" i="39"/>
  <c r="W7" i="35"/>
  <c r="AC7" i="35"/>
  <c r="V38" i="35" s="1"/>
  <c r="I38" i="35" s="1"/>
  <c r="J65" i="40"/>
  <c r="K63" i="40"/>
  <c r="U7" i="35"/>
  <c r="AB7" i="35"/>
  <c r="T38" i="35" s="1"/>
  <c r="G38" i="35" s="1"/>
  <c r="E48" i="21"/>
  <c r="G52" i="21"/>
  <c r="H52" i="21" s="1"/>
  <c r="F7" i="35"/>
  <c r="F35" i="67"/>
  <c r="M21" i="15"/>
  <c r="F35" i="15"/>
  <c r="M21" i="67"/>
  <c r="Q70" i="67" l="1"/>
  <c r="H33" i="67"/>
  <c r="I90" i="80" s="1"/>
  <c r="I91" i="80" s="1"/>
  <c r="C91" i="80" s="1"/>
  <c r="C92" i="9"/>
  <c r="C94" i="9"/>
  <c r="G53" i="21"/>
  <c r="H53" i="21" s="1"/>
  <c r="R49" i="21"/>
  <c r="C48"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E52" i="21"/>
  <c r="F52" i="21" s="1"/>
  <c r="E53" i="21"/>
  <c r="F53" i="21" s="1"/>
  <c r="G42" i="35"/>
  <c r="H42" i="35" s="1"/>
  <c r="G43" i="35"/>
  <c r="H43" i="35" s="1"/>
  <c r="I53" i="21"/>
  <c r="J53" i="21" s="1"/>
  <c r="K65" i="40"/>
  <c r="L63" i="40"/>
  <c r="I42" i="35"/>
  <c r="J42" i="35" s="1"/>
  <c r="C94" i="80" l="1"/>
  <c r="C92" i="80"/>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102" i="9" l="1"/>
  <c r="C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C20" i="9"/>
  <c r="D2" i="35"/>
  <c r="D2" i="36"/>
  <c r="D19" i="80"/>
  <c r="L51" i="15"/>
  <c r="D102" i="80" l="1"/>
  <c r="D21" i="80"/>
  <c r="C103" i="9"/>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2" i="1"/>
  <c r="C19" i="80"/>
  <c r="AO8" i="1"/>
  <c r="AO9" i="1"/>
  <c r="D34" i="80"/>
  <c r="AO11" i="1"/>
  <c r="D20" i="80"/>
  <c r="AO10" i="1"/>
  <c r="AO6" i="1"/>
  <c r="D35" i="80"/>
  <c r="AO7" i="1"/>
  <c r="C102" i="80" l="1"/>
  <c r="C21" i="80"/>
  <c r="G19" i="80"/>
  <c r="G21" i="80" s="1"/>
  <c r="D22" i="80"/>
  <c r="B3" i="35"/>
  <c r="D103" i="8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103" i="80" l="1"/>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C6"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7" i="69" l="1"/>
  <c r="C5" i="69" s="1"/>
  <c r="R28" i="88"/>
  <c r="S28" i="88" s="1"/>
  <c r="C32" i="80"/>
  <c r="C35" i="80" s="1"/>
  <c r="C34" i="80" s="1"/>
  <c r="R24" i="31"/>
  <c r="F65" i="39"/>
  <c r="B2" i="39" s="1"/>
  <c r="B3" i="39" s="1"/>
  <c r="C42" i="40"/>
  <c r="C43" i="40"/>
  <c r="E47" i="40"/>
  <c r="F47" i="40" s="1"/>
  <c r="E46" i="40"/>
  <c r="F46" i="40" s="1"/>
  <c r="I47" i="40"/>
  <c r="J47" i="40" s="1"/>
  <c r="C23" i="69" l="1"/>
  <c r="C20" i="69"/>
  <c r="R28" i="31"/>
  <c r="S28" i="31" s="1"/>
  <c r="F171" i="89" s="1"/>
  <c r="S24" i="31"/>
  <c r="F167" i="89" s="1"/>
  <c r="R95" i="31"/>
  <c r="S95" i="31" s="1"/>
  <c r="F238" i="89" s="1"/>
  <c r="R87" i="31"/>
  <c r="S87" i="31" s="1"/>
  <c r="F230" i="89" s="1"/>
  <c r="R79" i="31"/>
  <c r="S79" i="31" s="1"/>
  <c r="F222" i="89" s="1"/>
  <c r="R71" i="31"/>
  <c r="S71" i="31" s="1"/>
  <c r="F214" i="89" s="1"/>
  <c r="R63" i="31"/>
  <c r="S63" i="31" s="1"/>
  <c r="F206" i="89" s="1"/>
  <c r="R55" i="31"/>
  <c r="S55" i="31" s="1"/>
  <c r="F198" i="89" s="1"/>
  <c r="R47" i="31"/>
  <c r="S47" i="31" s="1"/>
  <c r="F190" i="89" s="1"/>
  <c r="R39" i="31"/>
  <c r="S39" i="31" s="1"/>
  <c r="F182" i="89" s="1"/>
  <c r="R31" i="31"/>
  <c r="S31" i="31" s="1"/>
  <c r="F174" i="89" s="1"/>
  <c r="R98" i="31"/>
  <c r="S98" i="31" s="1"/>
  <c r="F241" i="89" s="1"/>
  <c r="R90" i="31"/>
  <c r="S90" i="31" s="1"/>
  <c r="F233" i="89" s="1"/>
  <c r="R82" i="31"/>
  <c r="S82" i="31" s="1"/>
  <c r="F225" i="89" s="1"/>
  <c r="R74" i="31"/>
  <c r="S74" i="31" s="1"/>
  <c r="F217" i="89" s="1"/>
  <c r="R66" i="31"/>
  <c r="S66" i="31" s="1"/>
  <c r="F209" i="89" s="1"/>
  <c r="R58" i="31"/>
  <c r="S58" i="31" s="1"/>
  <c r="F201" i="89" s="1"/>
  <c r="R50" i="31"/>
  <c r="S50" i="31" s="1"/>
  <c r="F193" i="89" s="1"/>
  <c r="R42" i="31"/>
  <c r="S42" i="31" s="1"/>
  <c r="F185" i="89" s="1"/>
  <c r="R34" i="31"/>
  <c r="S34" i="31" s="1"/>
  <c r="F177" i="89" s="1"/>
  <c r="R81" i="31"/>
  <c r="S81" i="31" s="1"/>
  <c r="F224" i="89" s="1"/>
  <c r="R65" i="31"/>
  <c r="S65" i="31" s="1"/>
  <c r="F208" i="89" s="1"/>
  <c r="R49" i="31"/>
  <c r="S49" i="31" s="1"/>
  <c r="F192" i="89" s="1"/>
  <c r="R25" i="31"/>
  <c r="S25" i="31" s="1"/>
  <c r="F168" i="89" s="1"/>
  <c r="R100" i="31"/>
  <c r="S100" i="31" s="1"/>
  <c r="F243" i="89" s="1"/>
  <c r="R92" i="31"/>
  <c r="S92" i="31" s="1"/>
  <c r="F235" i="89" s="1"/>
  <c r="R76" i="31"/>
  <c r="S76" i="31" s="1"/>
  <c r="F219" i="89" s="1"/>
  <c r="R52" i="31"/>
  <c r="S52" i="31" s="1"/>
  <c r="F195" i="89" s="1"/>
  <c r="R36" i="31"/>
  <c r="S36" i="31" s="1"/>
  <c r="F179" i="89" s="1"/>
  <c r="R99" i="31"/>
  <c r="S99" i="31" s="1"/>
  <c r="F242" i="89" s="1"/>
  <c r="R91" i="31"/>
  <c r="S91" i="31" s="1"/>
  <c r="F234" i="89" s="1"/>
  <c r="R83" i="31"/>
  <c r="S83" i="31" s="1"/>
  <c r="F226" i="89" s="1"/>
  <c r="R75" i="31"/>
  <c r="S75" i="31" s="1"/>
  <c r="F218" i="89" s="1"/>
  <c r="R67" i="31"/>
  <c r="S67" i="31" s="1"/>
  <c r="F210" i="89" s="1"/>
  <c r="R59" i="31"/>
  <c r="S59" i="31" s="1"/>
  <c r="F202" i="89" s="1"/>
  <c r="R51" i="31"/>
  <c r="S51" i="31" s="1"/>
  <c r="F194" i="89" s="1"/>
  <c r="R43" i="31"/>
  <c r="S43" i="31" s="1"/>
  <c r="F186" i="89" s="1"/>
  <c r="R35" i="31"/>
  <c r="S35" i="31" s="1"/>
  <c r="F178" i="89" s="1"/>
  <c r="R27" i="31"/>
  <c r="S27" i="31" s="1"/>
  <c r="F170" i="89" s="1"/>
  <c r="R102" i="31"/>
  <c r="S102" i="31" s="1"/>
  <c r="F245" i="89" s="1"/>
  <c r="R94" i="31"/>
  <c r="S94" i="31" s="1"/>
  <c r="F237" i="89" s="1"/>
  <c r="R86" i="31"/>
  <c r="S86" i="31" s="1"/>
  <c r="F229" i="89" s="1"/>
  <c r="R78" i="31"/>
  <c r="S78" i="31" s="1"/>
  <c r="F221" i="89" s="1"/>
  <c r="R70" i="31"/>
  <c r="S70" i="31" s="1"/>
  <c r="F213" i="89" s="1"/>
  <c r="R62" i="31"/>
  <c r="S62" i="31" s="1"/>
  <c r="F205" i="89" s="1"/>
  <c r="R54" i="31"/>
  <c r="S54" i="31" s="1"/>
  <c r="F197" i="89" s="1"/>
  <c r="R46" i="31"/>
  <c r="S46" i="31" s="1"/>
  <c r="F189" i="89" s="1"/>
  <c r="R38" i="31"/>
  <c r="S38" i="31" s="1"/>
  <c r="F181" i="89" s="1"/>
  <c r="R30" i="31"/>
  <c r="S30" i="31" s="1"/>
  <c r="F173" i="89" s="1"/>
  <c r="R101" i="31"/>
  <c r="S101" i="31" s="1"/>
  <c r="F244" i="89" s="1"/>
  <c r="R93" i="31"/>
  <c r="S93" i="31" s="1"/>
  <c r="F236" i="89" s="1"/>
  <c r="R85" i="31"/>
  <c r="S85" i="31" s="1"/>
  <c r="F228" i="89" s="1"/>
  <c r="R77" i="31"/>
  <c r="S77" i="31" s="1"/>
  <c r="F220" i="89" s="1"/>
  <c r="R69" i="31"/>
  <c r="S69" i="31" s="1"/>
  <c r="F212" i="89" s="1"/>
  <c r="R61" i="31"/>
  <c r="S61" i="31" s="1"/>
  <c r="F204" i="89" s="1"/>
  <c r="R53" i="31"/>
  <c r="S53" i="31" s="1"/>
  <c r="F196" i="89" s="1"/>
  <c r="R45" i="31"/>
  <c r="S45" i="31" s="1"/>
  <c r="F188" i="89" s="1"/>
  <c r="R37" i="31"/>
  <c r="S37" i="31" s="1"/>
  <c r="F180" i="89" s="1"/>
  <c r="R29" i="31"/>
  <c r="S29" i="31" s="1"/>
  <c r="F172" i="89" s="1"/>
  <c r="R96" i="31"/>
  <c r="S96" i="31" s="1"/>
  <c r="F239" i="89" s="1"/>
  <c r="R88" i="31"/>
  <c r="S88" i="31" s="1"/>
  <c r="F231" i="89" s="1"/>
  <c r="R80" i="31"/>
  <c r="S80" i="31" s="1"/>
  <c r="F223" i="89" s="1"/>
  <c r="R72" i="31"/>
  <c r="S72" i="31" s="1"/>
  <c r="F215" i="89" s="1"/>
  <c r="R64" i="31"/>
  <c r="S64" i="31" s="1"/>
  <c r="F207" i="89" s="1"/>
  <c r="R56" i="31"/>
  <c r="S56" i="31" s="1"/>
  <c r="F199" i="89" s="1"/>
  <c r="R48" i="31"/>
  <c r="S48" i="31" s="1"/>
  <c r="F191" i="89" s="1"/>
  <c r="R40" i="31"/>
  <c r="S40" i="31" s="1"/>
  <c r="F183" i="89" s="1"/>
  <c r="R32" i="31"/>
  <c r="S32" i="31" s="1"/>
  <c r="F175" i="89" s="1"/>
  <c r="R97" i="31"/>
  <c r="S97" i="31" s="1"/>
  <c r="F240" i="89" s="1"/>
  <c r="R89" i="31"/>
  <c r="S89" i="31" s="1"/>
  <c r="F232" i="89" s="1"/>
  <c r="R73" i="31"/>
  <c r="S73" i="31" s="1"/>
  <c r="F216" i="89" s="1"/>
  <c r="R57" i="31"/>
  <c r="S57" i="31" s="1"/>
  <c r="F200" i="89" s="1"/>
  <c r="R41" i="31"/>
  <c r="S41" i="31" s="1"/>
  <c r="F184" i="89" s="1"/>
  <c r="R33" i="31"/>
  <c r="S33" i="31" s="1"/>
  <c r="F176" i="89" s="1"/>
  <c r="R84" i="31"/>
  <c r="S84" i="31" s="1"/>
  <c r="F227" i="89" s="1"/>
  <c r="R68" i="31"/>
  <c r="S68" i="31" s="1"/>
  <c r="F211" i="89" s="1"/>
  <c r="R60" i="31"/>
  <c r="S60" i="31" s="1"/>
  <c r="F203" i="89" s="1"/>
  <c r="R44" i="31"/>
  <c r="S44" i="31" s="1"/>
  <c r="F187" i="89" s="1"/>
  <c r="R26" i="31"/>
  <c r="S26" i="31" s="1"/>
  <c r="F169" i="89" s="1"/>
  <c r="B58" i="40"/>
  <c r="F58" i="40" s="1"/>
  <c r="B54" i="40"/>
  <c r="F54" i="40" s="1"/>
  <c r="B53" i="40"/>
  <c r="F53" i="40" s="1"/>
  <c r="B59" i="40"/>
  <c r="F59" i="40" s="1"/>
  <c r="B52" i="40"/>
  <c r="F52" i="40" s="1"/>
  <c r="B56" i="40"/>
  <c r="F56" i="40" s="1"/>
  <c r="B60" i="40"/>
  <c r="F60" i="40" s="1"/>
  <c r="B57" i="40"/>
  <c r="F57" i="40" s="1"/>
  <c r="B51" i="40"/>
  <c r="F51" i="40" s="1"/>
  <c r="F61" i="40"/>
  <c r="B2" i="40" s="1"/>
  <c r="B3" i="40" s="1"/>
  <c r="F246" i="89" l="1"/>
  <c r="C28" i="69"/>
  <c r="C27" i="69" s="1"/>
  <c r="C25" i="69"/>
  <c r="C22" i="69" s="1"/>
  <c r="S22" i="31"/>
  <c r="M48" i="80" s="1"/>
  <c r="M49" i="80" s="1"/>
  <c r="D15" i="74" l="1"/>
  <c r="D45" i="80"/>
  <c r="C31" i="69"/>
  <c r="C52" i="69" s="1"/>
  <c r="B2" i="69" s="1"/>
  <c r="B20" i="31"/>
  <c r="R22" i="31"/>
  <c r="D19" i="9"/>
  <c r="G15" i="74" l="1"/>
  <c r="C57" i="69"/>
  <c r="C56" i="69" s="1"/>
  <c r="D21" i="9"/>
  <c r="D102" i="9"/>
  <c r="G19" i="9"/>
  <c r="G21" i="9" s="1"/>
  <c r="D22" i="9"/>
  <c r="E15" i="74"/>
  <c r="F15" i="74"/>
  <c r="B21" i="31"/>
  <c r="B3" i="69"/>
  <c r="D20" i="9"/>
  <c r="D35" i="9"/>
  <c r="G20" i="9" l="1"/>
  <c r="D103" i="9"/>
  <c r="D34" i="9"/>
  <c r="R24" i="88" l="1"/>
  <c r="C32" i="9"/>
  <c r="R186" i="88" l="1"/>
  <c r="S186" i="88" s="1"/>
  <c r="F164" i="89" s="1"/>
  <c r="R178" i="88"/>
  <c r="S178" i="88" s="1"/>
  <c r="F156" i="89" s="1"/>
  <c r="R170" i="88"/>
  <c r="S170" i="88" s="1"/>
  <c r="F148" i="89" s="1"/>
  <c r="R162" i="88"/>
  <c r="S162" i="88" s="1"/>
  <c r="F140" i="89" s="1"/>
  <c r="R154" i="88"/>
  <c r="S154" i="88" s="1"/>
  <c r="F132" i="89" s="1"/>
  <c r="R146" i="88"/>
  <c r="S146" i="88" s="1"/>
  <c r="F124" i="89" s="1"/>
  <c r="R138" i="88"/>
  <c r="S138" i="88" s="1"/>
  <c r="F116" i="89" s="1"/>
  <c r="R130" i="88"/>
  <c r="S130" i="88" s="1"/>
  <c r="F108" i="89" s="1"/>
  <c r="R122" i="88"/>
  <c r="S122" i="88" s="1"/>
  <c r="F100" i="89" s="1"/>
  <c r="R114" i="88"/>
  <c r="S114" i="88" s="1"/>
  <c r="F92" i="89" s="1"/>
  <c r="R106" i="88"/>
  <c r="S106" i="88" s="1"/>
  <c r="F84" i="89" s="1"/>
  <c r="R183" i="88"/>
  <c r="S183" i="88" s="1"/>
  <c r="F161" i="89" s="1"/>
  <c r="R175" i="88"/>
  <c r="S175" i="88" s="1"/>
  <c r="F153" i="89" s="1"/>
  <c r="R167" i="88"/>
  <c r="S167" i="88" s="1"/>
  <c r="F145" i="89" s="1"/>
  <c r="R159" i="88"/>
  <c r="S159" i="88" s="1"/>
  <c r="F137" i="89" s="1"/>
  <c r="R151" i="88"/>
  <c r="S151" i="88" s="1"/>
  <c r="F129" i="89" s="1"/>
  <c r="R143" i="88"/>
  <c r="S143" i="88" s="1"/>
  <c r="F121" i="89" s="1"/>
  <c r="R135" i="88"/>
  <c r="S135" i="88" s="1"/>
  <c r="F113" i="89" s="1"/>
  <c r="R127" i="88"/>
  <c r="S127" i="88" s="1"/>
  <c r="F105" i="89" s="1"/>
  <c r="R119" i="88"/>
  <c r="S119" i="88" s="1"/>
  <c r="F97" i="89" s="1"/>
  <c r="R111" i="88"/>
  <c r="S111" i="88" s="1"/>
  <c r="F89" i="89" s="1"/>
  <c r="R103" i="88"/>
  <c r="S103" i="88" s="1"/>
  <c r="F81" i="89" s="1"/>
  <c r="R53" i="88"/>
  <c r="S53" i="88" s="1"/>
  <c r="F31" i="89" s="1"/>
  <c r="R45" i="88"/>
  <c r="S45" i="88" s="1"/>
  <c r="F23" i="89" s="1"/>
  <c r="R37" i="88"/>
  <c r="S37" i="88" s="1"/>
  <c r="F15" i="89" s="1"/>
  <c r="R29" i="88"/>
  <c r="S29" i="88" s="1"/>
  <c r="F7" i="89" s="1"/>
  <c r="R58" i="88"/>
  <c r="S58" i="88" s="1"/>
  <c r="F36" i="89" s="1"/>
  <c r="R50" i="88"/>
  <c r="S50" i="88" s="1"/>
  <c r="F28" i="89" s="1"/>
  <c r="R42" i="88"/>
  <c r="S42" i="88" s="1"/>
  <c r="F20" i="89" s="1"/>
  <c r="R34" i="88"/>
  <c r="S34" i="88" s="1"/>
  <c r="F12" i="89" s="1"/>
  <c r="R26" i="88"/>
  <c r="S26" i="88" s="1"/>
  <c r="F5" i="89" s="1"/>
  <c r="R64" i="88"/>
  <c r="S64" i="88" s="1"/>
  <c r="F42" i="89" s="1"/>
  <c r="R69" i="88"/>
  <c r="S69" i="88" s="1"/>
  <c r="F47" i="89" s="1"/>
  <c r="R74" i="88"/>
  <c r="S74" i="88" s="1"/>
  <c r="F52" i="89" s="1"/>
  <c r="R79" i="88"/>
  <c r="S79" i="88" s="1"/>
  <c r="F57" i="89" s="1"/>
  <c r="R83" i="88"/>
  <c r="S83" i="88" s="1"/>
  <c r="F61" i="89" s="1"/>
  <c r="R88" i="88"/>
  <c r="S88" i="88" s="1"/>
  <c r="F66" i="89" s="1"/>
  <c r="R92" i="88"/>
  <c r="S92" i="88" s="1"/>
  <c r="F70" i="89" s="1"/>
  <c r="R96" i="88"/>
  <c r="S96" i="88" s="1"/>
  <c r="F74" i="89" s="1"/>
  <c r="R100" i="88"/>
  <c r="S100" i="88" s="1"/>
  <c r="F78" i="89" s="1"/>
  <c r="R67" i="88"/>
  <c r="S67" i="88" s="1"/>
  <c r="F45" i="89" s="1"/>
  <c r="R184" i="88"/>
  <c r="S184" i="88" s="1"/>
  <c r="F162" i="89" s="1"/>
  <c r="R176" i="88"/>
  <c r="S176" i="88" s="1"/>
  <c r="F154" i="89" s="1"/>
  <c r="R168" i="88"/>
  <c r="S168" i="88" s="1"/>
  <c r="F146" i="89" s="1"/>
  <c r="R160" i="88"/>
  <c r="S160" i="88" s="1"/>
  <c r="F138" i="89" s="1"/>
  <c r="R152" i="88"/>
  <c r="S152" i="88" s="1"/>
  <c r="F130" i="89" s="1"/>
  <c r="R144" i="88"/>
  <c r="S144" i="88" s="1"/>
  <c r="F122" i="89" s="1"/>
  <c r="R136" i="88"/>
  <c r="S136" i="88" s="1"/>
  <c r="F114" i="89" s="1"/>
  <c r="R128" i="88"/>
  <c r="S128" i="88" s="1"/>
  <c r="F106" i="89" s="1"/>
  <c r="R120" i="88"/>
  <c r="S120" i="88" s="1"/>
  <c r="F98" i="89" s="1"/>
  <c r="R112" i="88"/>
  <c r="S112" i="88" s="1"/>
  <c r="F90" i="89" s="1"/>
  <c r="R104" i="88"/>
  <c r="S104" i="88" s="1"/>
  <c r="F82" i="89" s="1"/>
  <c r="R181" i="88"/>
  <c r="S181" i="88" s="1"/>
  <c r="F159" i="89" s="1"/>
  <c r="R173" i="88"/>
  <c r="S173" i="88" s="1"/>
  <c r="F151" i="89" s="1"/>
  <c r="R165" i="88"/>
  <c r="S165" i="88" s="1"/>
  <c r="F143" i="89" s="1"/>
  <c r="R157" i="88"/>
  <c r="S157" i="88" s="1"/>
  <c r="F135" i="89" s="1"/>
  <c r="R149" i="88"/>
  <c r="S149" i="88" s="1"/>
  <c r="F127" i="89" s="1"/>
  <c r="R141" i="88"/>
  <c r="S141" i="88" s="1"/>
  <c r="F119" i="89" s="1"/>
  <c r="R133" i="88"/>
  <c r="S133" i="88" s="1"/>
  <c r="F111" i="89" s="1"/>
  <c r="R125" i="88"/>
  <c r="S125" i="88" s="1"/>
  <c r="F103" i="89" s="1"/>
  <c r="R117" i="88"/>
  <c r="S117" i="88" s="1"/>
  <c r="F95" i="89" s="1"/>
  <c r="R109" i="88"/>
  <c r="S109" i="88" s="1"/>
  <c r="F87" i="89" s="1"/>
  <c r="R59" i="88"/>
  <c r="S59" i="88" s="1"/>
  <c r="F37" i="89" s="1"/>
  <c r="R51" i="88"/>
  <c r="S51" i="88" s="1"/>
  <c r="F29" i="89" s="1"/>
  <c r="R43" i="88"/>
  <c r="S43" i="88" s="1"/>
  <c r="F21" i="89" s="1"/>
  <c r="R35" i="88"/>
  <c r="S35" i="88" s="1"/>
  <c r="F13" i="89" s="1"/>
  <c r="R27" i="88"/>
  <c r="S27" i="88" s="1"/>
  <c r="F6" i="89" s="1"/>
  <c r="R56" i="88"/>
  <c r="S56" i="88" s="1"/>
  <c r="F34" i="89" s="1"/>
  <c r="R48" i="88"/>
  <c r="S48" i="88" s="1"/>
  <c r="F26" i="89" s="1"/>
  <c r="R40" i="88"/>
  <c r="S40" i="88" s="1"/>
  <c r="F18" i="89" s="1"/>
  <c r="R32" i="88"/>
  <c r="S32" i="88" s="1"/>
  <c r="F10" i="89" s="1"/>
  <c r="R63" i="88"/>
  <c r="S63" i="88" s="1"/>
  <c r="F41" i="89" s="1"/>
  <c r="R68" i="88"/>
  <c r="S68" i="88" s="1"/>
  <c r="F46" i="89" s="1"/>
  <c r="R73" i="88"/>
  <c r="S73" i="88" s="1"/>
  <c r="F51" i="89" s="1"/>
  <c r="R78" i="88"/>
  <c r="S78" i="88" s="1"/>
  <c r="F56" i="89" s="1"/>
  <c r="R82" i="88"/>
  <c r="S82" i="88" s="1"/>
  <c r="F60" i="89" s="1"/>
  <c r="R87" i="88"/>
  <c r="S87" i="88" s="1"/>
  <c r="F65" i="89" s="1"/>
  <c r="R91" i="88"/>
  <c r="S91" i="88" s="1"/>
  <c r="F69" i="89" s="1"/>
  <c r="R95" i="88"/>
  <c r="S95" i="88" s="1"/>
  <c r="F73" i="89" s="1"/>
  <c r="R99" i="88"/>
  <c r="S99" i="88" s="1"/>
  <c r="F77" i="89" s="1"/>
  <c r="R60" i="88"/>
  <c r="S60" i="88" s="1"/>
  <c r="F38" i="89" s="1"/>
  <c r="R76" i="88"/>
  <c r="S76" i="88" s="1"/>
  <c r="F54" i="89" s="1"/>
  <c r="R182" i="88"/>
  <c r="S182" i="88" s="1"/>
  <c r="F160" i="89" s="1"/>
  <c r="R174" i="88"/>
  <c r="S174" i="88" s="1"/>
  <c r="F152" i="89" s="1"/>
  <c r="R166" i="88"/>
  <c r="S166" i="88" s="1"/>
  <c r="F144" i="89" s="1"/>
  <c r="R158" i="88"/>
  <c r="S158" i="88" s="1"/>
  <c r="F136" i="89" s="1"/>
  <c r="R150" i="88"/>
  <c r="S150" i="88" s="1"/>
  <c r="F128" i="89" s="1"/>
  <c r="R142" i="88"/>
  <c r="S142" i="88" s="1"/>
  <c r="F120" i="89" s="1"/>
  <c r="R134" i="88"/>
  <c r="S134" i="88" s="1"/>
  <c r="F112" i="89" s="1"/>
  <c r="R126" i="88"/>
  <c r="S126" i="88" s="1"/>
  <c r="F104" i="89" s="1"/>
  <c r="R118" i="88"/>
  <c r="S118" i="88" s="1"/>
  <c r="F96" i="89" s="1"/>
  <c r="R110" i="88"/>
  <c r="S110" i="88" s="1"/>
  <c r="F88" i="89" s="1"/>
  <c r="R187" i="88"/>
  <c r="S187" i="88" s="1"/>
  <c r="F165" i="89" s="1"/>
  <c r="R179" i="88"/>
  <c r="S179" i="88" s="1"/>
  <c r="F157" i="89" s="1"/>
  <c r="R171" i="88"/>
  <c r="S171" i="88" s="1"/>
  <c r="F149" i="89" s="1"/>
  <c r="R163" i="88"/>
  <c r="S163" i="88" s="1"/>
  <c r="F141" i="89" s="1"/>
  <c r="R155" i="88"/>
  <c r="S155" i="88" s="1"/>
  <c r="F133" i="89" s="1"/>
  <c r="R147" i="88"/>
  <c r="S147" i="88" s="1"/>
  <c r="F125" i="89" s="1"/>
  <c r="R139" i="88"/>
  <c r="S139" i="88" s="1"/>
  <c r="F117" i="89" s="1"/>
  <c r="R131" i="88"/>
  <c r="S131" i="88" s="1"/>
  <c r="F109" i="89" s="1"/>
  <c r="R123" i="88"/>
  <c r="S123" i="88" s="1"/>
  <c r="F101" i="89" s="1"/>
  <c r="R115" i="88"/>
  <c r="S115" i="88" s="1"/>
  <c r="F93" i="89" s="1"/>
  <c r="R107" i="88"/>
  <c r="S107" i="88" s="1"/>
  <c r="F85" i="89" s="1"/>
  <c r="R57" i="88"/>
  <c r="S57" i="88" s="1"/>
  <c r="F35" i="89" s="1"/>
  <c r="R49" i="88"/>
  <c r="S49" i="88" s="1"/>
  <c r="F27" i="89" s="1"/>
  <c r="R41" i="88"/>
  <c r="S41" i="88" s="1"/>
  <c r="F19" i="89" s="1"/>
  <c r="R33" i="88"/>
  <c r="S33" i="88" s="1"/>
  <c r="F11" i="89" s="1"/>
  <c r="R25" i="88"/>
  <c r="S25" i="88" s="1"/>
  <c r="F4" i="89" s="1"/>
  <c r="R54" i="88"/>
  <c r="S54" i="88" s="1"/>
  <c r="F32" i="89" s="1"/>
  <c r="R46" i="88"/>
  <c r="S46" i="88" s="1"/>
  <c r="F24" i="89" s="1"/>
  <c r="R38" i="88"/>
  <c r="S38" i="88" s="1"/>
  <c r="F16" i="89" s="1"/>
  <c r="R30" i="88"/>
  <c r="S30" i="88" s="1"/>
  <c r="F8" i="89" s="1"/>
  <c r="R62" i="88"/>
  <c r="S62" i="88" s="1"/>
  <c r="F40" i="89" s="1"/>
  <c r="R66" i="88"/>
  <c r="S66" i="88" s="1"/>
  <c r="F44" i="89" s="1"/>
  <c r="R72" i="88"/>
  <c r="S72" i="88" s="1"/>
  <c r="F50" i="89" s="1"/>
  <c r="R77" i="88"/>
  <c r="S77" i="88" s="1"/>
  <c r="F55" i="89" s="1"/>
  <c r="R81" i="88"/>
  <c r="S81" i="88" s="1"/>
  <c r="F59" i="89" s="1"/>
  <c r="R86" i="88"/>
  <c r="S86" i="88" s="1"/>
  <c r="F64" i="89" s="1"/>
  <c r="R90" i="88"/>
  <c r="S90" i="88" s="1"/>
  <c r="F68" i="89" s="1"/>
  <c r="R94" i="88"/>
  <c r="S94" i="88" s="1"/>
  <c r="F72" i="89" s="1"/>
  <c r="R98" i="88"/>
  <c r="S98" i="88" s="1"/>
  <c r="F76" i="89" s="1"/>
  <c r="R102" i="88"/>
  <c r="S102" i="88" s="1"/>
  <c r="F80" i="89" s="1"/>
  <c r="R84" i="88"/>
  <c r="S84" i="88" s="1"/>
  <c r="F62" i="89" s="1"/>
  <c r="R180" i="88"/>
  <c r="S180" i="88" s="1"/>
  <c r="F158" i="89" s="1"/>
  <c r="R172" i="88"/>
  <c r="S172" i="88" s="1"/>
  <c r="F150" i="89" s="1"/>
  <c r="R164" i="88"/>
  <c r="S164" i="88" s="1"/>
  <c r="F142" i="89" s="1"/>
  <c r="R156" i="88"/>
  <c r="S156" i="88" s="1"/>
  <c r="F134" i="89" s="1"/>
  <c r="R148" i="88"/>
  <c r="S148" i="88" s="1"/>
  <c r="F126" i="89" s="1"/>
  <c r="R140" i="88"/>
  <c r="S140" i="88" s="1"/>
  <c r="F118" i="89" s="1"/>
  <c r="R132" i="88"/>
  <c r="S132" i="88" s="1"/>
  <c r="F110" i="89" s="1"/>
  <c r="R124" i="88"/>
  <c r="S124" i="88" s="1"/>
  <c r="F102" i="89" s="1"/>
  <c r="R116" i="88"/>
  <c r="S116" i="88" s="1"/>
  <c r="F94" i="89" s="1"/>
  <c r="R108" i="88"/>
  <c r="S108" i="88" s="1"/>
  <c r="F86" i="89" s="1"/>
  <c r="R185" i="88"/>
  <c r="S185" i="88" s="1"/>
  <c r="F163" i="89" s="1"/>
  <c r="R177" i="88"/>
  <c r="S177" i="88" s="1"/>
  <c r="F155" i="89" s="1"/>
  <c r="R169" i="88"/>
  <c r="S169" i="88" s="1"/>
  <c r="F147" i="89" s="1"/>
  <c r="R161" i="88"/>
  <c r="S161" i="88" s="1"/>
  <c r="F139" i="89" s="1"/>
  <c r="R153" i="88"/>
  <c r="S153" i="88" s="1"/>
  <c r="F131" i="89" s="1"/>
  <c r="R145" i="88"/>
  <c r="S145" i="88" s="1"/>
  <c r="F123" i="89" s="1"/>
  <c r="R137" i="88"/>
  <c r="S137" i="88" s="1"/>
  <c r="F115" i="89" s="1"/>
  <c r="R129" i="88"/>
  <c r="S129" i="88" s="1"/>
  <c r="F107" i="89" s="1"/>
  <c r="R121" i="88"/>
  <c r="S121" i="88" s="1"/>
  <c r="F99" i="89" s="1"/>
  <c r="R113" i="88"/>
  <c r="S113" i="88" s="1"/>
  <c r="F91" i="89" s="1"/>
  <c r="R105" i="88"/>
  <c r="S105" i="88" s="1"/>
  <c r="F83" i="89" s="1"/>
  <c r="R55" i="88"/>
  <c r="S55" i="88" s="1"/>
  <c r="F33" i="89" s="1"/>
  <c r="R47" i="88"/>
  <c r="S47" i="88" s="1"/>
  <c r="F25" i="89" s="1"/>
  <c r="R39" i="88"/>
  <c r="S39" i="88" s="1"/>
  <c r="F17" i="89" s="1"/>
  <c r="R31" i="88"/>
  <c r="S31" i="88" s="1"/>
  <c r="F9" i="89" s="1"/>
  <c r="S24" i="88"/>
  <c r="F3" i="89" s="1"/>
  <c r="R52" i="88"/>
  <c r="S52" i="88" s="1"/>
  <c r="F30" i="89" s="1"/>
  <c r="R44" i="88"/>
  <c r="S44" i="88" s="1"/>
  <c r="F22" i="89" s="1"/>
  <c r="R36" i="88"/>
  <c r="S36" i="88" s="1"/>
  <c r="F14" i="89" s="1"/>
  <c r="R61" i="88"/>
  <c r="S61" i="88" s="1"/>
  <c r="F39" i="89" s="1"/>
  <c r="R65" i="88"/>
  <c r="S65" i="88" s="1"/>
  <c r="F43" i="89" s="1"/>
  <c r="R70" i="88"/>
  <c r="S70" i="88" s="1"/>
  <c r="F48" i="89" s="1"/>
  <c r="R75" i="88"/>
  <c r="S75" i="88" s="1"/>
  <c r="F53" i="89" s="1"/>
  <c r="R80" i="88"/>
  <c r="S80" i="88" s="1"/>
  <c r="F58" i="89" s="1"/>
  <c r="R85" i="88"/>
  <c r="S85" i="88" s="1"/>
  <c r="F63" i="89" s="1"/>
  <c r="R89" i="88"/>
  <c r="S89" i="88" s="1"/>
  <c r="F67" i="89" s="1"/>
  <c r="R93" i="88"/>
  <c r="S93" i="88" s="1"/>
  <c r="F71" i="89" s="1"/>
  <c r="R97" i="88"/>
  <c r="S97" i="88" s="1"/>
  <c r="F75" i="89" s="1"/>
  <c r="R101" i="88"/>
  <c r="S101" i="88" s="1"/>
  <c r="F79" i="89" s="1"/>
  <c r="R71" i="88"/>
  <c r="S71" i="88" s="1"/>
  <c r="F49" i="89" s="1"/>
  <c r="C35" i="9"/>
  <c r="G118" i="9" s="1"/>
  <c r="I118" i="9"/>
  <c r="F166" i="89" l="1"/>
  <c r="F247" i="89" s="1"/>
  <c r="C34" i="9"/>
  <c r="F118" i="9"/>
  <c r="G4" i="52"/>
  <c r="B52" i="72" s="1"/>
  <c r="H118" i="9"/>
  <c r="C105" i="9"/>
  <c r="I4" i="52"/>
  <c r="H102" i="9"/>
  <c r="D7" i="53" s="1"/>
  <c r="B21" i="72" s="1"/>
  <c r="E118" i="9"/>
  <c r="S22" i="88"/>
  <c r="M49" i="9" s="1"/>
  <c r="D45" i="9" l="1"/>
  <c r="M48" i="9"/>
  <c r="R22" i="88"/>
  <c r="B20" i="88"/>
  <c r="E4" i="52"/>
  <c r="B48" i="72" s="1"/>
  <c r="D118" i="9"/>
  <c r="C104" i="9"/>
  <c r="H101" i="9"/>
  <c r="H119" i="9"/>
  <c r="H5" i="52" s="1"/>
  <c r="H4" i="52"/>
  <c r="F119" i="9"/>
  <c r="F5" i="52" s="1"/>
  <c r="B53" i="72" s="1"/>
  <c r="F4" i="52"/>
  <c r="B51" i="72" s="1"/>
  <c r="H107" i="9" l="1"/>
  <c r="D5" i="53"/>
  <c r="D4" i="52"/>
  <c r="B47" i="72" s="1"/>
  <c r="D119" i="9"/>
  <c r="D5" i="52" s="1"/>
  <c r="B49" i="72" s="1"/>
  <c r="D14" i="74"/>
  <c r="B21" i="88"/>
  <c r="B20" i="72" l="1"/>
  <c r="D6" i="53"/>
  <c r="B22" i="72" s="1"/>
  <c r="D122" i="9"/>
  <c r="D13" i="53"/>
  <c r="H108" i="9"/>
  <c r="D15" i="53" s="1"/>
  <c r="B31" i="72" s="1"/>
  <c r="E14" i="74"/>
  <c r="G14" i="74"/>
  <c r="F14" i="74"/>
  <c r="C64" i="9"/>
  <c r="C63" i="9" s="1"/>
  <c r="C67" i="9" s="1"/>
  <c r="D55" i="9"/>
  <c r="M53" i="9" s="1"/>
  <c r="C85" i="9"/>
  <c r="D52" i="9"/>
  <c r="D53" i="9"/>
  <c r="D48" i="9" s="1"/>
  <c r="M52" i="9" s="1"/>
  <c r="C78" i="9"/>
  <c r="C73" i="9" s="1"/>
  <c r="C93" i="9"/>
  <c r="C86" i="9" s="1"/>
  <c r="C72" i="9"/>
  <c r="C79" i="9" l="1"/>
  <c r="C80" i="9" s="1"/>
  <c r="E80" i="9" s="1"/>
  <c r="E81" i="9" s="1"/>
  <c r="L65" i="9"/>
  <c r="M65" i="9" s="1"/>
  <c r="L68" i="9"/>
  <c r="M68" i="9" s="1"/>
  <c r="L64" i="9"/>
  <c r="M64" i="9" s="1"/>
  <c r="L66" i="9"/>
  <c r="M66" i="9" s="1"/>
  <c r="L63" i="9"/>
  <c r="M63" i="9" s="1"/>
  <c r="L67" i="9"/>
  <c r="M67" i="9" s="1"/>
  <c r="D14" i="53"/>
  <c r="B32" i="72" s="1"/>
  <c r="B30" i="72"/>
  <c r="C95" i="9"/>
  <c r="D59" i="9"/>
  <c r="M55" i="9" s="1"/>
  <c r="C68" i="9"/>
  <c r="D54" i="9" s="1"/>
  <c r="D123" i="9"/>
  <c r="D9" i="52" s="1"/>
  <c r="D8" i="52"/>
  <c r="C81" i="9" l="1"/>
  <c r="C96" i="9"/>
  <c r="E96" i="9" s="1"/>
  <c r="E97" i="9" s="1"/>
  <c r="M69" i="9"/>
  <c r="N69" i="9" s="1"/>
  <c r="C97" i="9" l="1"/>
  <c r="D58" i="9" s="1"/>
  <c r="D56" i="9" s="1"/>
  <c r="M54" i="9" s="1"/>
  <c r="N57" i="9" s="1"/>
  <c r="P57" i="9" s="1"/>
  <c r="N58" i="9" l="1"/>
  <c r="N59" i="9"/>
  <c r="P59" i="9" l="1"/>
  <c r="H111" i="9"/>
  <c r="N61" i="9"/>
  <c r="H112" i="9" s="1"/>
  <c r="D21" i="53" s="1"/>
  <c r="B39" i="72" s="1"/>
  <c r="I14" i="74"/>
  <c r="N60" i="9"/>
  <c r="D126" i="9" l="1"/>
  <c r="D19" i="53"/>
  <c r="G118" i="80"/>
  <c r="F118" i="80" s="1"/>
  <c r="F119" i="80" s="1"/>
  <c r="I118" i="80"/>
  <c r="H102" i="80" s="1"/>
  <c r="D127" i="9" l="1"/>
  <c r="D13" i="52" s="1"/>
  <c r="D12" i="52"/>
  <c r="B38" i="72"/>
  <c r="D20" i="53"/>
  <c r="B40" i="72" s="1"/>
  <c r="H118" i="80"/>
  <c r="C105" i="80"/>
  <c r="E118" i="80"/>
  <c r="D118" i="80" s="1"/>
  <c r="D119" i="80" s="1"/>
  <c r="H119" i="80" l="1"/>
  <c r="C104" i="80"/>
  <c r="H101" i="80"/>
  <c r="H107" i="80" l="1"/>
  <c r="D52" i="80" l="1"/>
  <c r="C85" i="80"/>
  <c r="C72" i="80"/>
  <c r="D53" i="80"/>
  <c r="D48" i="80" s="1"/>
  <c r="M52" i="80" s="1"/>
  <c r="C78" i="80"/>
  <c r="C73" i="80" s="1"/>
  <c r="D55" i="80"/>
  <c r="M53" i="80" s="1"/>
  <c r="C93" i="80"/>
  <c r="C86" i="80" s="1"/>
  <c r="C64" i="80"/>
  <c r="C63" i="80" s="1"/>
  <c r="C67" i="80" s="1"/>
  <c r="H108" i="80"/>
  <c r="D122" i="80"/>
  <c r="D123" i="80" s="1"/>
  <c r="C68" i="80" l="1"/>
  <c r="D54" i="80" s="1"/>
  <c r="D59" i="80"/>
  <c r="M55" i="80" s="1"/>
  <c r="C95" i="80"/>
  <c r="L65" i="80"/>
  <c r="M65" i="80" s="1"/>
  <c r="L63" i="80"/>
  <c r="M63" i="80" s="1"/>
  <c r="L68" i="80"/>
  <c r="M68" i="80" s="1"/>
  <c r="L67" i="80"/>
  <c r="M67" i="80" s="1"/>
  <c r="L64" i="80"/>
  <c r="M64" i="80" s="1"/>
  <c r="L66" i="80"/>
  <c r="M66" i="80" s="1"/>
  <c r="C79" i="80"/>
  <c r="C80" i="80" l="1"/>
  <c r="E80" i="80" s="1"/>
  <c r="E81" i="80" s="1"/>
  <c r="M69" i="80"/>
  <c r="N69" i="80" s="1"/>
  <c r="C96" i="80"/>
  <c r="E96" i="80" s="1"/>
  <c r="E97" i="80" s="1"/>
  <c r="C81" i="80" l="1"/>
  <c r="C97" i="80"/>
  <c r="D58" i="80" s="1"/>
  <c r="D56" i="80" s="1"/>
  <c r="M54" i="80" s="1"/>
  <c r="N57" i="80" s="1"/>
  <c r="P57" i="80" l="1"/>
  <c r="N58" i="80"/>
  <c r="N59" i="80"/>
  <c r="H111" i="80" s="1"/>
  <c r="D126" i="80" s="1"/>
  <c r="D127" i="80" s="1"/>
  <c r="I15" i="74" l="1"/>
  <c r="P59" i="80"/>
  <c r="N61" i="80"/>
  <c r="H112" i="80" s="1"/>
  <c r="N60" i="80"/>
  <c r="E16" i="74" l="1"/>
  <c r="F16" i="74"/>
  <c r="B5" i="74"/>
  <c r="B6" i="74" l="1"/>
  <c r="C5" i="74"/>
  <c r="D5" i="74"/>
  <c r="C6" i="74" l="1"/>
  <c r="D6" i="74"/>
  <c r="B8" i="74" l="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<sst xmlns="http://schemas.openxmlformats.org/spreadsheetml/2006/main" count="10085" uniqueCount="4115">
  <si>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</si>
  <si>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</si>
  <si>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</si>
  <si>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</si>
  <si>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</si>
  <si>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</si>
  <si>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</si>
  <si>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</si>
  <si>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</si>
  <si>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</si>
  <si>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</si>
  <si>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</si>
  <si>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</si>
  <si>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</si>
  <si>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</si>
  <si>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</si>
  <si>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</si>
  <si>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</si>
  <si>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</si>
  <si>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</si>
  <si>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</si>
  <si>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</si>
  <si>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</si>
  <si>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</si>
  <si>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</si>
  <si>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</si>
  <si>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</si>
  <si>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</si>
  <si>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</si>
  <si>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</si>
  <si>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</si>
  <si>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</si>
  <si>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</si>
  <si>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</si>
  <si>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</si>
  <si>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</si>
  <si>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</si>
  <si>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</si>
  <si>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</si>
  <si>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</si>
  <si>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</si>
  <si>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</si>
  <si>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</si>
  <si>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</si>
  <si>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</si>
  <si>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</si>
  <si>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</si>
  <si>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</si>
  <si>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</si>
  <si>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</si>
  <si>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</si>
  <si>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</si>
  <si>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</si>
  <si>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</si>
  <si>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</si>
  <si>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</si>
  <si>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</si>
  <si>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</si>
  <si>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</si>
  <si>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</si>
  <si>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</si>
  <si>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</si>
  <si>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</si>
  <si>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</si>
  <si>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</si>
  <si>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</si>
  <si>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</si>
  <si>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</si>
  <si>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</si>
  <si>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</si>
  <si>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</si>
  <si>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</si>
  <si>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</si>
  <si>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</si>
  <si>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</si>
  <si>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</si>
  <si>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</si>
  <si>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</si>
  <si>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</si>
  <si>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</si>
  <si>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</si>
  <si>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</si>
  <si>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</si>
  <si>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</si>
  <si>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</si>
  <si>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</si>
  <si>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</si>
  <si>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</si>
  <si>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</si>
  <si>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</si>
  <si>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</si>
  <si>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</si>
  <si>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</si>
  <si>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</si>
  <si>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</si>
  <si>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</si>
  <si>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</si>
  <si>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</si>
  <si>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</si>
  <si>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</si>
  <si>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</si>
  <si>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</si>
  <si>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</si>
  <si>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</si>
  <si>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</si>
  <si>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</si>
  <si>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</si>
  <si>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</si>
  <si>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</si>
  <si>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</si>
  <si>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</si>
  <si>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</si>
  <si>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</si>
  <si>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</si>
  <si>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</si>
  <si>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</si>
  <si>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</si>
  <si>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</si>
  <si>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</si>
  <si>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</si>
  <si>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</si>
  <si>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</si>
  <si>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</si>
  <si>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</si>
  <si>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</si>
  <si>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</si>
  <si>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</si>
  <si>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</si>
  <si>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</si>
  <si>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</si>
  <si>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</si>
  <si>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</si>
  <si>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</si>
  <si>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</si>
  <si>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</si>
  <si>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</si>
  <si>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</si>
  <si>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</si>
  <si>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</si>
  <si>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</si>
  <si>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</si>
  <si>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</si>
  <si>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</si>
  <si>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</si>
  <si>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</si>
  <si>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</si>
  <si>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</si>
  <si>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</si>
  <si>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</si>
  <si>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</si>
  <si>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</si>
  <si>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</si>
  <si>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</si>
  <si>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</si>
  <si>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</si>
  <si>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</si>
  <si>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</si>
  <si>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</si>
  <si>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</si>
  <si>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</si>
  <si>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</si>
  <si>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</si>
  <si>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</si>
  <si>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</si>
  <si>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</si>
  <si>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</si>
  <si>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</si>
  <si>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</si>
  <si>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</si>
  <si>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</si>
  <si>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</si>
  <si>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</si>
  <si>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</si>
  <si>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</si>
  <si>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</si>
  <si>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</si>
  <si>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</si>
  <si>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</si>
  <si>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</si>
  <si>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</si>
  <si>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</si>
  <si>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</si>
  <si>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</si>
  <si>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</si>
  <si>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</si>
  <si>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</si>
  <si>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</si>
  <si>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</si>
  <si>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</si>
  <si>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</si>
  <si>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</si>
  <si>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</si>
  <si>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</si>
  <si>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</si>
  <si>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</si>
  <si>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</si>
  <si>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</si>
  <si>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</si>
  <si>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</si>
  <si>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</si>
  <si>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</si>
  <si>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</si>
  <si>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</si>
  <si>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</si>
  <si>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</si>
  <si>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</si>
  <si>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</si>
  <si>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</si>
  <si>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</si>
  <si>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</si>
  <si>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</si>
  <si>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</si>
  <si>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</si>
  <si>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</si>
  <si>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</si>
  <si>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</si>
  <si>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</si>
  <si>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</si>
  <si>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</si>
  <si>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</si>
  <si>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</si>
  <si>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</si>
  <si>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</si>
  <si>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</si>
  <si>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</si>
  <si>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</si>
  <si>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</si>
  <si>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</si>
  <si>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</si>
  <si>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</si>
  <si>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</si>
  <si>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</si>
  <si>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</si>
  <si>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</si>
  <si>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</si>
  <si>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</si>
  <si>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</si>
  <si>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</si>
  <si>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</si>
  <si>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</si>
  <si>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</si>
  <si>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</si>
  <si>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</si>
  <si>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</si>
  <si>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</si>
  <si>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</si>
  <si>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</si>
  <si>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</si>
  <si>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</si>
  <si>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</si>
  <si>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</si>
  <si>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</si>
  <si>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</si>
  <si>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</si>
  <si>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</si>
  <si>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</si>
  <si>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</si>
  <si>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</si>
  <si>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</si>
  <si>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</si>
  <si>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</si>
  <si>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</si>
  <si>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</si>
  <si>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</si>
  <si>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</si>
  <si>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</si>
  <si>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</si>
  <si>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</si>
  <si>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</si>
  <si>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</si>
  <si>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</si>
  <si>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</si>
  <si>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</si>
  <si>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</si>
  <si>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</si>
  <si>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</si>
  <si>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</si>
  <si>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</si>
  <si>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</si>
  <si>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</si>
  <si>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</si>
  <si>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</si>
  <si>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</si>
  <si>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</si>
  <si>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</si>
  <si>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</si>
  <si>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</si>
  <si>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</si>
  <si>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</si>
  <si>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</si>
  <si>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</si>
  <si>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</si>
  <si>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</si>
  <si>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</si>
  <si>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</si>
  <si>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</si>
  <si>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</si>
  <si>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</si>
  <si>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</si>
  <si>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</si>
  <si>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</si>
  <si>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</si>
  <si>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</si>
  <si>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</si>
  <si>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</si>
  <si>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</si>
  <si>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</si>
  <si>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</si>
  <si>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</si>
  <si>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</si>
  <si>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</si>
  <si>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</si>
  <si>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</si>
  <si>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</si>
  <si>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</si>
  <si>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</si>
  <si>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</si>
  <si>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</si>
  <si>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</si>
  <si>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</si>
  <si>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</si>
  <si>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</si>
  <si>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</si>
  <si>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</si>
  <si>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</si>
  <si>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</si>
  <si>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</si>
  <si>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</si>
  <si>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</si>
  <si>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</si>
  <si>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</si>
  <si>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</si>
  <si>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</si>
  <si>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</si>
  <si>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</si>
  <si>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</si>
  <si>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</si>
  <si>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</si>
  <si>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</si>
  <si>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</si>
  <si>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</si>
  <si>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</si>
  <si>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</si>
  <si>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</si>
  <si>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</si>
  <si>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</si>
  <si>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</si>
  <si>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</si>
  <si>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</si>
  <si>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</si>
  <si>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</si>
  <si>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</si>
  <si>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</si>
  <si>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</si>
  <si>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</si>
  <si>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</si>
  <si>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</si>
  <si>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</si>
  <si>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</si>
  <si>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</si>
  <si>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</si>
  <si>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</si>
  <si>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</si>
  <si>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</si>
  <si>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</si>
  <si>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</si>
  <si>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</si>
  <si>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</si>
  <si>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</si>
  <si>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</si>
  <si>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</si>
  <si>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</si>
  <si>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</si>
  <si>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</si>
  <si>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</si>
  <si>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</si>
  <si>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</si>
  <si>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</si>
  <si>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</si>
  <si>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</si>
  <si>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</si>
  <si>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</si>
  <si>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</si>
  <si>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</si>
  <si>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</si>
  <si>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</si>
  <si>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</si>
  <si>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</si>
  <si>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</si>
  <si>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</si>
  <si>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</si>
  <si>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</si>
  <si>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</si>
  <si>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</si>
  <si>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</si>
  <si>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</si>
  <si>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</si>
  <si>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</si>
  <si>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</si>
  <si>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</si>
  <si>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</si>
  <si>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</si>
  <si>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</si>
  <si>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</si>
  <si>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</si>
  <si>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</si>
  <si>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</si>
  <si>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</si>
  <si>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</si>
  <si>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</si>
  <si>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</si>
  <si>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</si>
  <si>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</si>
  <si>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</si>
  <si>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</si>
  <si>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</si>
  <si>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</si>
  <si>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</si>
  <si>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</si>
  <si>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</si>
  <si>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</si>
  <si>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</si>
  <si>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</si>
  <si>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</si>
  <si>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</si>
  <si>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</si>
  <si>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</si>
  <si>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</si>
  <si>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</si>
  <si>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</si>
  <si>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</si>
  <si>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</si>
  <si>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</si>
  <si>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</si>
  <si>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</si>
  <si>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</si>
  <si>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</si>
  <si>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</si>
  <si>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</si>
  <si>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</si>
  <si>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</si>
  <si>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</si>
  <si>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</si>
  <si>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</si>
  <si>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</si>
  <si>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</si>
  <si>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</si>
  <si>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</si>
  <si>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</si>
  <si>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</si>
  <si>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</si>
  <si>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</si>
  <si>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</si>
  <si>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</si>
  <si>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</si>
  <si>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</si>
  <si>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</si>
  <si>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</si>
  <si>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</si>
  <si>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</si>
  <si>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</si>
  <si>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</si>
  <si>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</si>
  <si>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</si>
  <si>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</si>
  <si>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</si>
  <si>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</si>
  <si>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</si>
  <si>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</si>
  <si>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</si>
  <si>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</si>
  <si>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</si>
  <si>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</si>
  <si>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</si>
  <si>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</si>
  <si>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</si>
  <si>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</si>
  <si>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</si>
  <si>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</si>
  <si>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</si>
  <si>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</si>
  <si>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</si>
  <si>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</si>
  <si>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</si>
  <si>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</si>
  <si>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</si>
  <si>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</si>
  <si>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</si>
  <si>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</si>
  <si>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</si>
  <si>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</si>
  <si>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</si>
  <si>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</si>
  <si>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</si>
  <si>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</si>
  <si>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</si>
  <si>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</si>
  <si>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</si>
  <si>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</si>
  <si>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</si>
  <si>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</si>
  <si>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</si>
  <si>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</si>
  <si>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</si>
  <si>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</si>
  <si>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</si>
  <si>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</si>
  <si>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</si>
  <si>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</si>
  <si>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</si>
  <si>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</si>
  <si>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</si>
  <si>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</si>
  <si>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</si>
  <si>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</si>
  <si>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</si>
  <si>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</si>
  <si>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</si>
  <si>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</si>
  <si>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</si>
  <si>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</si>
  <si>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</si>
  <si>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</si>
  <si>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</si>
  <si>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</si>
  <si>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</si>
  <si>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</si>
  <si>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</si>
  <si>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</si>
  <si>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</si>
  <si>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</si>
  <si>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</si>
  <si>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</si>
  <si>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</si>
  <si>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</si>
  <si>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</si>
  <si>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</si>
  <si>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</si>
  <si>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</si>
  <si>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</si>
  <si>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</si>
  <si>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</si>
  <si>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</si>
  <si>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</si>
  <si>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</si>
  <si>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</si>
  <si>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</si>
  <si>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</si>
  <si>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</si>
  <si>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</si>
  <si>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</si>
  <si>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</si>
  <si>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</si>
  <si>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</si>
  <si>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</si>
  <si>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</si>
  <si>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</si>
  <si>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</si>
  <si>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</si>
  <si>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</si>
  <si>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</si>
  <si>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</si>
  <si>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</si>
  <si>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</si>
  <si>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</si>
  <si>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</si>
  <si>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</si>
  <si>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</si>
  <si>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</si>
  <si>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</si>
  <si>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</si>
  <si>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</si>
  <si>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</si>
  <si>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</si>
  <si>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</si>
  <si>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</si>
  <si>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</si>
  <si>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</si>
  <si>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</si>
  <si>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</si>
  <si>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</si>
  <si>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</si>
  <si>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</si>
  <si>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</si>
  <si>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</si>
  <si>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</si>
  <si>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</si>
  <si>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</si>
  <si>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</si>
  <si>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</si>
  <si>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</si>
  <si>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</si>
  <si>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</si>
  <si>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</si>
  <si>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</si>
  <si>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</si>
  <si>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</si>
  <si>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</si>
  <si>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</si>
  <si>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</si>
  <si>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</si>
  <si>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</si>
  <si>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</si>
  <si>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</si>
  <si>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</si>
  <si>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</si>
  <si>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</si>
  <si>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</si>
  <si>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</si>
  <si>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</si>
  <si>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</si>
  <si>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</si>
  <si>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</si>
  <si>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</si>
  <si>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</si>
  <si>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</si>
  <si>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</si>
  <si>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</si>
  <si>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</si>
  <si>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</si>
  <si>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</si>
  <si>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</si>
  <si>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</si>
  <si>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</si>
  <si>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</si>
  <si>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</si>
  <si>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</si>
  <si>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</si>
  <si>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</si>
  <si>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</si>
  <si>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</si>
  <si>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</si>
  <si>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</si>
  <si>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</si>
  <si>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</si>
  <si>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</si>
  <si>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</si>
  <si>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</si>
  <si>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</si>
  <si>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</si>
  <si>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</si>
  <si>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</si>
  <si>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</si>
  <si>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</si>
  <si>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</si>
  <si>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</si>
  <si>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</si>
  <si>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</si>
  <si>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</si>
  <si>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</si>
  <si>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</si>
  <si>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</si>
  <si>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</si>
  <si>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</si>
  <si>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</si>
  <si>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</si>
  <si>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</si>
  <si>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</si>
  <si>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</si>
  <si>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</si>
  <si>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</si>
  <si>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</si>
  <si>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</si>
  <si>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</si>
  <si>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</si>
  <si>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</si>
  <si>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</si>
  <si>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</si>
  <si>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</si>
  <si>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</si>
  <si>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</si>
  <si>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</si>
  <si>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</si>
  <si>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</si>
  <si>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</si>
  <si>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</si>
  <si>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</si>
  <si>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</si>
  <si>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</si>
  <si>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</si>
  <si>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</si>
  <si>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</si>
  <si>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</si>
  <si>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</si>
  <si>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</si>
  <si>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</si>
  <si>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</si>
  <si>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</si>
  <si>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</si>
  <si>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</si>
  <si>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</si>
  <si>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</si>
  <si>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</si>
  <si>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</si>
  <si>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</si>
  <si>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</si>
  <si>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</si>
  <si>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</si>
  <si>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</si>
  <si>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</si>
  <si>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</si>
  <si>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</si>
  <si>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</si>
  <si>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</si>
  <si>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</si>
  <si>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</si>
  <si>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</si>
  <si>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</si>
  <si>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</si>
  <si>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</si>
  <si>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</si>
  <si>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</si>
  <si>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</si>
  <si>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</si>
  <si>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</si>
  <si>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</si>
  <si>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</si>
  <si>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</si>
  <si>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</si>
  <si>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</si>
  <si>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</si>
  <si>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</si>
  <si>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</si>
  <si>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</si>
  <si>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</si>
  <si>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</si>
  <si>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</si>
  <si>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</si>
  <si>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</si>
  <si>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</si>
  <si>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</si>
  <si>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</si>
  <si>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</si>
  <si>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</si>
  <si>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</si>
  <si>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</si>
  <si>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</si>
  <si>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</si>
  <si>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</si>
  <si>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</si>
  <si>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</si>
  <si>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</si>
  <si>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</si>
  <si>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</si>
  <si>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</si>
  <si>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</si>
  <si>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</si>
  <si>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</si>
  <si>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</si>
  <si>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</si>
  <si>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</si>
  <si>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</si>
  <si>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</si>
  <si>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</si>
  <si>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</si>
  <si>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</si>
  <si>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</si>
  <si>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</si>
  <si>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</si>
  <si>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</si>
  <si>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</si>
  <si>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</si>
  <si>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</si>
  <si>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</si>
  <si>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</si>
  <si>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</si>
  <si>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</si>
  <si>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</si>
  <si>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</si>
  <si>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</si>
  <si>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</si>
  <si>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</si>
  <si>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</si>
  <si>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</si>
  <si>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</si>
  <si>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</si>
  <si>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</si>
  <si>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</si>
  <si>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</si>
  <si>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</si>
  <si>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</si>
  <si>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</si>
  <si>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</si>
  <si>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</si>
  <si>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</si>
  <si>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</si>
  <si>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</si>
  <si>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</si>
  <si>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</si>
  <si>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</si>
  <si>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</si>
  <si>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</si>
  <si>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</si>
  <si>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</si>
  <si>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</si>
  <si>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</si>
  <si>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</si>
  <si>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</si>
  <si>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</si>
  <si>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</si>
  <si>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</si>
  <si>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</si>
  <si>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</si>
  <si>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</si>
  <si>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</si>
  <si>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</si>
  <si>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</si>
  <si>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</si>
  <si>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</si>
  <si>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</si>
  <si>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</si>
  <si>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</si>
  <si>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</si>
  <si>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</si>
  <si>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</si>
  <si>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</si>
  <si>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</si>
  <si>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</si>
  <si>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</si>
  <si>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</si>
  <si>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</si>
  <si>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</si>
  <si>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</si>
  <si>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</si>
  <si>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</si>
  <si>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</si>
  <si>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</si>
  <si>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</si>
  <si>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</si>
  <si>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</si>
  <si>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</si>
  <si>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</si>
  <si>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</si>
  <si>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</si>
  <si>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</si>
  <si>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</si>
  <si>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</si>
  <si>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</si>
  <si>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</si>
  <si>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</si>
  <si>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</si>
  <si>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</si>
  <si>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</si>
  <si>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</si>
  <si>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</si>
  <si>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</si>
  <si>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</si>
  <si>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</si>
  <si>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</si>
  <si>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</si>
  <si>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</si>
  <si>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</si>
  <si>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</si>
  <si>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</si>
  <si>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</si>
  <si>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</si>
  <si>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</si>
  <si>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</si>
  <si>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</si>
  <si>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</si>
  <si>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</si>
  <si>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</si>
  <si>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</si>
  <si>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</si>
  <si>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</si>
  <si>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</si>
  <si>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</si>
  <si>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</si>
  <si>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</si>
  <si>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</si>
  <si>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</si>
  <si>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</si>
  <si>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</si>
  <si>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</si>
  <si>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</si>
  <si>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</si>
  <si>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</si>
  <si>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</si>
  <si>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</si>
  <si>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</si>
  <si>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</si>
  <si>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</si>
  <si>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</si>
  <si>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</si>
  <si>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</si>
  <si>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</si>
  <si>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</si>
  <si>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</si>
  <si>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</si>
  <si>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</si>
  <si>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</si>
  <si>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</si>
  <si>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</si>
  <si>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</si>
  <si>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</si>
  <si>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</si>
  <si>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</si>
  <si>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</si>
  <si>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</si>
  <si>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</si>
  <si>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</si>
  <si>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</si>
  <si>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</si>
  <si>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</si>
  <si>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</si>
  <si>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</si>
  <si>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</si>
  <si>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</si>
  <si>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</si>
  <si>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</si>
  <si>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</si>
  <si>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</si>
  <si>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</si>
  <si>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</si>
  <si>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</si>
  <si>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</si>
  <si>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</si>
  <si>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</si>
  <si>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</si>
  <si>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</si>
  <si>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</si>
  <si>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</si>
  <si>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</si>
  <si>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</si>
  <si>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</si>
  <si>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</si>
  <si>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</si>
  <si>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</si>
  <si>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</si>
  <si>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</si>
  <si>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</si>
  <si>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</si>
  <si>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</si>
  <si>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</si>
  <si>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</si>
  <si>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</si>
  <si>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</si>
  <si>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</si>
  <si>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</si>
  <si>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</si>
  <si>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</si>
  <si>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</si>
  <si>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</si>
  <si>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</si>
  <si>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</si>
  <si>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</si>
  <si>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</si>
  <si>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</si>
  <si>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</si>
  <si>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</si>
  <si>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</si>
  <si>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</si>
  <si>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</si>
  <si>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</si>
  <si>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</si>
  <si>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</si>
  <si>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</si>
  <si>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</si>
  <si>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</si>
  <si>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</si>
  <si>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</si>
  <si>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</si>
  <si>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</si>
  <si>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</si>
  <si>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</si>
  <si>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</si>
  <si>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</si>
  <si>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</si>
  <si>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</si>
  <si>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</si>
  <si>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</si>
  <si>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</si>
  <si>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</si>
  <si>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</si>
  <si>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</si>
  <si>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</si>
  <si>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</si>
  <si>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</si>
  <si>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</si>
  <si>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</si>
  <si>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</si>
  <si>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</si>
  <si>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</si>
  <si>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</si>
  <si>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</si>
  <si>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</si>
  <si>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</si>
  <si>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</si>
  <si>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</si>
  <si>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</si>
  <si>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</si>
  <si>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</si>
  <si>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</si>
  <si>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</si>
  <si>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</si>
  <si>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</si>
  <si>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</si>
  <si>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</si>
  <si>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</si>
  <si>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</si>
  <si>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</si>
  <si>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</si>
  <si>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</si>
  <si>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</si>
  <si>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</si>
  <si>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</si>
  <si>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</si>
  <si>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</si>
  <si>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</si>
  <si>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</si>
  <si>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</si>
  <si>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</si>
  <si>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</si>
  <si>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</si>
  <si>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</si>
  <si>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</si>
  <si>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</si>
  <si>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</si>
  <si>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</si>
  <si>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</si>
  <si>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</si>
  <si>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</si>
  <si>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</si>
  <si>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</si>
  <si>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</si>
  <si>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</si>
  <si>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</si>
  <si>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</si>
  <si>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</si>
  <si>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</si>
  <si>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</si>
  <si>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</si>
  <si>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</si>
  <si>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</si>
  <si>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</si>
  <si>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</si>
  <si>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</si>
  <si>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</si>
  <si>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</si>
  <si>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</si>
  <si>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</si>
  <si>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</si>
  <si>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</si>
  <si>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</si>
  <si>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</si>
  <si>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</si>
  <si>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</si>
  <si>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</si>
  <si>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</si>
  <si>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</si>
  <si>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</si>
  <si>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</si>
  <si>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</si>
  <si>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</si>
  <si>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</si>
  <si>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</si>
  <si>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</si>
  <si>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</si>
  <si>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</si>
  <si>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</si>
  <si>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</si>
  <si>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</si>
  <si>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</si>
  <si>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</si>
  <si>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</si>
  <si>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</si>
  <si>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</si>
  <si>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</si>
  <si>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</si>
  <si>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</si>
  <si>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</si>
  <si>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</si>
  <si>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</si>
  <si>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</si>
  <si>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</si>
  <si>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</si>
  <si>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</si>
  <si>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</si>
  <si>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</si>
  <si>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</si>
  <si>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</si>
  <si>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</si>
  <si>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</si>
  <si>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</si>
  <si>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</si>
  <si>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</si>
  <si>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</si>
  <si>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</si>
  <si>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</si>
  <si>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</si>
  <si>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</si>
  <si>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</si>
  <si>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</si>
  <si>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</si>
  <si>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</si>
  <si>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</si>
  <si>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</si>
  <si>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</si>
  <si>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</si>
  <si>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</si>
  <si>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</si>
  <si>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</si>
  <si>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</si>
  <si>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</si>
  <si>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</si>
  <si>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</si>
  <si>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</si>
  <si>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</si>
  <si>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</si>
  <si>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</si>
  <si>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</si>
  <si>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</si>
  <si>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</si>
  <si>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</si>
  <si>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</si>
  <si>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</si>
  <si>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</si>
  <si>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</si>
  <si>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</si>
  <si>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</si>
  <si>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</si>
  <si>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</si>
  <si>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</si>
  <si>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</si>
  <si>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</si>
  <si>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</si>
  <si>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</si>
  <si>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</si>
  <si>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</si>
  <si>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</si>
  <si>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</si>
  <si>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</si>
  <si>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</si>
  <si>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</si>
  <si>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</si>
  <si>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</si>
  <si>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</si>
  <si>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</si>
  <si>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</si>
  <si>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</si>
  <si>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</si>
  <si>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</si>
  <si>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</si>
  <si>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</si>
  <si>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</si>
  <si>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</si>
  <si>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</si>
  <si>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</si>
  <si>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</si>
  <si>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</si>
  <si>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</si>
  <si>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</si>
  <si>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</si>
  <si>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</si>
  <si>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</si>
  <si>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</si>
  <si>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</si>
  <si>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</si>
  <si>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</si>
  <si>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</si>
  <si>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</si>
  <si>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</si>
  <si>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</si>
  <si>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</si>
  <si>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</si>
  <si>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</si>
  <si>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</si>
  <si>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</si>
  <si>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</si>
  <si>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</si>
  <si>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</si>
  <si>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</si>
  <si>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</si>
  <si>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</si>
  <si>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</si>
  <si>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</si>
  <si>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</si>
  <si>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</si>
  <si>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</si>
  <si>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</si>
  <si>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</si>
  <si>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</si>
  <si>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</si>
  <si>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</si>
  <si>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</si>
  <si>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</si>
  <si>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</si>
  <si>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</si>
  <si>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</si>
  <si>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</si>
  <si>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</si>
  <si>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</si>
  <si>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</si>
  <si>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</si>
  <si>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</si>
  <si>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</si>
  <si>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</si>
  <si>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</si>
  <si>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</si>
  <si>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</si>
  <si>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</si>
  <si>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</si>
  <si>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</si>
  <si>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</si>
  <si>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</si>
  <si>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</si>
  <si>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</si>
  <si>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</si>
  <si>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</si>
  <si>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</si>
  <si>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</si>
  <si>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</si>
  <si>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</si>
  <si>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</si>
  <si>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</si>
  <si>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</si>
  <si>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</si>
  <si>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</si>
  <si>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</si>
  <si>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</si>
  <si>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</si>
  <si>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</si>
  <si>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</si>
  <si>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</si>
  <si>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</si>
  <si>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</si>
  <si>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</si>
  <si>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</si>
  <si>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</si>
  <si>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</si>
  <si>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</si>
  <si>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</si>
  <si>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</si>
  <si>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</si>
  <si>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</si>
  <si>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</si>
  <si>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</si>
  <si>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</si>
  <si>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</si>
  <si>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</si>
  <si>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</si>
  <si>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</si>
  <si>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</si>
  <si>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</si>
  <si>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</si>
  <si>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</si>
  <si>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</si>
  <si>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</si>
  <si>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</si>
  <si>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</si>
  <si>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</si>
  <si>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</si>
  <si>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</si>
  <si>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</si>
  <si>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</si>
  <si>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</si>
  <si>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</si>
  <si>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</si>
  <si>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</si>
  <si>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</si>
  <si>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</si>
  <si>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</si>
  <si>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</si>
  <si>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</si>
  <si>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</si>
  <si>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</si>
  <si>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</si>
  <si>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</si>
  <si>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</si>
  <si>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</si>
  <si>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</si>
  <si>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</si>
  <si>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</si>
  <si>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</si>
  <si>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</si>
  <si>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</si>
  <si>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</si>
  <si>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</si>
  <si>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</si>
  <si>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</si>
  <si>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</si>
  <si>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</si>
  <si>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</si>
  <si>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</si>
  <si>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</si>
  <si>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</si>
  <si>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</si>
  <si>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</si>
  <si>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</si>
  <si>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</si>
  <si>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</si>
  <si>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</si>
  <si>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</si>
  <si>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</si>
  <si>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</si>
  <si>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</si>
  <si>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</si>
  <si>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</si>
  <si>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</si>
  <si>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</si>
  <si>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</si>
  <si>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</si>
  <si>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</si>
  <si>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</si>
  <si>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</si>
  <si>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</si>
  <si>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</si>
  <si>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</si>
  <si>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</si>
  <si>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</si>
  <si>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</si>
  <si>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</si>
  <si>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</si>
  <si>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</si>
  <si>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</si>
  <si>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</si>
  <si>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</si>
  <si>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</si>
  <si>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</si>
  <si>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</si>
  <si>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</si>
  <si>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</si>
  <si>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</si>
  <si>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</si>
  <si>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</si>
  <si>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</si>
  <si>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</si>
  <si>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</si>
  <si>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</si>
  <si>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</si>
  <si>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</si>
  <si>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</si>
  <si>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</si>
  <si>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</si>
  <si>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</si>
  <si>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</si>
  <si>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</si>
  <si>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</si>
  <si>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</si>
  <si>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</si>
  <si>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</si>
  <si>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</si>
  <si>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</si>
  <si>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</si>
  <si>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</si>
  <si>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</si>
  <si>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</si>
  <si>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</si>
  <si>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</si>
  <si>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</si>
  <si>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</si>
  <si>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</si>
  <si>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</si>
  <si>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</si>
  <si>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</si>
  <si>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</si>
  <si>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</si>
  <si>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</si>
  <si>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</si>
  <si>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</si>
  <si>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</si>
  <si>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</si>
  <si>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</si>
  <si>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</si>
  <si>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</si>
  <si>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</si>
  <si>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</si>
  <si>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</si>
  <si>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</si>
  <si>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</si>
  <si>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</si>
  <si>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</si>
  <si>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</si>
  <si>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</si>
  <si>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</si>
  <si>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</si>
  <si>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</si>
  <si>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</si>
  <si>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</si>
  <si>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</si>
  <si>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</si>
  <si>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</si>
  <si>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</si>
  <si>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</si>
  <si>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</si>
  <si>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</si>
  <si>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</si>
  <si>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</si>
  <si>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</si>
  <si>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</si>
  <si>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</si>
  <si>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</si>
  <si>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</si>
  <si>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</si>
  <si>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</si>
  <si>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</si>
  <si>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</si>
  <si>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</si>
  <si>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</si>
  <si>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</si>
  <si>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</si>
  <si>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</si>
  <si>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</si>
  <si>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</si>
  <si>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</si>
  <si>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</si>
  <si>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</si>
  <si>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</si>
  <si>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</si>
  <si>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</si>
  <si>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</si>
  <si>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</si>
  <si>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</si>
  <si>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</si>
  <si>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</si>
  <si>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</si>
  <si>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</si>
  <si>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</si>
  <si>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</si>
  <si>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</si>
  <si>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</si>
  <si>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</si>
  <si>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</si>
  <si>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</si>
  <si>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</si>
  <si>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</si>
  <si>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</si>
  <si>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</si>
  <si>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</si>
  <si>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</si>
  <si>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</si>
  <si>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</si>
  <si>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</si>
  <si>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</si>
  <si>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</si>
  <si>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</si>
  <si>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</si>
  <si>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</si>
  <si>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</si>
  <si>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</si>
  <si>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</si>
  <si>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</si>
  <si>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</si>
  <si>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</si>
  <si>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</si>
  <si>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</si>
  <si>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</si>
  <si>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</si>
  <si>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</si>
  <si>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</si>
  <si>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</si>
  <si>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</si>
  <si>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</si>
  <si>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</si>
  <si>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</si>
  <si>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</si>
  <si>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</si>
  <si>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</si>
  <si>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</si>
  <si>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</si>
  <si>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</si>
  <si>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</si>
  <si>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</si>
  <si>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</si>
  <si>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</si>
  <si>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</si>
  <si>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</si>
  <si>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</si>
  <si>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</si>
  <si>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</si>
  <si>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</si>
  <si>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</si>
  <si>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</si>
  <si>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</si>
  <si>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</si>
  <si>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</si>
  <si>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</si>
  <si>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</si>
  <si>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</si>
  <si>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</si>
  <si>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</si>
  <si>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</si>
  <si>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</si>
  <si>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</si>
  <si>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</si>
  <si>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</si>
  <si>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</si>
  <si>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</si>
  <si>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</si>
  <si>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</si>
  <si>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</si>
  <si>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</si>
  <si>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</si>
  <si>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</si>
  <si>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</si>
  <si>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</si>
  <si>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</si>
  <si>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</si>
  <si>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</si>
  <si>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</si>
  <si>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</si>
  <si>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</si>
  <si>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</si>
  <si>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</si>
  <si>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</si>
  <si>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</si>
  <si>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</si>
  <si>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</si>
  <si>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</si>
  <si>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</si>
  <si>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</si>
  <si>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</si>
  <si>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</si>
  <si>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</si>
  <si>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</si>
  <si>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</si>
  <si>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</si>
  <si>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</si>
  <si>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</si>
  <si>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</si>
  <si>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</si>
  <si>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</si>
  <si>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</si>
  <si>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</si>
  <si>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</si>
  <si>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</si>
  <si>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</si>
  <si>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</si>
  <si>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</si>
  <si>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</si>
  <si>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</si>
  <si>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</si>
  <si>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</si>
  <si>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</si>
  <si>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</si>
  <si>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</si>
  <si>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</si>
  <si>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</si>
  <si>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</si>
  <si>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</si>
  <si>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</si>
  <si>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</si>
  <si>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</si>
  <si>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</si>
  <si>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</si>
  <si>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</si>
  <si>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</si>
  <si>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</si>
  <si>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</si>
  <si>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</si>
  <si>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</si>
  <si>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</si>
  <si>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</si>
  <si>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</si>
  <si>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</si>
  <si>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</si>
  <si>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</si>
  <si>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</si>
  <si>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</si>
  <si>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</si>
  <si>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</si>
  <si>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</si>
  <si>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</si>
  <si>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</si>
  <si>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</si>
  <si>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</si>
  <si>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</si>
  <si>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</si>
  <si>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</si>
  <si>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</si>
  <si>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</si>
  <si>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</si>
  <si>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</si>
  <si>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</si>
  <si>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</si>
  <si>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</si>
  <si>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</si>
  <si>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</si>
  <si>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</si>
  <si>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</si>
  <si>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</si>
  <si>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</si>
  <si>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</si>
  <si>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</si>
  <si>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</si>
  <si>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</si>
  <si>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</si>
  <si>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</si>
  <si>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</si>
  <si>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</si>
  <si>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</si>
  <si>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</si>
  <si>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</si>
  <si>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</si>
  <si>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</si>
  <si>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</si>
  <si>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</si>
  <si>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</si>
  <si>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</si>
  <si>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</si>
  <si>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</si>
  <si>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</si>
  <si>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</si>
  <si>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</si>
  <si>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</si>
  <si>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</si>
  <si>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</si>
  <si>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</si>
  <si>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</si>
  <si>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</si>
  <si>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</si>
  <si>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</si>
  <si>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</si>
  <si>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</si>
  <si>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</si>
  <si>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</si>
  <si>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</si>
  <si>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</si>
  <si>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</si>
  <si>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</si>
  <si>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</si>
  <si>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</si>
  <si>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</si>
  <si>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</si>
  <si>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</si>
  <si>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</si>
  <si>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</si>
  <si>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</si>
  <si>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</si>
  <si>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</si>
  <si>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</si>
  <si>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</si>
  <si>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</si>
  <si>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</si>
  <si>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</si>
  <si>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</si>
  <si>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</si>
  <si>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</si>
  <si>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</si>
  <si>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</si>
  <si>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</si>
  <si>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</si>
  <si>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</si>
  <si>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</si>
  <si>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</si>
  <si>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</si>
  <si>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</si>
  <si>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</si>
  <si>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</si>
  <si>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</si>
  <si>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</si>
  <si>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</si>
  <si>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</si>
  <si>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</si>
  <si>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</si>
  <si>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</si>
  <si>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</si>
  <si>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</si>
  <si>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</si>
  <si>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</si>
  <si>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</si>
  <si>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</si>
  <si>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</si>
  <si>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</si>
  <si>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</si>
  <si>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</si>
  <si>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</si>
  <si>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</si>
  <si>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</si>
  <si>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</si>
  <si>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</si>
  <si>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</si>
  <si>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</si>
  <si>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</si>
  <si>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</si>
  <si>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</si>
  <si>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</si>
  <si>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</si>
  <si>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</si>
  <si>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</si>
  <si>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</si>
  <si>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</si>
  <si>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</si>
  <si>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</si>
  <si>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</si>
  <si>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</si>
  <si>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</si>
  <si>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</si>
  <si>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</si>
  <si>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</si>
  <si>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</si>
  <si>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</si>
  <si>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</si>
  <si>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</si>
  <si>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</si>
  <si>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</si>
  <si>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</si>
  <si>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</si>
  <si>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</si>
  <si>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</si>
  <si>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</si>
  <si>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</si>
  <si>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</si>
  <si>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</si>
  <si>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</si>
  <si>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</si>
  <si>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</si>
  <si>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</si>
  <si>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</si>
  <si>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</si>
  <si>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</si>
  <si>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</si>
  <si>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</si>
  <si>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</si>
  <si>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</si>
  <si>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</si>
  <si>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</si>
  <si>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</si>
  <si>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</si>
  <si>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</si>
  <si>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</si>
  <si>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</si>
  <si>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</si>
  <si>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</si>
  <si>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</si>
  <si>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</si>
  <si>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</si>
  <si>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</si>
  <si>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</si>
  <si>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</si>
  <si>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</si>
  <si>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</si>
  <si>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</si>
  <si>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</si>
  <si>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</si>
  <si>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</si>
  <si>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</si>
  <si>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</si>
  <si>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</si>
  <si>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</si>
  <si>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</si>
  <si>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</si>
  <si>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</si>
  <si>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</si>
  <si>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</si>
  <si>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</si>
  <si>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</si>
  <si>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</si>
  <si>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</si>
  <si>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</si>
  <si>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</si>
  <si>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</si>
  <si>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</si>
  <si>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</si>
  <si>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</si>
  <si>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</si>
  <si>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</si>
  <si>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</si>
  <si>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</si>
  <si>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</si>
  <si>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</si>
  <si>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</si>
  <si>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</si>
  <si>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</si>
  <si>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</si>
  <si>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</si>
  <si>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</si>
  <si>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</si>
  <si>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</si>
  <si>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</si>
  <si>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</si>
  <si>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</si>
  <si>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</si>
  <si>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</si>
  <si>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</si>
  <si>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</si>
  <si>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</si>
  <si>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</si>
  <si>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</si>
  <si>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</si>
  <si>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</si>
  <si>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</si>
  <si>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</si>
  <si>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</si>
  <si>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</si>
  <si>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</si>
  <si>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</si>
  <si>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</si>
  <si>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</si>
  <si>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</si>
  <si>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</si>
  <si>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</si>
  <si>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</si>
  <si>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</si>
  <si>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</si>
  <si>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</si>
  <si>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</si>
  <si>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</si>
  <si>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</si>
  <si>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</si>
  <si>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</si>
  <si>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</si>
  <si>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</si>
  <si>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</si>
  <si>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</si>
  <si>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</si>
  <si>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</si>
  <si>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</si>
  <si>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</si>
  <si>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</si>
  <si>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</si>
  <si>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</si>
  <si>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</si>
  <si>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</si>
  <si>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</si>
  <si>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</si>
  <si>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</si>
  <si>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</si>
  <si>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</si>
  <si>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</si>
  <si>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</si>
  <si>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</si>
  <si>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</si>
  <si>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</si>
  <si>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</si>
  <si>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</si>
  <si>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</si>
  <si>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</si>
  <si>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</si>
  <si>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</si>
  <si>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</si>
  <si>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</si>
  <si>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</si>
  <si>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</si>
  <si>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</si>
  <si>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</si>
  <si>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</si>
  <si>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</si>
  <si>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</si>
  <si>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</si>
  <si>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</si>
  <si>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</si>
  <si>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</si>
  <si>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</si>
  <si>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</si>
  <si>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</si>
  <si>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</si>
  <si>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</si>
  <si>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</si>
  <si>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</si>
  <si>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</si>
  <si>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</si>
  <si>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</si>
  <si>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</si>
  <si>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</si>
  <si>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</si>
  <si>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</si>
  <si>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</si>
  <si>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</si>
  <si>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</si>
  <si>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</si>
  <si>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</si>
  <si>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</si>
  <si>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</si>
  <si>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</si>
  <si>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</si>
  <si>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</si>
  <si>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</si>
  <si>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</si>
  <si>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</si>
  <si>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</si>
  <si>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</si>
  <si>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</si>
  <si>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</si>
  <si>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</si>
  <si>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</si>
  <si>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</si>
  <si>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</si>
  <si>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</si>
  <si>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</si>
  <si>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</si>
  <si>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</si>
  <si>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</si>
  <si>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</si>
  <si>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</si>
  <si>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</si>
  <si>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</si>
  <si>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</si>
  <si>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</si>
  <si>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</si>
  <si>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</si>
  <si>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</si>
  <si>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</si>
  <si>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</si>
  <si>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</si>
  <si>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</si>
  <si>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</si>
  <si>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</si>
  <si>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</si>
  <si>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</si>
  <si>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</si>
  <si>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</si>
  <si>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</si>
  <si>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</si>
  <si>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</si>
  <si>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</si>
  <si>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</si>
  <si>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</si>
  <si>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</si>
  <si>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</si>
  <si>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</si>
  <si>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</si>
  <si>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</si>
  <si>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</si>
  <si>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</si>
  <si>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</si>
  <si>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</si>
  <si>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</si>
  <si>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</si>
  <si>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</si>
  <si>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</si>
  <si>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</si>
  <si>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</si>
  <si>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</si>
  <si>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</si>
  <si>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</si>
  <si>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</si>
  <si>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</si>
  <si>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</si>
  <si>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</si>
  <si>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</si>
  <si>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</si>
  <si>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</si>
  <si>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</si>
  <si>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</si>
  <si>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</si>
  <si>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</si>
  <si>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</si>
  <si>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</si>
  <si>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</si>
  <si>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</si>
  <si>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</si>
  <si>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</si>
  <si>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</si>
  <si>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</si>
  <si>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</si>
  <si>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</si>
  <si>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</si>
  <si>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</si>
  <si>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</si>
  <si>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</si>
  <si>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</si>
  <si>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</si>
  <si>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</si>
  <si>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</si>
  <si>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</si>
  <si>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</si>
  <si>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</si>
  <si>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</si>
  <si>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</si>
  <si>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</si>
  <si>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</si>
  <si>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</si>
  <si>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</si>
  <si>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</si>
  <si>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</si>
  <si>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</si>
  <si>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</si>
  <si>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</si>
  <si>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</si>
  <si>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</si>
  <si>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</si>
  <si>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</si>
  <si>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</si>
  <si>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</si>
  <si>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</si>
  <si>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</si>
  <si>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</si>
  <si>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</si>
  <si>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</si>
  <si>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</si>
  <si>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</si>
  <si>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</si>
  <si>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</si>
  <si>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</si>
  <si>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</si>
  <si>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</si>
  <si>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</si>
  <si>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</si>
  <si>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</si>
  <si>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</si>
  <si>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</si>
  <si>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</si>
  <si>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</si>
  <si>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</si>
  <si>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</si>
  <si>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</si>
  <si>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</si>
  <si>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</si>
  <si>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</si>
  <si>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</si>
  <si>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</si>
  <si>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</si>
  <si>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</si>
  <si>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</si>
  <si>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</si>
  <si>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</si>
  <si>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</si>
  <si>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</si>
  <si>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</si>
  <si>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</si>
  <si>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</si>
  <si>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</si>
  <si>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</si>
  <si>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</si>
  <si>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</si>
  <si>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</si>
  <si>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</si>
  <si>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</si>
  <si>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</si>
  <si>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</si>
  <si>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</si>
  <si>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</si>
  <si>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</si>
  <si>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</si>
  <si>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</si>
  <si>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</si>
  <si>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</si>
  <si>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</si>
  <si>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</si>
  <si>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</si>
  <si>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</si>
  <si>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</si>
  <si>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</si>
  <si>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</si>
  <si>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</si>
  <si>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</si>
  <si>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</si>
  <si>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</si>
  <si>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</si>
  <si>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</si>
  <si>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</si>
  <si>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</si>
  <si>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</si>
  <si>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</si>
  <si>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</si>
  <si>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</si>
  <si>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</si>
  <si>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</si>
  <si>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</si>
  <si>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</si>
  <si>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</si>
  <si>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</si>
  <si>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</si>
  <si>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</si>
  <si>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</si>
  <si>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</si>
  <si>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</si>
  <si>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</si>
  <si>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</si>
  <si>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</si>
  <si>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</si>
  <si>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</si>
  <si>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</si>
  <si>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</si>
  <si>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</si>
  <si>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</si>
  <si>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</si>
  <si>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</si>
  <si>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</si>
  <si>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</si>
  <si>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</si>
  <si>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</si>
  <si>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</si>
  <si>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</si>
  <si>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</si>
  <si>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</si>
  <si>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</si>
  <si>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</si>
  <si>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</si>
  <si>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</si>
  <si>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</si>
  <si>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</si>
  <si>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</si>
  <si>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</si>
  <si>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</si>
  <si>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</si>
  <si>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</si>
  <si>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</si>
  <si>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</si>
  <si>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</si>
  <si>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</si>
  <si>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</si>
  <si>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</si>
  <si>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</si>
  <si>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</si>
  <si>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</si>
  <si>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</si>
  <si>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</si>
  <si>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</si>
  <si>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</si>
  <si>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</si>
  <si>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</si>
  <si>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</si>
  <si>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</si>
  <si>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</si>
  <si>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</si>
  <si>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</si>
  <si>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</si>
  <si>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</si>
  <si>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</si>
  <si>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</si>
  <si>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</si>
  <si>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</si>
  <si>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</si>
  <si>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</si>
  <si>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</si>
  <si>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</si>
  <si>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</si>
  <si>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</si>
  <si>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</si>
  <si>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</si>
  <si>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</si>
  <si>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</si>
  <si>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</si>
  <si>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</si>
  <si>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</si>
  <si>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</si>
  <si>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</si>
  <si>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</si>
  <si>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</si>
  <si>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</si>
  <si>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</si>
  <si>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</si>
  <si>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</si>
  <si>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</si>
  <si>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</si>
  <si>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</si>
  <si>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</si>
  <si>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</si>
  <si>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</si>
  <si>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</si>
  <si>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</si>
  <si>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</si>
  <si>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</si>
  <si>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</si>
  <si>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</si>
  <si>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</si>
  <si>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</si>
  <si>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</si>
  <si>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</si>
  <si>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</si>
  <si>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</si>
  <si>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</si>
  <si>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</si>
  <si>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</si>
  <si>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</si>
  <si>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</si>
  <si>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</si>
  <si>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</si>
  <si>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</si>
  <si>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</si>
  <si>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</si>
  <si>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</si>
  <si>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</si>
  <si>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</si>
  <si>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</si>
  <si>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</si>
  <si>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</si>
  <si>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</si>
  <si>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</si>
  <si>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</si>
  <si>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</si>
  <si>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</si>
  <si>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</si>
  <si>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</si>
  <si>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</si>
  <si>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</si>
  <si>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</si>
  <si>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</si>
  <si>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</si>
  <si>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</si>
  <si>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</si>
  <si>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</si>
  <si>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</si>
  <si>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</si>
  <si>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</si>
  <si>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</si>
  <si>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</si>
  <si>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</si>
  <si>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</si>
  <si>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</si>
  <si>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</si>
  <si>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</si>
  <si>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</si>
  <si>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</si>
  <si>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</si>
  <si>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</si>
  <si>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</si>
  <si>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</si>
  <si>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</si>
  <si>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</si>
  <si>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</si>
  <si>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</si>
  <si>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</si>
  <si>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</si>
  <si>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</si>
  <si>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</si>
  <si>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</si>
  <si>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</si>
  <si>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</si>
  <si>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</si>
  <si>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</si>
  <si>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</si>
  <si>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</si>
  <si>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</si>
  <si>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</si>
  <si>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</si>
  <si>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</si>
  <si>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</si>
  <si>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</si>
  <si>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</si>
  <si>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</si>
  <si>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</si>
  <si>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</si>
  <si>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</si>
  <si>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</si>
  <si>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</si>
  <si>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</si>
  <si>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</si>
  <si>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</si>
  <si>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</si>
  <si>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</si>
  <si>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</si>
  <si>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</si>
  <si>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</si>
  <si>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</si>
  <si>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</si>
  <si>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</si>
  <si>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</si>
  <si>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</si>
  <si>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</si>
  <si>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</si>
  <si>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</si>
  <si>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</si>
  <si>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</si>
  <si>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</si>
  <si>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</si>
  <si>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</si>
  <si>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</si>
  <si>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</si>
  <si>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</si>
  <si>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</si>
  <si>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</si>
  <si>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</si>
  <si>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</si>
  <si>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</si>
  <si>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</si>
  <si>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</si>
  <si>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</si>
  <si>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</si>
  <si>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</si>
  <si>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</si>
  <si>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</si>
  <si>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</si>
  <si>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</si>
  <si>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</si>
  <si>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</si>
  <si>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</si>
  <si>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</si>
  <si>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</si>
  <si>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</si>
  <si>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</si>
  <si>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</si>
  <si>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</si>
  <si>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</si>
  <si>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</si>
  <si>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</si>
  <si>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</si>
  <si>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</si>
  <si>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</si>
  <si>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</si>
  <si>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</si>
  <si>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</si>
  <si>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</si>
  <si>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</si>
  <si>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</si>
  <si>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</si>
  <si>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</si>
  <si>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</si>
  <si>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</si>
  <si>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</si>
  <si>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</si>
  <si>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</si>
  <si>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</si>
  <si>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</si>
  <si>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</si>
  <si>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</si>
  <si>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</si>
  <si>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</si>
  <si>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</si>
  <si>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</si>
  <si>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</si>
  <si>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</si>
  <si>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</si>
  <si>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</si>
  <si>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</si>
  <si>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</si>
  <si>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</si>
  <si>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</si>
  <si>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</si>
  <si>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</si>
  <si>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</si>
  <si>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</si>
  <si>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</si>
  <si>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</si>
  <si>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</si>
  <si>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</si>
  <si>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</si>
  <si>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</si>
  <si>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</si>
  <si>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</si>
  <si>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</si>
  <si>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</si>
  <si>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</si>
  <si>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</si>
  <si>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</si>
  <si>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</si>
  <si>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</si>
  <si>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</si>
  <si>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</si>
  <si>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</si>
  <si>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</si>
  <si>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</si>
  <si>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</si>
  <si>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</si>
  <si>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</si>
  <si>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</si>
  <si>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</si>
  <si>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</si>
  <si>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</si>
  <si>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</si>
  <si>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</si>
  <si>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</si>
  <si>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</si>
  <si>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</si>
  <si>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</si>
  <si>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</si>
  <si>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</si>
  <si>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</si>
  <si>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</si>
  <si>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</si>
  <si>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</si>
  <si>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</si>
  <si>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</si>
  <si>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</si>
  <si>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</si>
  <si>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</si>
  <si>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</si>
  <si>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</si>
  <si>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</si>
  <si>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</si>
  <si>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</si>
  <si>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</si>
  <si>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</si>
  <si>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</si>
  <si>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</si>
  <si>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</si>
  <si>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</si>
  <si>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</si>
  <si>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</si>
  <si>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</si>
  <si>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</si>
  <si>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</si>
  <si>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</si>
  <si>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</si>
  <si>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</si>
  <si>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</si>
  <si>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</si>
  <si>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</si>
  <si>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</si>
  <si>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</si>
  <si>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</si>
  <si>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</si>
  <si>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</si>
  <si>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</si>
  <si>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</si>
  <si>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</si>
  <si>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</si>
  <si>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</si>
  <si>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</si>
  <si>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</si>
  <si>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</si>
  <si>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</si>
  <si>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</si>
  <si>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</si>
  <si>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</si>
  <si>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</si>
  <si>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</si>
  <si>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</si>
  <si>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</si>
  <si>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</si>
  <si>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</si>
  <si>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</si>
  <si>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</si>
  <si>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</si>
  <si>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</si>
  <si>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</si>
  <si>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</si>
  <si>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</si>
  <si>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</si>
  <si>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</si>
  <si>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</si>
  <si>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</si>
  <si>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</si>
  <si>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</si>
  <si>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</si>
  <si>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</si>
  <si>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</si>
  <si>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</si>
  <si>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</si>
  <si>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</si>
  <si>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</si>
  <si>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</si>
  <si>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</si>
  <si>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</si>
  <si>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</si>
  <si>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</si>
  <si>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</si>
  <si>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</si>
  <si>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</si>
  <si>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</si>
  <si>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</si>
  <si>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</si>
  <si>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</si>
  <si>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</si>
  <si>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</si>
  <si>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</si>
  <si>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</si>
  <si>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</si>
  <si>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</si>
  <si>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</si>
  <si>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</si>
  <si>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</si>
  <si>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</si>
  <si>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</si>
  <si>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</si>
  <si>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</si>
  <si>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</si>
  <si>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</si>
  <si>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</si>
  <si>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</si>
  <si>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</si>
  <si>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</si>
  <si>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</si>
  <si>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</si>
  <si>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</si>
  <si>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</si>
  <si>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</si>
  <si>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</si>
  <si>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</si>
  <si>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</si>
  <si>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</si>
  <si>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</si>
  <si>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</si>
  <si>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</si>
  <si>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</si>
  <si>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</si>
  <si>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</si>
  <si>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</si>
  <si>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</si>
  <si>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</si>
  <si>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</si>
  <si>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</si>
  <si>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</si>
  <si>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</si>
  <si>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</si>
  <si>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</si>
  <si>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</si>
  <si>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</si>
  <si>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</si>
  <si>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</si>
  <si>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</si>
  <si>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</si>
  <si>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</si>
  <si>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</si>
  <si>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</si>
  <si>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</si>
  <si>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</si>
  <si>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</si>
  <si>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</si>
  <si>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</si>
  <si>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</si>
  <si>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</si>
  <si>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</si>
  <si>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</si>
  <si>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</si>
  <si>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</si>
  <si>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</si>
  <si>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</si>
  <si>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</si>
  <si>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</si>
  <si>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</si>
  <si>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</si>
  <si>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</si>
  <si>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</si>
  <si>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</si>
  <si>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</si>
  <si>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</si>
  <si>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</si>
  <si>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</si>
  <si>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</si>
  <si>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</si>
  <si>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</si>
  <si>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</si>
  <si>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</si>
  <si>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</si>
  <si>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</si>
  <si>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</si>
  <si>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</si>
  <si>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</si>
  <si>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</si>
  <si>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</si>
  <si>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</si>
  <si>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</si>
  <si>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</si>
  <si>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</si>
  <si>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</si>
  <si>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</si>
  <si>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</si>
  <si>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</si>
  <si>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</si>
  <si>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</si>
  <si>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</si>
  <si>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</si>
  <si>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</si>
  <si>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</si>
  <si>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</si>
  <si>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</si>
  <si>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</si>
  <si>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</si>
  <si>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</si>
  <si>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</si>
  <si>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</si>
  <si>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</si>
  <si>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</si>
  <si>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</si>
  <si>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</si>
  <si>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</si>
  <si>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</si>
  <si>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</si>
  <si>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</si>
  <si>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</si>
  <si>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</si>
  <si>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</si>
  <si>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</si>
  <si>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</si>
  <si>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</si>
  <si>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</si>
  <si>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</si>
  <si>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</si>
  <si>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</si>
  <si>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</si>
  <si>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</si>
  <si>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</si>
  <si>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</si>
  <si>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</si>
  <si>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</si>
  <si>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</si>
  <si>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</si>
  <si>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</si>
  <si>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</si>
  <si>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</si>
  <si>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</si>
  <si>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</si>
  <si>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</si>
  <si>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</si>
  <si>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</si>
  <si>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</si>
  <si>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</si>
  <si>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</si>
  <si>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</si>
  <si>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</si>
  <si>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</si>
  <si>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</si>
  <si>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</si>
  <si>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</si>
  <si>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</si>
  <si>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</si>
  <si>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</si>
  <si>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</si>
  <si>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</si>
  <si>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</si>
  <si>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</si>
  <si>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</si>
  <si>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</si>
  <si>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</si>
  <si>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</si>
  <si>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</si>
  <si>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</si>
  <si>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</si>
  <si>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</si>
  <si>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</si>
  <si>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</si>
  <si>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</si>
  <si>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</si>
  <si>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</si>
  <si>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</si>
  <si>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</si>
  <si>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</si>
  <si>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</si>
  <si>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</si>
  <si>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</si>
  <si>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</si>
  <si>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</si>
  <si>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</si>
  <si>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</si>
  <si>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</si>
  <si>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</si>
  <si>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</si>
  <si>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</si>
  <si>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</si>
  <si>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</si>
  <si>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</si>
  <si>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</si>
  <si>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</si>
  <si>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</si>
  <si>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</si>
  <si>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</si>
  <si>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</si>
  <si>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</si>
  <si>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</si>
  <si>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</si>
  <si>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</si>
  <si>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</si>
  <si>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</si>
  <si>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</si>
  <si>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</si>
  <si>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</si>
  <si>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</si>
  <si>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</si>
  <si>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</si>
  <si>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</si>
  <si>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</si>
  <si>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</si>
  <si>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</si>
  <si>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</si>
  <si>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</si>
  <si>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</si>
  <si>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</si>
  <si>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</si>
  <si>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</si>
  <si>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</si>
  <si>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</si>
  <si>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</si>
  <si>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</si>
  <si>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</si>
  <si>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</si>
  <si>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</si>
  <si>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</si>
  <si>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</si>
  <si>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</si>
  <si>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</si>
  <si>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</si>
  <si>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</si>
  <si>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</si>
  <si>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</si>
  <si>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</si>
  <si>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</si>
  <si>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</si>
  <si>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</si>
  <si>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</si>
  <si>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</si>
  <si>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</si>
  <si>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</si>
  <si>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</si>
  <si>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</si>
  <si>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</si>
  <si>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</si>
  <si>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</si>
  <si>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</si>
  <si>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</si>
  <si>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</si>
  <si>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</si>
  <si>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</si>
  <si>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</si>
  <si>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</si>
  <si>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</si>
  <si>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</si>
  <si>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</si>
  <si>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</si>
  <si>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</si>
  <si>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</si>
  <si>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</si>
  <si>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</si>
  <si>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</si>
  <si>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</si>
  <si>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</si>
  <si>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</si>
  <si>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</si>
  <si>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</si>
  <si>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</si>
  <si>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</si>
  <si>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</si>
  <si>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</si>
  <si>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</si>
  <si>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</si>
  <si>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</si>
  <si>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</si>
  <si>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</si>
  <si>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</si>
  <si>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</si>
  <si>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</si>
  <si>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</si>
  <si>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</si>
  <si>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</si>
  <si>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</si>
  <si>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</si>
  <si>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</si>
  <si>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</si>
  <si>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</si>
  <si>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</si>
  <si>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</si>
  <si>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</si>
  <si>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</si>
  <si>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</si>
  <si>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</si>
  <si>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</si>
  <si>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</si>
  <si>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</si>
  <si>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</si>
  <si>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</si>
  <si>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</si>
  <si>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</si>
  <si>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</si>
  <si>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</si>
  <si>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</si>
  <si>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</si>
  <si>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</si>
  <si>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</si>
  <si>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</si>
  <si>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</si>
  <si>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</si>
  <si>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</si>
  <si>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</si>
  <si>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</si>
  <si>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</si>
  <si>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</si>
  <si>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</si>
  <si>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</si>
  <si>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</si>
  <si>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</si>
  <si>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</si>
  <si>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</si>
  <si>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</si>
  <si>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</si>
  <si>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</si>
  <si>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</si>
  <si>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</si>
  <si>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</si>
  <si>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</si>
  <si>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</si>
  <si>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</si>
  <si>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</si>
  <si>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</si>
  <si>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</si>
  <si>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</si>
  <si>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</si>
  <si>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</si>
  <si>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</si>
  <si>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</si>
  <si>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</si>
  <si>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</si>
  <si>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</si>
  <si>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</si>
  <si>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</si>
  <si>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</si>
  <si>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</si>
  <si>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</si>
  <si>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</si>
  <si>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</si>
  <si>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</si>
  <si>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</si>
  <si>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</si>
  <si>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</si>
  <si>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</si>
  <si>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</si>
  <si>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</si>
  <si>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</si>
  <si>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</si>
  <si>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</si>
  <si>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</si>
  <si>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</si>
  <si>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</si>
  <si>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</si>
  <si>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</si>
  <si>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</si>
  <si>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</si>
  <si>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</si>
  <si>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</si>
  <si>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</si>
  <si>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</si>
  <si>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</si>
  <si>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</si>
  <si>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</si>
  <si>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</si>
  <si>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</si>
  <si>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</si>
  <si>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</si>
  <si>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</si>
  <si>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</si>
  <si>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</si>
  <si>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</si>
  <si>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</si>
  <si>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</si>
  <si>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</si>
  <si>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</si>
  <si>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</si>
  <si>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</si>
  <si>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</si>
  <si>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</si>
  <si>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</si>
  <si>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</si>
  <si>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</si>
  <si>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</si>
  <si>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</si>
  <si>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</si>
  <si>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</si>
  <si>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</si>
  <si>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</si>
  <si>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</si>
  <si>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</si>
  <si>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</si>
  <si>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</si>
  <si>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</si>
  <si>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</si>
  <si>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</si>
  <si>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</si>
  <si>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</si>
  <si>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</si>
  <si>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</si>
  <si>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</si>
  <si>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</si>
  <si>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</si>
  <si>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</si>
  <si>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</si>
  <si>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</si>
  <si>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</si>
  <si>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</si>
  <si>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</si>
  <si>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</si>
  <si>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</si>
  <si>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</si>
  <si>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</si>
  <si>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</si>
  <si>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</si>
  <si>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</si>
  <si>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</si>
  <si>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</si>
  <si>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</si>
  <si>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</si>
  <si>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</si>
  <si>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</si>
  <si>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</si>
  <si>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</si>
  <si>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</si>
  <si>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</si>
  <si>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</si>
  <si>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</si>
  <si>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</si>
  <si>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</si>
  <si>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</si>
  <si>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</si>
  <si>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</si>
  <si>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</si>
  <si>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</si>
  <si>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</si>
  <si>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</si>
  <si>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</si>
  <si>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</si>
  <si>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</si>
  <si>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</si>
  <si>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</si>
  <si>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</si>
  <si>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</si>
  <si>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</si>
  <si>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</si>
  <si>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</si>
  <si>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</si>
  <si>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</si>
  <si>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</si>
  <si>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</si>
  <si>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</si>
  <si>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</si>
  <si>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</si>
  <si>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</si>
  <si>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</si>
  <si>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</si>
  <si>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</si>
  <si>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</si>
  <si>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</si>
  <si>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</si>
  <si>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</si>
  <si>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</si>
  <si>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</si>
  <si>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</si>
  <si>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</si>
  <si>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</si>
  <si>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</si>
  <si>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</si>
  <si>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</si>
  <si>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</si>
  <si>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</si>
  <si>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</si>
  <si>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</si>
  <si>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</si>
  <si>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</si>
  <si>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</si>
  <si>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</si>
  <si>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</si>
  <si>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</si>
  <si>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</si>
  <si>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</si>
  <si>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</si>
  <si>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</si>
  <si>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</si>
  <si>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</si>
  <si>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</si>
  <si>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</si>
  <si>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</si>
  <si>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</si>
  <si>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</si>
  <si>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</si>
  <si>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</si>
  <si>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</si>
  <si>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</si>
  <si>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</si>
  <si>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</si>
  <si>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</si>
  <si>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</si>
  <si>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</si>
  <si>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</si>
  <si>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</si>
  <si>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</si>
  <si>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</si>
  <si>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</si>
  <si>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</si>
  <si>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</si>
  <si>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</si>
  <si>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</si>
  <si>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</si>
  <si>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</si>
  <si>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</si>
  <si>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</si>
  <si>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</si>
  <si>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</si>
  <si>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</si>
  <si>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</si>
  <si>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</si>
  <si>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</si>
  <si>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</si>
  <si>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</si>
  <si>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</si>
  <si>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</si>
  <si>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</si>
  <si>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</si>
  <si>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</si>
  <si>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</si>
  <si>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</si>
  <si>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</si>
  <si>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</si>
  <si>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</si>
  <si>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</si>
  <si>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</si>
  <si>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</si>
  <si>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</si>
  <si>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</si>
  <si>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</si>
  <si>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</si>
  <si>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</si>
  <si>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</si>
  <si>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</si>
  <si>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</si>
  <si>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</si>
  <si>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</si>
  <si>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</si>
  <si>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</si>
  <si>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</si>
  <si>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</si>
  <si>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</si>
  <si>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</si>
  <si>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</si>
  <si>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</si>
  <si>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</si>
  <si>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</si>
  <si>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</si>
  <si>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</si>
  <si>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</si>
  <si>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</si>
  <si>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</si>
  <si>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</si>
  <si>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</si>
  <si>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</si>
  <si>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</si>
  <si>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</si>
  <si>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</si>
  <si>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</si>
  <si>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</si>
  <si>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</si>
  <si>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</si>
  <si>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</si>
  <si>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</si>
  <si>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</si>
  <si>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</si>
  <si>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</si>
  <si>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</si>
  <si>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</si>
  <si>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</si>
  <si>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</si>
  <si>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</si>
  <si>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</si>
  <si>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</si>
  <si>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</si>
  <si>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</si>
  <si>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</si>
  <si>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</si>
  <si>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</si>
  <si>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</si>
  <si>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</si>
  <si>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</si>
  <si>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</si>
  <si>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</si>
  <si>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</si>
  <si>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</si>
  <si>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</si>
  <si>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</si>
  <si>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</si>
  <si>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</si>
  <si>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</si>
  <si>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</si>
  <si>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</si>
  <si>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</si>
  <si>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</si>
  <si>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</si>
  <si>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</si>
  <si>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</si>
  <si>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</si>
  <si>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</si>
  <si>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</si>
  <si>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</si>
  <si>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</si>
  <si>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</si>
  <si>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</si>
  <si>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</si>
  <si>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</si>
  <si>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</si>
  <si>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</si>
  <si>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</si>
  <si>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</si>
  <si>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</si>
  <si>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</si>
  <si>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</si>
  <si>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</si>
  <si>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</si>
  <si>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</si>
  <si>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</si>
  <si>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</si>
  <si>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</si>
  <si>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</si>
  <si>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</si>
  <si>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</si>
  <si>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</si>
  <si>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</si>
  <si>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</si>
  <si>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</si>
  <si>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</si>
  <si>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</si>
  <si>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</si>
  <si>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</si>
  <si>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</si>
  <si>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</si>
  <si>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</si>
  <si>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</si>
  <si>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</si>
  <si>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</si>
  <si>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</si>
  <si>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</si>
  <si>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</si>
  <si>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</si>
  <si>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</si>
  <si>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</si>
  <si>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</si>
  <si>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</si>
  <si>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</si>
  <si>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</si>
  <si>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</si>
  <si>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</si>
  <si>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</si>
  <si>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</si>
  <si>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</si>
  <si>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</si>
  <si>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</si>
  <si>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</si>
  <si>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</si>
  <si>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</si>
  <si>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</si>
  <si>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</si>
  <si>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</si>
  <si>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</si>
  <si>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</si>
  <si>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</si>
  <si>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</si>
  <si>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</si>
  <si>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</si>
  <si>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</si>
  <si>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</si>
  <si>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</si>
  <si>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</si>
  <si>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</si>
  <si>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</si>
  <si>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</si>
  <si>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</si>
  <si>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</si>
  <si>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</si>
  <si>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</si>
  <si>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</si>
  <si>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</si>
  <si>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</si>
  <si>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</si>
  <si>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</si>
  <si>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</si>
  <si>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</si>
  <si>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</si>
  <si>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</si>
  <si>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</si>
  <si>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</si>
  <si>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</si>
  <si>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</si>
  <si>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</si>
  <si>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</si>
  <si>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</si>
  <si>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</si>
  <si>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</si>
  <si>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</si>
  <si>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</si>
  <si>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</si>
  <si>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</si>
  <si>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</si>
  <si>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</si>
  <si>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</si>
  <si>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</si>
  <si>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</si>
  <si>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</si>
  <si>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</si>
  <si>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</si>
  <si>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</si>
  <si>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</si>
  <si>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</si>
  <si>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</si>
  <si>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</si>
  <si>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</si>
  <si>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</si>
  <si>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</si>
  <si>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</si>
  <si>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</si>
  <si>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</si>
  <si>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</si>
  <si>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</si>
  <si>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</si>
  <si>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</si>
  <si>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</si>
  <si>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</si>
  <si>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</si>
  <si>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</si>
  <si>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</si>
  <si>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</si>
  <si>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</si>
  <si>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</si>
  <si>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</si>
  <si>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</si>
  <si>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</si>
  <si>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</si>
  <si>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</si>
  <si>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</si>
  <si>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</si>
  <si>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</si>
  <si>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</si>
  <si>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</si>
  <si>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</si>
  <si>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</si>
  <si>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</si>
  <si>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</si>
  <si>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</si>
  <si>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</si>
  <si>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</si>
  <si>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</si>
  <si>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</si>
  <si>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</si>
  <si>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</si>
  <si>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</si>
  <si>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</si>
  <si>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</si>
  <si>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</si>
  <si>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</si>
  <si>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</si>
  <si>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</si>
  <si>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</si>
  <si>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</si>
  <si>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</si>
  <si>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</si>
  <si>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</si>
  <si>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</si>
  <si>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</si>
  <si>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</si>
  <si>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</si>
  <si>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</si>
  <si>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</si>
  <si>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</si>
  <si>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</si>
  <si>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</si>
  <si>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</si>
  <si>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</si>
  <si>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</si>
  <si>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</si>
  <si>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</si>
  <si>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</si>
  <si>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</si>
  <si>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</si>
  <si>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</si>
  <si>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</si>
  <si>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</si>
  <si>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</si>
  <si>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</si>
  <si>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</si>
  <si>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</si>
  <si>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</si>
  <si>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</si>
  <si>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</si>
  <si>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</si>
  <si>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</si>
  <si>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</si>
  <si>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</si>
  <si>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</si>
  <si>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</si>
  <si>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</si>
  <si>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</si>
  <si>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</si>
  <si>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</si>
  <si>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</si>
  <si>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</si>
  <si>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</si>
  <si>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</si>
  <si>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</si>
  <si>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</si>
  <si>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</si>
  <si>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</si>
  <si>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</si>
  <si>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</si>
  <si>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</si>
  <si>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</si>
  <si>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</si>
  <si>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</si>
  <si>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</si>
  <si>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</si>
  <si>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</si>
  <si>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</si>
  <si>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</si>
  <si>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</si>
  <si>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</si>
  <si>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</si>
  <si>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</si>
  <si>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</si>
  <si>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</si>
  <si>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</si>
  <si>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</si>
  <si>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</si>
  <si>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</si>
  <si>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</si>
  <si>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</si>
  <si>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</si>
  <si>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</si>
  <si>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</si>
  <si>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</si>
  <si>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</si>
  <si>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</si>
  <si>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</si>
  <si>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</si>
  <si>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</si>
  <si>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</si>
  <si>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</si>
  <si>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</si>
  <si>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</si>
  <si>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</si>
  <si>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</si>
  <si>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</si>
  <si>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</si>
  <si>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</si>
  <si>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</si>
  <si>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</si>
  <si>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</si>
  <si>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</si>
  <si>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</si>
  <si>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</si>
  <si>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</si>
  <si>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</si>
  <si>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</si>
  <si>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</si>
  <si>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</si>
  <si>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</si>
  <si>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</si>
  <si>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</si>
  <si>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</si>
  <si>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</si>
  <si>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</si>
  <si>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</si>
  <si>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</si>
  <si>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</si>
  <si>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</si>
  <si>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</si>
  <si>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</si>
  <si>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</si>
  <si>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</si>
  <si>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</si>
  <si>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</si>
  <si>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</si>
  <si>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</si>
  <si>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</si>
  <si>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</si>
  <si>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</si>
  <si>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</si>
  <si>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</si>
  <si>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</si>
  <si>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</si>
  <si>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</si>
  <si>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</si>
  <si>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</si>
  <si>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</si>
  <si>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</si>
  <si>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</si>
  <si>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</si>
  <si>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</si>
  <si>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</si>
  <si>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</si>
  <si>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</si>
  <si>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</si>
  <si>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</si>
  <si>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</si>
  <si>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</si>
  <si>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</si>
  <si>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</si>
  <si>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</si>
  <si>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</si>
  <si>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</si>
  <si>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</si>
  <si>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</si>
  <si>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</si>
  <si>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</si>
  <si>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</si>
  <si>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</si>
  <si>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</si>
  <si>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</si>
  <si>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</si>
  <si>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</si>
  <si>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</si>
  <si>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</si>
  <si>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</si>
  <si>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</si>
  <si>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</si>
  <si>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</si>
  <si>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</si>
  <si>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</si>
  <si>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</si>
  <si>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</si>
  <si>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</si>
  <si>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</si>
  <si>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</si>
  <si>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</si>
  <si>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</si>
  <si>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</si>
  <si>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</si>
  <si>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</si>
  <si>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</si>
  <si>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序号</t>
  </si>
  <si>
    <t>期房房号</t>
  </si>
  <si>
    <t>实测房号</t>
  </si>
  <si>
    <t>建筑面积</t>
  </si>
  <si>
    <t>套内面积</t>
  </si>
  <si>
    <t>分摊</t>
  </si>
  <si>
    <t>实测建筑面积</t>
  </si>
  <si>
    <t>实测套内面积</t>
  </si>
  <si>
    <t>实测分摊</t>
  </si>
  <si>
    <t>地块</t>
  </si>
  <si>
    <t>2-2-1-102</t>
    <phoneticPr fontId="134" type="noConversion"/>
  </si>
  <si>
    <t>22-1-102</t>
  </si>
  <si>
    <t>89.65</t>
  </si>
  <si>
    <t>71.42</t>
  </si>
  <si>
    <t>6002地块</t>
  </si>
  <si>
    <t>2-2-1-202</t>
  </si>
  <si>
    <t>22-1-202</t>
  </si>
  <si>
    <t>2-2-1-301</t>
  </si>
  <si>
    <t>22-1-301</t>
  </si>
  <si>
    <t>86.99</t>
  </si>
  <si>
    <t>69.30</t>
  </si>
  <si>
    <t>2-2-1-401</t>
  </si>
  <si>
    <t>22-1-401</t>
  </si>
  <si>
    <t>2-2-1-402</t>
  </si>
  <si>
    <t>22-1-402</t>
  </si>
  <si>
    <t>2-2-1-601</t>
  </si>
  <si>
    <t>22-1-601</t>
  </si>
  <si>
    <t>2-2-1-801</t>
  </si>
  <si>
    <t>22-1-801</t>
  </si>
  <si>
    <t>2-2-2-901</t>
  </si>
  <si>
    <t>22-2-901</t>
  </si>
  <si>
    <t>82.98</t>
  </si>
  <si>
    <t>66.10</t>
  </si>
  <si>
    <t>2-4-1-101</t>
  </si>
  <si>
    <t>18-1-101</t>
  </si>
  <si>
    <t>86.93</t>
  </si>
  <si>
    <t>69.25</t>
  </si>
  <si>
    <t>2-4-1-301</t>
  </si>
  <si>
    <t>18-1-301</t>
  </si>
  <si>
    <t>2-4-2-101</t>
  </si>
  <si>
    <t>18-2-101</t>
  </si>
  <si>
    <t>2-4-2-1002</t>
  </si>
  <si>
    <t>18-2-1002</t>
  </si>
  <si>
    <t>2-5-1-102</t>
  </si>
  <si>
    <t>17-1-102</t>
  </si>
  <si>
    <t>89.70</t>
  </si>
  <si>
    <t>2-5-1-202</t>
  </si>
  <si>
    <t>17-1-202</t>
  </si>
  <si>
    <t>2-5-2-101</t>
  </si>
  <si>
    <t>17-2-101</t>
  </si>
  <si>
    <t>2-5-2-201</t>
  </si>
  <si>
    <t>17-2-201</t>
  </si>
  <si>
    <t>2-5-2-1001</t>
  </si>
  <si>
    <t>17-2-1001</t>
  </si>
  <si>
    <t>2-6-1-101</t>
  </si>
  <si>
    <t>15-1-101</t>
  </si>
  <si>
    <t>84.16</t>
  </si>
  <si>
    <t>69.29</t>
  </si>
  <si>
    <t>2-6-1-201</t>
  </si>
  <si>
    <t>15-1-201</t>
  </si>
  <si>
    <t>2-6-1-501</t>
  </si>
  <si>
    <t>15-1-501</t>
  </si>
  <si>
    <t>2-6-2-102</t>
  </si>
  <si>
    <t>15-2-102</t>
  </si>
  <si>
    <t>168.31</t>
  </si>
  <si>
    <t>138.58</t>
  </si>
  <si>
    <t>2-6-2-702</t>
  </si>
  <si>
    <t>15-2-702</t>
  </si>
  <si>
    <t>2-6-2-802</t>
  </si>
  <si>
    <t>15-2-802</t>
  </si>
  <si>
    <t>2-6-2-902</t>
  </si>
  <si>
    <t>15-2-902</t>
  </si>
  <si>
    <t>2-6-2-1101</t>
  </si>
  <si>
    <t>15-2-1101</t>
  </si>
  <si>
    <t>109.42</t>
  </si>
  <si>
    <t>90.09</t>
  </si>
  <si>
    <t>2-6-2-1102</t>
  </si>
  <si>
    <t>15-2-1102</t>
  </si>
  <si>
    <t>2-7-1-102</t>
  </si>
  <si>
    <t>16-1-102</t>
  </si>
  <si>
    <t>2-7-1-201</t>
  </si>
  <si>
    <t>16-1-201</t>
  </si>
  <si>
    <t>87.04</t>
  </si>
  <si>
    <t>2-7-2-101</t>
  </si>
  <si>
    <t>16-2-101</t>
  </si>
  <si>
    <t>2-9-1-1101</t>
  </si>
  <si>
    <t>12-1-1101</t>
  </si>
  <si>
    <t>86.53</t>
  </si>
  <si>
    <t>2-9-1-502</t>
  </si>
  <si>
    <t>12-1-502</t>
  </si>
  <si>
    <t>82.59</t>
  </si>
  <si>
    <t>2-9-2-1001</t>
  </si>
  <si>
    <t>12-2-1001</t>
  </si>
  <si>
    <t>2-9-2-1101</t>
  </si>
  <si>
    <t>12-2-1101</t>
  </si>
  <si>
    <t>2-9-2-1102</t>
  </si>
  <si>
    <t>12-2-1102</t>
  </si>
  <si>
    <t>2-11-1-201</t>
  </si>
  <si>
    <t>11-1-201</t>
  </si>
  <si>
    <t>87.39</t>
  </si>
  <si>
    <t>2-11-1-401</t>
  </si>
  <si>
    <t>11-1-401</t>
  </si>
  <si>
    <t>2-11-1-601</t>
  </si>
  <si>
    <t>11-1-601</t>
  </si>
  <si>
    <t>2-11-1-801</t>
  </si>
  <si>
    <t>11-1-801</t>
  </si>
  <si>
    <t>2-11-1-1101</t>
  </si>
  <si>
    <t>11-1-1101</t>
  </si>
  <si>
    <t>2-13-1-101</t>
  </si>
  <si>
    <t>7-1-101</t>
  </si>
  <si>
    <t>85.89</t>
  </si>
  <si>
    <t>2-13-1-201</t>
  </si>
  <si>
    <t>7-1-201</t>
  </si>
  <si>
    <t>2-13-1-202</t>
  </si>
  <si>
    <t>7-1-202</t>
  </si>
  <si>
    <t>81.99</t>
  </si>
  <si>
    <t>2-13-1-301</t>
  </si>
  <si>
    <t>7-1-301</t>
  </si>
  <si>
    <t>2-13-1-302</t>
  </si>
  <si>
    <t>7-1-302</t>
  </si>
  <si>
    <t>2-13-1-401</t>
  </si>
  <si>
    <t>7-1-401</t>
  </si>
  <si>
    <t>2-13-1-402</t>
  </si>
  <si>
    <t>7-1-402</t>
  </si>
  <si>
    <t>2-13-1-501</t>
  </si>
  <si>
    <t>7-1-501</t>
  </si>
  <si>
    <t>2-13-1-502</t>
  </si>
  <si>
    <t>7-1-502</t>
  </si>
  <si>
    <t>2-13-1-601</t>
  </si>
  <si>
    <t>7-1-601</t>
  </si>
  <si>
    <t>2-13-1-701</t>
  </si>
  <si>
    <t>7-1-701</t>
  </si>
  <si>
    <t>2-13-1-801</t>
  </si>
  <si>
    <t>7-1-801</t>
  </si>
  <si>
    <t>2-13-1-802</t>
  </si>
  <si>
    <t>7-1-802</t>
  </si>
  <si>
    <t>2-13-1-901</t>
  </si>
  <si>
    <t>7-1-901</t>
  </si>
  <si>
    <t>2-13-2-102</t>
  </si>
  <si>
    <t>7-2-102</t>
  </si>
  <si>
    <t>2-13-2-201</t>
  </si>
  <si>
    <t>7-2-201</t>
  </si>
  <si>
    <t>2-13-2-202</t>
  </si>
  <si>
    <t>7-2-202</t>
  </si>
  <si>
    <t>2-13-2-301</t>
  </si>
  <si>
    <t>7-2-301</t>
  </si>
  <si>
    <t>2-13-2-302</t>
  </si>
  <si>
    <t>7-2-302</t>
  </si>
  <si>
    <t>2-13-2-401</t>
  </si>
  <si>
    <t>7-2-401</t>
  </si>
  <si>
    <t>2-13-2-402</t>
  </si>
  <si>
    <t>7-2-402</t>
  </si>
  <si>
    <t>2-13-2-502</t>
  </si>
  <si>
    <t>7-2-502</t>
  </si>
  <si>
    <t>2-13-2-602</t>
  </si>
  <si>
    <t>7-2-602</t>
  </si>
  <si>
    <t>2-13-2-702</t>
  </si>
  <si>
    <t>7-2-702</t>
  </si>
  <si>
    <t>2-13-2-802</t>
  </si>
  <si>
    <t>7-2-802</t>
  </si>
  <si>
    <t>2-13-2-902</t>
  </si>
  <si>
    <t>7-2-902</t>
  </si>
  <si>
    <t>2-15-1-201</t>
  </si>
  <si>
    <t>6-1-201</t>
  </si>
  <si>
    <t>87.26</t>
  </si>
  <si>
    <t>2-15-1-401</t>
  </si>
  <si>
    <t>6-1-401</t>
  </si>
  <si>
    <t>2-15-1-402</t>
  </si>
  <si>
    <t>6-1-402</t>
  </si>
  <si>
    <t>83.29</t>
  </si>
  <si>
    <t>2-15-1-501</t>
  </si>
  <si>
    <t>6-1-501</t>
  </si>
  <si>
    <t>2-15-1-502</t>
  </si>
  <si>
    <t>6-1-502</t>
  </si>
  <si>
    <t>2-15-1-601</t>
  </si>
  <si>
    <t>6-1-601</t>
  </si>
  <si>
    <t>2-15-1-701</t>
  </si>
  <si>
    <t>6-1-701</t>
  </si>
  <si>
    <t>2-15-1-801</t>
  </si>
  <si>
    <t>6-1-801</t>
  </si>
  <si>
    <t>2-15-1-802</t>
  </si>
  <si>
    <t>6-1-802</t>
  </si>
  <si>
    <t>2-15-1-901</t>
  </si>
  <si>
    <t>6-1-901</t>
  </si>
  <si>
    <t>2-15-1-1001</t>
  </si>
  <si>
    <t>6-1-1001</t>
  </si>
  <si>
    <t>2-15-1-1002</t>
  </si>
  <si>
    <t>6-1-1002</t>
  </si>
  <si>
    <t>2-15-2-202</t>
  </si>
  <si>
    <t>6-2-202</t>
  </si>
  <si>
    <t>2-15-2-302</t>
  </si>
  <si>
    <t>6-2-302</t>
  </si>
  <si>
    <t>2-15-2-402</t>
  </si>
  <si>
    <t>6-2-402</t>
  </si>
  <si>
    <t>2-15-2-802</t>
  </si>
  <si>
    <t>6-2-802</t>
  </si>
  <si>
    <t>2-17-1-101</t>
  </si>
  <si>
    <t>3-1-101</t>
  </si>
  <si>
    <t>87.15</t>
  </si>
  <si>
    <t>2-17-1-102</t>
  </si>
  <si>
    <t>3-1-102</t>
  </si>
  <si>
    <t>73.41</t>
  </si>
  <si>
    <t>58.37</t>
  </si>
  <si>
    <t>2-17-1-201</t>
  </si>
  <si>
    <t>3-1-201</t>
  </si>
  <si>
    <t>2-17-1-202</t>
  </si>
  <si>
    <t>3-1-202</t>
  </si>
  <si>
    <t>89.82</t>
  </si>
  <si>
    <t>2-17-1-301</t>
  </si>
  <si>
    <t>3-1-301</t>
  </si>
  <si>
    <t>2-17-1-302</t>
  </si>
  <si>
    <t>3-1-302</t>
  </si>
  <si>
    <t>2-17-1-401</t>
  </si>
  <si>
    <t>3-1-401</t>
  </si>
  <si>
    <t>2-17-1-402</t>
  </si>
  <si>
    <t>3-1-402</t>
  </si>
  <si>
    <t>2-17-1-501</t>
  </si>
  <si>
    <t>3-1-501</t>
  </si>
  <si>
    <t>2-17-1-502</t>
  </si>
  <si>
    <t>3-1-502</t>
  </si>
  <si>
    <t>2-17-1-601</t>
  </si>
  <si>
    <t>3-1-601</t>
  </si>
  <si>
    <t>2-17-1-602</t>
  </si>
  <si>
    <t>3-1-602</t>
  </si>
  <si>
    <t>2-17-1-701</t>
  </si>
  <si>
    <t>3-1-701</t>
  </si>
  <si>
    <t>2-17-1-702</t>
  </si>
  <si>
    <t>3-1-702</t>
  </si>
  <si>
    <t>2-17-1-801</t>
  </si>
  <si>
    <t>3-1-801</t>
  </si>
  <si>
    <t>2-17-1-802</t>
  </si>
  <si>
    <t>3-1-802</t>
  </si>
  <si>
    <t>2-17-1-901</t>
  </si>
  <si>
    <t>3-1-901</t>
  </si>
  <si>
    <t>2-17-1-902</t>
  </si>
  <si>
    <t>3-1-902</t>
  </si>
  <si>
    <t>2-17-1-1001</t>
  </si>
  <si>
    <t>3-1-1001</t>
  </si>
  <si>
    <t>2-17-1-1002</t>
  </si>
  <si>
    <t>3-1-1002</t>
  </si>
  <si>
    <t>2-17-1-1101</t>
  </si>
  <si>
    <t>3-1-1101</t>
  </si>
  <si>
    <t>2-17-1-1102</t>
  </si>
  <si>
    <t>3-1-1102</t>
  </si>
  <si>
    <t>2-17-2-101</t>
  </si>
  <si>
    <t>3-2-101</t>
  </si>
  <si>
    <t>2-17-2-102</t>
  </si>
  <si>
    <t>3-2-102</t>
  </si>
  <si>
    <t>2-17-2-201</t>
  </si>
  <si>
    <t>3-2-201</t>
  </si>
  <si>
    <t>2-17-2-202</t>
  </si>
  <si>
    <t>3-2-202</t>
  </si>
  <si>
    <t>2-17-2-301</t>
  </si>
  <si>
    <t>3-2-301</t>
  </si>
  <si>
    <t>2-17-2-302</t>
  </si>
  <si>
    <t>3-2-302</t>
  </si>
  <si>
    <t>2-17-2-401</t>
  </si>
  <si>
    <t>3-2-401</t>
  </si>
  <si>
    <t>2-17-2-402</t>
  </si>
  <si>
    <t>3-2-402</t>
  </si>
  <si>
    <t>2-17-2-501</t>
  </si>
  <si>
    <t>3-2-501</t>
  </si>
  <si>
    <t>2-17-2-601</t>
  </si>
  <si>
    <t>3-2-601</t>
  </si>
  <si>
    <t>2-17-2-602</t>
  </si>
  <si>
    <t>3-2-602</t>
  </si>
  <si>
    <t>2-17-2-701</t>
  </si>
  <si>
    <t>3-2-701</t>
  </si>
  <si>
    <t>2-17-2-702</t>
  </si>
  <si>
    <t>3-2-702</t>
  </si>
  <si>
    <t>2-17-2-801</t>
  </si>
  <si>
    <t>3-2-801</t>
  </si>
  <si>
    <t>2-17-2-802</t>
  </si>
  <si>
    <t>3-2-802</t>
  </si>
  <si>
    <t>2-17-2-901</t>
  </si>
  <si>
    <t>3-2-901</t>
  </si>
  <si>
    <t>2-17-2-902</t>
  </si>
  <si>
    <t>3-2-902</t>
  </si>
  <si>
    <t>2-17-2-1001</t>
  </si>
  <si>
    <t>3-2-1001</t>
  </si>
  <si>
    <t>2-17-2-1002</t>
  </si>
  <si>
    <t>3-2-1002</t>
  </si>
  <si>
    <t>2-17-2-1102</t>
  </si>
  <si>
    <t>3-2-1102</t>
  </si>
  <si>
    <t>2-17-3-101</t>
  </si>
  <si>
    <t>3-3-101</t>
  </si>
  <si>
    <t>2-17-3-102</t>
  </si>
  <si>
    <t>3-3-102</t>
  </si>
  <si>
    <t>2-17-3-201</t>
  </si>
  <si>
    <t>3-3-201</t>
  </si>
  <si>
    <t>2-17-3-202</t>
  </si>
  <si>
    <t>3-3-202</t>
  </si>
  <si>
    <t>2-17-3-302</t>
  </si>
  <si>
    <t>3-3-302</t>
  </si>
  <si>
    <t>2-17-3-401</t>
  </si>
  <si>
    <t>3-3-401</t>
  </si>
  <si>
    <t>2-17-3-402</t>
  </si>
  <si>
    <t>3-3-402</t>
  </si>
  <si>
    <t>2-17-3-502</t>
  </si>
  <si>
    <t>3-3-502</t>
  </si>
  <si>
    <t>2-17-3-601</t>
  </si>
  <si>
    <t>3-3-601</t>
  </si>
  <si>
    <t>2-17-3-602</t>
  </si>
  <si>
    <t>3-3-602</t>
  </si>
  <si>
    <t>2-17-3-802</t>
  </si>
  <si>
    <t>3-3-802</t>
  </si>
  <si>
    <t>2-17-3-1001</t>
  </si>
  <si>
    <t>3-3-1001</t>
  </si>
  <si>
    <t>2-17-3-1002</t>
  </si>
  <si>
    <t>3-3-1002</t>
  </si>
  <si>
    <t>2-17-3-1101</t>
  </si>
  <si>
    <t>3-3-1101</t>
  </si>
  <si>
    <t>2-17-3-1102</t>
  </si>
  <si>
    <t>3-3-1102</t>
  </si>
  <si>
    <t>2-17-4-101</t>
  </si>
  <si>
    <t>3-4-101</t>
  </si>
  <si>
    <t>2-17-4-102</t>
  </si>
  <si>
    <t>3-4-102</t>
  </si>
  <si>
    <t>174.31</t>
  </si>
  <si>
    <t>138.60</t>
  </si>
  <si>
    <t>2-17-4-201</t>
  </si>
  <si>
    <t>3-4-201</t>
  </si>
  <si>
    <t>2-17-4-301</t>
  </si>
  <si>
    <t>3-4-301</t>
  </si>
  <si>
    <t>2-17-4-302</t>
  </si>
  <si>
    <t>3-4-302</t>
  </si>
  <si>
    <t>2-17-4-402</t>
  </si>
  <si>
    <t>3-4-402</t>
  </si>
  <si>
    <t>2-17-4-501</t>
  </si>
  <si>
    <t>3-4-501</t>
  </si>
  <si>
    <t>2-17-4-502</t>
  </si>
  <si>
    <t>3-4-502</t>
  </si>
  <si>
    <t>2-17-4-601</t>
  </si>
  <si>
    <t>3-4-601</t>
  </si>
  <si>
    <t>2-17-4-602</t>
  </si>
  <si>
    <t>3-4-602</t>
  </si>
  <si>
    <t>2-17-4-701</t>
  </si>
  <si>
    <t>3-4-701</t>
  </si>
  <si>
    <t>2-17-4-702</t>
  </si>
  <si>
    <t>3-4-702</t>
  </si>
  <si>
    <t>2-17-4-801</t>
  </si>
  <si>
    <t>3-4-801</t>
  </si>
  <si>
    <t>2-17-4-802</t>
  </si>
  <si>
    <t>3-4-802</t>
  </si>
  <si>
    <t>2-17-4-901</t>
  </si>
  <si>
    <t>3-4-901</t>
  </si>
  <si>
    <t>2-17-4-902</t>
  </si>
  <si>
    <t>3-4-902</t>
  </si>
  <si>
    <t>2-17-4-1001</t>
  </si>
  <si>
    <t>3-4-1001</t>
  </si>
  <si>
    <t>2-17-4-1101</t>
  </si>
  <si>
    <t>3-4-1101</t>
  </si>
  <si>
    <t>2-17-4-1102</t>
  </si>
  <si>
    <t>3-4-1102</t>
  </si>
  <si>
    <t>2-19-1-501</t>
  </si>
  <si>
    <t>19-1-501</t>
  </si>
  <si>
    <t>77.38</t>
  </si>
  <si>
    <t>62.22</t>
  </si>
  <si>
    <t>2-19-2-501</t>
  </si>
  <si>
    <t>19-2-501</t>
  </si>
  <si>
    <t>76.82</t>
  </si>
  <si>
    <t>61.77</t>
  </si>
  <si>
    <t>2-19-2-502</t>
  </si>
  <si>
    <t>19-2-502</t>
  </si>
  <si>
    <t>2-20-1-101</t>
  </si>
  <si>
    <t>14-1-101</t>
  </si>
  <si>
    <t>77.47</t>
  </si>
  <si>
    <t>2-20-2-501</t>
  </si>
  <si>
    <t>14-2-501</t>
  </si>
  <si>
    <t>76.91</t>
  </si>
  <si>
    <t>2-20-2-502</t>
  </si>
  <si>
    <t>14-2-502</t>
  </si>
  <si>
    <t>是</t>
  </si>
  <si>
    <t>地上</t>
  </si>
  <si>
    <t>住宅</t>
  </si>
  <si>
    <t>地下</t>
  </si>
  <si>
    <t>预测车位号</t>
  </si>
  <si>
    <t>实测车位号</t>
  </si>
  <si>
    <t>预测建筑面积</t>
  </si>
  <si>
    <t>B1002</t>
  </si>
  <si>
    <t>B1011</t>
  </si>
  <si>
    <t>B1012</t>
  </si>
  <si>
    <t>B1015</t>
  </si>
  <si>
    <t>B1017</t>
  </si>
  <si>
    <t>B1020</t>
  </si>
  <si>
    <t>B1026</t>
  </si>
  <si>
    <t>B1029</t>
  </si>
  <si>
    <t>B1033</t>
  </si>
  <si>
    <t>B1034</t>
  </si>
  <si>
    <t>B1038</t>
  </si>
  <si>
    <t>B1039</t>
  </si>
  <si>
    <t>B1040</t>
  </si>
  <si>
    <t>B1043</t>
  </si>
  <si>
    <t>B1045</t>
  </si>
  <si>
    <t>B1046</t>
  </si>
  <si>
    <t>B1048</t>
  </si>
  <si>
    <t>B1049</t>
  </si>
  <si>
    <t>B1052</t>
  </si>
  <si>
    <t>B1054</t>
  </si>
  <si>
    <t>B1055</t>
  </si>
  <si>
    <t>B1057</t>
  </si>
  <si>
    <t>B1058</t>
  </si>
  <si>
    <t>B1060</t>
  </si>
  <si>
    <t>B1061</t>
  </si>
  <si>
    <t>B1062</t>
  </si>
  <si>
    <t>B1063</t>
  </si>
  <si>
    <t>B1064</t>
  </si>
  <si>
    <t>B1067</t>
  </si>
  <si>
    <t>B1068</t>
  </si>
  <si>
    <t>B1069</t>
  </si>
  <si>
    <t>B1070</t>
  </si>
  <si>
    <t>B1071</t>
  </si>
  <si>
    <t>B1072</t>
  </si>
  <si>
    <t>B1073</t>
  </si>
  <si>
    <t>B1074</t>
  </si>
  <si>
    <t>B1075</t>
  </si>
  <si>
    <t>B1076</t>
  </si>
  <si>
    <t>B1077</t>
  </si>
  <si>
    <t>B1078</t>
  </si>
  <si>
    <t>B1079</t>
  </si>
  <si>
    <t>B1082</t>
  </si>
  <si>
    <t>B1084</t>
  </si>
  <si>
    <t>B1085</t>
  </si>
  <si>
    <t>B1088</t>
  </si>
  <si>
    <t>B1091</t>
  </si>
  <si>
    <t>B1093</t>
  </si>
  <si>
    <t>B1094</t>
  </si>
  <si>
    <t>B1096</t>
  </si>
  <si>
    <t>B1098</t>
  </si>
  <si>
    <t>B1101</t>
  </si>
  <si>
    <t>B1102</t>
  </si>
  <si>
    <t>B1103</t>
  </si>
  <si>
    <t>B1104</t>
  </si>
  <si>
    <t>B1108</t>
  </si>
  <si>
    <t>B1110</t>
  </si>
  <si>
    <t>B1111</t>
  </si>
  <si>
    <t>B1112</t>
  </si>
  <si>
    <t>B1113</t>
  </si>
  <si>
    <t>B1114</t>
  </si>
  <si>
    <t>B1115</t>
  </si>
  <si>
    <t>B1116</t>
  </si>
  <si>
    <t>B1118</t>
  </si>
  <si>
    <t>B1120</t>
  </si>
  <si>
    <t>B1121</t>
  </si>
  <si>
    <t>B1122</t>
  </si>
  <si>
    <t>B1123</t>
  </si>
  <si>
    <t>B1126</t>
  </si>
  <si>
    <t>B1130</t>
  </si>
  <si>
    <t>B1131</t>
  </si>
  <si>
    <t>B1133</t>
  </si>
  <si>
    <t>B1134</t>
  </si>
  <si>
    <t>B1143</t>
  </si>
  <si>
    <t>B1148</t>
  </si>
  <si>
    <t>B1152</t>
  </si>
  <si>
    <t>B1155</t>
  </si>
  <si>
    <t>B1156</t>
  </si>
  <si>
    <t>B1157</t>
  </si>
  <si>
    <t>206、207</t>
  </si>
  <si>
    <t>B1158</t>
  </si>
  <si>
    <t>35000</t>
    <phoneticPr fontId="134" type="noConversion"/>
  </si>
  <si>
    <t>总楼层</t>
    <phoneticPr fontId="134" type="noConversion"/>
  </si>
  <si>
    <t>所在楼层</t>
    <phoneticPr fontId="134" type="noConversion"/>
  </si>
  <si>
    <t>低区</t>
    <phoneticPr fontId="134" type="noConversion"/>
  </si>
  <si>
    <t>中区</t>
  </si>
  <si>
    <t>中区</t>
    <phoneticPr fontId="134" type="noConversion"/>
  </si>
  <si>
    <t>高区</t>
    <phoneticPr fontId="134" type="noConversion"/>
  </si>
  <si>
    <t>顶层</t>
    <phoneticPr fontId="134" type="noConversion"/>
  </si>
  <si>
    <t>低区</t>
    <phoneticPr fontId="134" type="noConversion"/>
  </si>
  <si>
    <t>住宅</t>
    <phoneticPr fontId="134" type="noConversion"/>
  </si>
  <si>
    <t>车库</t>
    <phoneticPr fontId="134" type="noConversion"/>
  </si>
  <si>
    <t>住宅</t>
    <phoneticPr fontId="7" type="noConversion"/>
  </si>
  <si>
    <t>车库</t>
    <phoneticPr fontId="7" type="noConversion"/>
  </si>
  <si>
    <t>成新度</t>
  </si>
  <si>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</si>
  <si>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</si>
  <si>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</si>
  <si>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</si>
  <si>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</si>
  <si>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</si>
  <si>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</si>
  <si>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</si>
  <si>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</si>
  <si>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</si>
  <si>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</si>
  <si>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</si>
  <si>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</si>
  <si>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</si>
  <si>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</si>
  <si>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</si>
  <si>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</si>
  <si>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</si>
  <si>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</si>
  <si>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</si>
  <si>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</si>
  <si>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</si>
  <si>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</si>
  <si>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</si>
  <si>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</si>
  <si>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</si>
  <si>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</si>
  <si>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</si>
  <si>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</si>
  <si>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</si>
  <si>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</si>
  <si>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</si>
  <si>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</si>
  <si>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</si>
  <si>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</si>
  <si>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比较法-住宅</t>
  </si>
  <si>
    <t>成本法 (元)</t>
  </si>
  <si>
    <t>楼面单价</t>
  </si>
  <si>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</si>
  <si>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</si>
  <si>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</si>
  <si>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</si>
  <si>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</si>
  <si>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</si>
  <si>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</si>
  <si>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</si>
  <si>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</si>
  <si>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</si>
  <si>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</si>
  <si>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</si>
  <si>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</si>
  <si>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</si>
  <si>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</si>
  <si>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</si>
  <si>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</si>
  <si>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</si>
  <si>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</si>
  <si>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</si>
  <si>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</si>
  <si>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</si>
  <si>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</si>
  <si>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</si>
  <si>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</si>
  <si>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</si>
  <si>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</si>
  <si>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</si>
  <si>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</si>
  <si>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</si>
  <si>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</si>
  <si>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</si>
  <si>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</si>
  <si>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</si>
  <si>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</si>
  <si>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</si>
  <si>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</si>
  <si>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</si>
  <si>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</si>
  <si>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</si>
  <si>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</si>
  <si>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</si>
  <si>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</si>
  <si>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</si>
  <si>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</si>
  <si>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</si>
  <si>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</si>
  <si>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</si>
  <si>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</si>
  <si>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</si>
  <si>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</si>
  <si>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</si>
  <si>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</si>
  <si>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</si>
  <si>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</si>
  <si>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</si>
  <si>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</si>
  <si>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</si>
  <si>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</si>
  <si>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</si>
  <si>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</si>
  <si>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</si>
  <si>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</si>
  <si>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</si>
  <si>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</si>
  <si>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</si>
  <si>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</si>
  <si>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</si>
  <si>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</si>
  <si>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</si>
  <si>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</si>
  <si>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</si>
  <si>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</si>
  <si>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</si>
  <si>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</si>
  <si>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</si>
  <si>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</si>
  <si>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</si>
  <si>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</si>
  <si>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</si>
  <si>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</si>
  <si>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</si>
  <si>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</si>
  <si>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</si>
  <si>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</si>
  <si>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</si>
  <si>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</si>
  <si>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</si>
  <si>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</si>
  <si>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</si>
  <si>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</si>
  <si>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</si>
  <si>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</si>
  <si>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</si>
  <si>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</si>
  <si>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</si>
  <si>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</si>
  <si>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</si>
  <si>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</si>
  <si>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</si>
  <si>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</si>
  <si>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</si>
  <si>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</si>
  <si>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</si>
  <si>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</si>
  <si>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</si>
  <si>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</si>
  <si>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</si>
  <si>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</si>
  <si>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</si>
  <si>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</si>
  <si>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</si>
  <si>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</si>
  <si>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</si>
  <si>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</si>
  <si>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</si>
  <si>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</si>
  <si>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</si>
  <si>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</si>
  <si>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</si>
  <si>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</si>
  <si>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</si>
  <si>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</si>
  <si>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</si>
  <si>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</si>
  <si>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</si>
  <si>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</si>
  <si>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</si>
  <si>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</si>
  <si>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</si>
  <si>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</si>
  <si>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</si>
  <si>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</si>
  <si>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</si>
  <si>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</si>
  <si>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</si>
  <si>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</si>
  <si>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</si>
  <si>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</si>
  <si>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</si>
  <si>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</si>
  <si>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</si>
  <si>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</si>
  <si>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</si>
  <si>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</si>
  <si>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</si>
  <si>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</si>
  <si>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</si>
  <si>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</si>
  <si>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</si>
  <si>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</si>
  <si>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</si>
  <si>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</si>
  <si>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</si>
  <si>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</si>
  <si>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</si>
  <si>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</si>
  <si>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</si>
  <si>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</si>
  <si>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</si>
  <si>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</si>
  <si>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</si>
  <si>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</si>
  <si>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</si>
  <si>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</si>
  <si>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</si>
  <si>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</si>
  <si>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</si>
  <si>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</si>
  <si>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</si>
  <si>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</si>
  <si>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</si>
  <si>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</si>
  <si>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</si>
  <si>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</si>
  <si>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</si>
  <si>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</si>
  <si>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</si>
  <si>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</si>
  <si>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</si>
  <si>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</si>
  <si>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</si>
  <si>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</si>
  <si>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三期在建</t>
    <phoneticPr fontId="134" type="noConversion"/>
  </si>
  <si>
    <t>车库类型</t>
    <phoneticPr fontId="3" type="noConversion"/>
  </si>
  <si>
    <t>中海云筑</t>
    <phoneticPr fontId="3" type="noConversion"/>
  </si>
  <si>
    <t>大兴金茂悦</t>
    <phoneticPr fontId="3" type="noConversion"/>
  </si>
  <si>
    <t>航城壹号</t>
    <phoneticPr fontId="3" type="noConversion"/>
  </si>
  <si>
    <t>舒朗苑</t>
    <phoneticPr fontId="3" type="noConversion"/>
  </si>
  <si>
    <t>海悦公馆</t>
    <phoneticPr fontId="3" type="noConversion"/>
  </si>
  <si>
    <t>城建宽院国誉府</t>
    <phoneticPr fontId="3" type="noConversion"/>
  </si>
  <si>
    <t>出让金+开发费</t>
  </si>
  <si>
    <t>企业提供（在右侧录入）</t>
  </si>
  <si>
    <t>成本比率</t>
  </si>
  <si>
    <t>情况3</t>
  </si>
  <si>
    <t>自行开发建设</t>
  </si>
  <si>
    <t>非个人房产</t>
  </si>
  <si>
    <t>收益比率</t>
  </si>
  <si>
    <t>郑燚</t>
  </si>
  <si>
    <t>崔锴</t>
  </si>
  <si>
    <t>序号</t>
    <phoneticPr fontId="134" type="noConversion"/>
  </si>
  <si>
    <t>房号</t>
    <phoneticPr fontId="134" type="noConversion"/>
  </si>
  <si>
    <t>建筑面积</t>
    <phoneticPr fontId="134" type="noConversion"/>
  </si>
  <si>
    <t>小计</t>
    <phoneticPr fontId="134" type="noConversion"/>
  </si>
  <si>
    <t>——</t>
    <phoneticPr fontId="134" type="noConversion"/>
  </si>
  <si>
    <t>——</t>
    <phoneticPr fontId="134" type="noConversion"/>
  </si>
  <si>
    <t>合计</t>
    <phoneticPr fontId="134" type="noConversion"/>
  </si>
  <si>
    <t>用途</t>
    <phoneticPr fontId="134" type="noConversion"/>
  </si>
  <si>
    <t>住宅</t>
    <phoneticPr fontId="134" type="noConversion"/>
  </si>
  <si>
    <t>地下车库</t>
    <phoneticPr fontId="134" type="noConversion"/>
  </si>
  <si>
    <t>机械</t>
    <phoneticPr fontId="134" type="noConversion"/>
  </si>
  <si>
    <t>普通</t>
    <phoneticPr fontId="134" type="noConversion"/>
  </si>
  <si>
    <t>一层</t>
    <phoneticPr fontId="134" type="noConversion"/>
  </si>
  <si>
    <t>一层</t>
    <phoneticPr fontId="134" type="noConversion"/>
  </si>
  <si>
    <t>顶层</t>
    <phoneticPr fontId="134" type="noConversion"/>
  </si>
  <si>
    <t>总价</t>
    <phoneticPr fontId="134" type="noConversion"/>
  </si>
  <si>
    <t>总价</t>
    <phoneticPr fontId="24" type="noConversion"/>
  </si>
  <si>
    <t>单价</t>
    <phoneticPr fontId="24" type="noConversion"/>
  </si>
  <si>
    <t>面积</t>
    <phoneticPr fontId="24" type="noConversion"/>
  </si>
  <si>
    <t>总价比例</t>
    <phoneticPr fontId="24" type="noConversion"/>
  </si>
  <si>
    <t>单价比例</t>
    <phoneticPr fontId="24" type="noConversion"/>
  </si>
  <si>
    <t>城镇住宅用地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</si>
</sst>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b/>
      <sz val="10"/>
      <color rgb="FF000000"/>
      <name val="宋体"/>
      <family val="3"/>
      <charset val="134"/>
    </font>
    <font>
      <sz val="12"/>
      <color indexed="9"/>
      <name val="宋体"/>
      <family val="3"/>
      <charset val="134"/>
    </font>
    <font>
      <sz val="11"/>
      <color rgb="FF000000"/>
      <name val="宋体"/>
      <family val="3"/>
      <charset val="134"/>
    </font>
    <font>
      <sz val="9"/>
      <color rgb="FF000000"/>
      <name val="宋体"/>
      <family val="3"/>
      <charset val="134"/>
    </font>
    <font>
      <sz val="11"/>
      <color rgb="FF000000"/>
      <name val="等线"/>
      <family val="3"/>
      <charset val="134"/>
    </font>
    <font>
      <sz val="11"/>
      <name val="等线"/>
      <family val="3"/>
      <charset val="134"/>
    </font>
    <font>
      <b/>
      <sz val="10"/>
      <color rgb="FF000000"/>
      <name val="华文细黑"/>
      <family val="3"/>
      <charset val="134"/>
    </font>
    <font>
      <sz val="10"/>
      <name val="华文细黑"/>
      <family val="3"/>
      <charset val="134"/>
    </font>
    <font>
      <sz val="12"/>
      <color theme="1"/>
      <name val="宋体"/>
      <family val="2"/>
      <scheme val="minor"/>
    </font>
    <font>
      <b/>
      <sz val="10"/>
      <color theme="1"/>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1" fillId="22" borderId="0">
      <alignment vertical="top"/>
      <protection locked="0"/>
    </xf>
    <xf numFmtId="191" fontId="271" fillId="23" borderId="0">
      <alignment vertical="top"/>
      <protection locked="0"/>
    </xf>
    <xf numFmtId="191" fontId="272" fillId="0" borderId="0">
      <protection locked="0"/>
    </xf>
    <xf numFmtId="191" fontId="94" fillId="0" borderId="0">
      <alignment vertical="center"/>
    </xf>
    <xf numFmtId="191" fontId="271" fillId="22" borderId="0">
      <alignment vertical="top"/>
      <protection locked="0"/>
    </xf>
    <xf numFmtId="191" fontId="271" fillId="22" borderId="0">
      <alignment vertical="top"/>
      <protection locked="0"/>
    </xf>
    <xf numFmtId="191" fontId="271" fillId="23" borderId="0">
      <alignment vertical="top"/>
      <protection locked="0"/>
    </xf>
    <xf numFmtId="191" fontId="271" fillId="23" borderId="0">
      <alignment vertical="top"/>
      <protection locked="0"/>
    </xf>
    <xf numFmtId="0" fontId="99" fillId="0" borderId="0"/>
    <xf numFmtId="9" fontId="274" fillId="0" borderId="0">
      <alignment vertical="top"/>
      <protection locked="0"/>
    </xf>
    <xf numFmtId="9" fontId="274" fillId="0" borderId="0">
      <alignment vertical="top"/>
      <protection locked="0"/>
    </xf>
    <xf numFmtId="9" fontId="274" fillId="0" borderId="0">
      <alignment vertical="top"/>
      <protection locked="0"/>
    </xf>
    <xf numFmtId="9" fontId="274"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2" fillId="0" borderId="0">
      <protection locked="0"/>
    </xf>
    <xf numFmtId="191" fontId="272" fillId="0" borderId="0">
      <protection locked="0"/>
    </xf>
    <xf numFmtId="191" fontId="272"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2" fillId="0" borderId="0">
      <protection locked="0"/>
    </xf>
    <xf numFmtId="191" fontId="272" fillId="0" borderId="0">
      <protection locked="0"/>
    </xf>
    <xf numFmtId="191" fontId="272" fillId="0" borderId="0">
      <protection locked="0"/>
    </xf>
    <xf numFmtId="191" fontId="272" fillId="0" borderId="0">
      <protection locked="0"/>
    </xf>
    <xf numFmtId="191" fontId="275"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8" fillId="0" borderId="0"/>
  </cellStyleXfs>
  <cellXfs count="38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91" fontId="19" fillId="0" borderId="0" xfId="23" applyFont="1">
      <alignment vertical="center"/>
    </xf>
    <xf numFmtId="0" fontId="3" fillId="0" borderId="1" xfId="22" applyNumberFormat="1" applyFont="1" applyBorder="1" applyAlignment="1" applyProtection="1">
      <alignment horizontal="center" vertical="center" wrapText="1"/>
    </xf>
    <xf numFmtId="0" fontId="3" fillId="0" borderId="1" xfId="23" applyNumberFormat="1" applyFont="1" applyBorder="1" applyAlignment="1">
      <alignment horizontal="center" vertical="center"/>
    </xf>
    <xf numFmtId="191" fontId="3" fillId="0" borderId="1" xfId="23" applyFont="1" applyBorder="1" applyAlignment="1">
      <alignment horizontal="center" vertical="center"/>
    </xf>
    <xf numFmtId="0" fontId="3" fillId="0" borderId="1" xfId="23" applyNumberFormat="1" applyFont="1" applyBorder="1" applyAlignment="1">
      <alignment horizontal="center" vertical="center" shrinkToFit="1"/>
    </xf>
    <xf numFmtId="0" fontId="273" fillId="0" borderId="1" xfId="22" applyNumberFormat="1" applyFont="1" applyBorder="1" applyAlignment="1" applyProtection="1">
      <alignment horizontal="center" vertical="center"/>
    </xf>
    <xf numFmtId="191" fontId="94" fillId="0" borderId="0" xfId="23">
      <alignment vertical="center"/>
    </xf>
    <xf numFmtId="191" fontId="3" fillId="0" borderId="0" xfId="23" applyFont="1">
      <alignment vertical="center"/>
    </xf>
    <xf numFmtId="0" fontId="269" fillId="0" borderId="0" xfId="10" applyFont="1" applyAlignment="1">
      <alignment horizontal="left" vertical="center"/>
    </xf>
    <xf numFmtId="0" fontId="277" fillId="0" borderId="1" xfId="10" applyNumberFormat="1" applyFont="1" applyFill="1" applyBorder="1" applyAlignment="1">
      <alignment horizontal="left" vertical="center" wrapText="1"/>
    </xf>
    <xf numFmtId="0" fontId="269" fillId="0" borderId="1" xfId="10" applyNumberFormat="1" applyFont="1" applyFill="1" applyBorder="1" applyAlignment="1">
      <alignment horizontal="left" vertical="center"/>
    </xf>
    <xf numFmtId="191" fontId="277" fillId="0" borderId="1" xfId="10" applyNumberFormat="1" applyFont="1" applyFill="1" applyBorder="1" applyAlignment="1">
      <alignment horizontal="left" vertical="center" wrapText="1"/>
    </xf>
    <xf numFmtId="176" fontId="269"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wrapText="1"/>
    </xf>
    <xf numFmtId="176" fontId="277" fillId="0" borderId="1" xfId="19" applyNumberFormat="1" applyFont="1" applyFill="1" applyBorder="1" applyAlignment="1">
      <alignment horizontal="left" vertical="center" shrinkToFit="1"/>
    </xf>
    <xf numFmtId="0" fontId="269" fillId="0" borderId="0" xfId="10" applyFont="1" applyFill="1" applyAlignment="1">
      <alignment horizontal="left" vertical="center"/>
    </xf>
    <xf numFmtId="0" fontId="277"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xf>
    <xf numFmtId="0" fontId="277" fillId="0" borderId="0" xfId="10" applyFont="1" applyFill="1" applyAlignment="1">
      <alignment horizontal="left" vertical="center"/>
    </xf>
    <xf numFmtId="191" fontId="277" fillId="7" borderId="1" xfId="10" applyNumberFormat="1" applyFont="1" applyFill="1" applyBorder="1" applyAlignment="1">
      <alignment horizontal="left" vertical="center" wrapText="1"/>
    </xf>
    <xf numFmtId="176" fontId="277" fillId="7" borderId="1" xfId="19" applyNumberFormat="1" applyFont="1" applyFill="1" applyBorder="1" applyAlignment="1">
      <alignment horizontal="left" vertical="center" shrinkToFit="1"/>
    </xf>
    <xf numFmtId="176" fontId="277" fillId="7" borderId="1" xfId="10" applyNumberFormat="1" applyFont="1" applyFill="1" applyBorder="1" applyAlignment="1">
      <alignment horizontal="left" vertical="center" wrapText="1"/>
    </xf>
    <xf numFmtId="0" fontId="269" fillId="7" borderId="1" xfId="10" applyNumberFormat="1" applyFont="1" applyFill="1" applyBorder="1" applyAlignment="1">
      <alignment horizontal="left" vertical="center"/>
    </xf>
    <xf numFmtId="49" fontId="277" fillId="0" borderId="0" xfId="10" applyNumberFormat="1" applyFont="1" applyFill="1" applyAlignment="1">
      <alignment horizontal="left" vertical="center"/>
    </xf>
    <xf numFmtId="191" fontId="277" fillId="0" borderId="0" xfId="10" applyNumberFormat="1" applyFont="1" applyFill="1" applyAlignment="1">
      <alignment horizontal="left" vertical="center"/>
    </xf>
    <xf numFmtId="176" fontId="277" fillId="0" borderId="0" xfId="10" applyNumberFormat="1" applyFont="1" applyFill="1" applyAlignment="1">
      <alignment horizontal="left" vertical="center"/>
    </xf>
    <xf numFmtId="49" fontId="269" fillId="0" borderId="0" xfId="10" applyNumberFormat="1" applyFont="1" applyAlignment="1">
      <alignment horizontal="left" vertical="center"/>
    </xf>
    <xf numFmtId="49" fontId="276" fillId="10" borderId="13" xfId="10" applyNumberFormat="1" applyFont="1" applyFill="1" applyBorder="1" applyAlignment="1">
      <alignment vertical="center" wrapText="1"/>
    </xf>
    <xf numFmtId="191" fontId="276" fillId="5" borderId="13" xfId="10" applyNumberFormat="1" applyFont="1" applyFill="1" applyBorder="1" applyAlignment="1">
      <alignment vertical="center" wrapText="1"/>
    </xf>
    <xf numFmtId="49" fontId="276" fillId="13" borderId="13" xfId="10" applyNumberFormat="1" applyFont="1" applyFill="1" applyBorder="1" applyAlignment="1">
      <alignment vertical="center" wrapText="1"/>
    </xf>
    <xf numFmtId="0" fontId="277" fillId="24" borderId="1" xfId="10" applyNumberFormat="1" applyFont="1" applyFill="1" applyBorder="1" applyAlignment="1">
      <alignment horizontal="left" vertical="center" wrapText="1"/>
    </xf>
    <xf numFmtId="0" fontId="269" fillId="24" borderId="1" xfId="10" applyNumberFormat="1" applyFont="1" applyFill="1" applyBorder="1" applyAlignment="1">
      <alignment horizontal="left" vertical="center"/>
    </xf>
    <xf numFmtId="191" fontId="277" fillId="24" borderId="1" xfId="10" applyNumberFormat="1" applyFont="1" applyFill="1" applyBorder="1" applyAlignment="1">
      <alignment horizontal="left" vertical="center" wrapText="1"/>
    </xf>
    <xf numFmtId="176" fontId="269" fillId="24" borderId="1" xfId="10" applyNumberFormat="1" applyFont="1" applyFill="1" applyBorder="1" applyAlignment="1">
      <alignment horizontal="left" vertical="center"/>
    </xf>
    <xf numFmtId="176" fontId="277" fillId="24" borderId="1" xfId="10" applyNumberFormat="1" applyFont="1" applyFill="1" applyBorder="1" applyAlignment="1">
      <alignment horizontal="left" vertical="center" wrapText="1"/>
    </xf>
    <xf numFmtId="176" fontId="277" fillId="24" borderId="1" xfId="19" applyNumberFormat="1" applyFont="1" applyFill="1" applyBorder="1" applyAlignment="1">
      <alignment horizontal="left" vertical="center" shrinkToFit="1"/>
    </xf>
    <xf numFmtId="0" fontId="269" fillId="24" borderId="0" xfId="10" applyFont="1" applyFill="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3" fillId="5" borderId="1" xfId="23" applyNumberFormat="1" applyFont="1" applyFill="1" applyBorder="1" applyAlignment="1">
      <alignment horizontal="center" vertical="center" shrinkToFit="1"/>
    </xf>
    <xf numFmtId="0" fontId="270" fillId="24" borderId="1" xfId="22" applyNumberFormat="1" applyFont="1" applyFill="1" applyBorder="1" applyAlignment="1" applyProtection="1">
      <alignment horizontal="center" vertical="center" wrapText="1"/>
    </xf>
    <xf numFmtId="0" fontId="270" fillId="24" borderId="13" xfId="22" applyNumberFormat="1" applyFont="1" applyFill="1" applyBorder="1" applyAlignment="1" applyProtection="1">
      <alignment vertical="center" wrapText="1"/>
    </xf>
    <xf numFmtId="0" fontId="3" fillId="0" borderId="0" xfId="23" applyNumberFormat="1" applyFont="1" applyAlignment="1">
      <alignment horizontal="left" vertical="center"/>
    </xf>
    <xf numFmtId="0" fontId="269" fillId="0" borderId="1" xfId="0" applyFont="1" applyBorder="1" applyAlignment="1">
      <alignment horizontal="left" vertical="center"/>
    </xf>
    <xf numFmtId="0" fontId="279" fillId="0" borderId="1" xfId="0" applyFont="1" applyBorder="1" applyAlignment="1">
      <alignment horizontal="left" vertical="center"/>
    </xf>
    <xf numFmtId="0" fontId="94" fillId="0" borderId="0" xfId="23" applyNumberFormat="1">
      <alignment vertical="center"/>
    </xf>
    <xf numFmtId="0" fontId="77" fillId="10" borderId="9"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310">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5.png"/><Relationship Id="rId16" Type="http://schemas.openxmlformats.org/officeDocument/2006/relationships/image" Target="../media/image59.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drawing4.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image" Target="../media/image6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143</xdr:row>
      <xdr:rowOff>2229</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195</xdr:row>
      <xdr:rowOff>1814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136071</xdr:colOff>
      <xdr:row>34</xdr:row>
      <xdr:rowOff>163286</xdr:rowOff>
    </xdr:from>
    <xdr:to>
      <xdr:col>10</xdr:col>
      <xdr:colOff>585106</xdr:colOff>
      <xdr:row>35</xdr:row>
      <xdr:rowOff>13607</xdr:rowOff>
    </xdr:to>
    <xdr:cxnSp macro="">
      <xdr:nvCxnSpPr>
        <xdr:cNvPr id="42" name="直接连接符 41"/>
        <xdr:cNvCxnSpPr/>
      </xdr:nvCxnSpPr>
      <xdr:spPr>
        <a:xfrm>
          <a:off x="5687785" y="6177643"/>
          <a:ext cx="1809750" cy="27214"/>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408215</xdr:colOff>
      <xdr:row>38</xdr:row>
      <xdr:rowOff>101296</xdr:rowOff>
    </xdr:from>
    <xdr:to>
      <xdr:col>9</xdr:col>
      <xdr:colOff>497420</xdr:colOff>
      <xdr:row>54</xdr:row>
      <xdr:rowOff>68035</xdr:rowOff>
    </xdr:to>
    <xdr:cxnSp macro="">
      <xdr:nvCxnSpPr>
        <xdr:cNvPr id="44" name="直接连接符 43"/>
        <xdr:cNvCxnSpPr/>
      </xdr:nvCxnSpPr>
      <xdr:spPr>
        <a:xfrm flipH="1">
          <a:off x="6640286" y="6823225"/>
          <a:ext cx="89205" cy="2797024"/>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10</xdr:col>
      <xdr:colOff>272142</xdr:colOff>
      <xdr:row>40</xdr:row>
      <xdr:rowOff>163285</xdr:rowOff>
    </xdr:from>
    <xdr:to>
      <xdr:col>11</xdr:col>
      <xdr:colOff>34778</xdr:colOff>
      <xdr:row>56</xdr:row>
      <xdr:rowOff>95250</xdr:rowOff>
    </xdr:to>
    <xdr:cxnSp macro="">
      <xdr:nvCxnSpPr>
        <xdr:cNvPr id="49" name="直接连接符 48"/>
        <xdr:cNvCxnSpPr/>
      </xdr:nvCxnSpPr>
      <xdr:spPr>
        <a:xfrm flipH="1">
          <a:off x="7184571" y="7238999"/>
          <a:ext cx="442993" cy="2762251"/>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7</xdr:col>
      <xdr:colOff>367393</xdr:colOff>
      <xdr:row>47</xdr:row>
      <xdr:rowOff>163287</xdr:rowOff>
    </xdr:from>
    <xdr:to>
      <xdr:col>9</xdr:col>
      <xdr:colOff>394607</xdr:colOff>
      <xdr:row>48</xdr:row>
      <xdr:rowOff>0</xdr:rowOff>
    </xdr:to>
    <xdr:cxnSp macro="">
      <xdr:nvCxnSpPr>
        <xdr:cNvPr id="51" name="直接连接符 50"/>
        <xdr:cNvCxnSpPr/>
      </xdr:nvCxnSpPr>
      <xdr:spPr>
        <a:xfrm flipV="1">
          <a:off x="5238750" y="8477251"/>
          <a:ext cx="1387928" cy="13606"/>
        </a:xfrm>
        <a:prstGeom prst="line">
          <a:avLst/>
        </a:prstGeom>
        <a:ln w="38100"/>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68036</xdr:colOff>
      <xdr:row>52</xdr:row>
      <xdr:rowOff>40821</xdr:rowOff>
    </xdr:from>
    <xdr:to>
      <xdr:col>9</xdr:col>
      <xdr:colOff>68036</xdr:colOff>
      <xdr:row>52</xdr:row>
      <xdr:rowOff>40821</xdr:rowOff>
    </xdr:to>
    <xdr:cxnSp macro="">
      <xdr:nvCxnSpPr>
        <xdr:cNvPr id="55" name="直接连接符 54"/>
        <xdr:cNvCxnSpPr/>
      </xdr:nvCxnSpPr>
      <xdr:spPr>
        <a:xfrm>
          <a:off x="5619750" y="9239250"/>
          <a:ext cx="680357" cy="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9</xdr:col>
      <xdr:colOff>163288</xdr:colOff>
      <xdr:row>52</xdr:row>
      <xdr:rowOff>95249</xdr:rowOff>
    </xdr:from>
    <xdr:to>
      <xdr:col>9</xdr:col>
      <xdr:colOff>176893</xdr:colOff>
      <xdr:row>59</xdr:row>
      <xdr:rowOff>95249</xdr:rowOff>
    </xdr:to>
    <xdr:cxnSp macro="">
      <xdr:nvCxnSpPr>
        <xdr:cNvPr id="59" name="直接连接符 58"/>
        <xdr:cNvCxnSpPr/>
      </xdr:nvCxnSpPr>
      <xdr:spPr>
        <a:xfrm>
          <a:off x="6395359" y="9293678"/>
          <a:ext cx="13605" cy="123825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625929</xdr:colOff>
      <xdr:row>53</xdr:row>
      <xdr:rowOff>54429</xdr:rowOff>
    </xdr:from>
    <xdr:to>
      <xdr:col>8</xdr:col>
      <xdr:colOff>13608</xdr:colOff>
      <xdr:row>60</xdr:row>
      <xdr:rowOff>54429</xdr:rowOff>
    </xdr:to>
    <xdr:cxnSp macro="">
      <xdr:nvCxnSpPr>
        <xdr:cNvPr id="63" name="直接连接符 62"/>
        <xdr:cNvCxnSpPr/>
      </xdr:nvCxnSpPr>
      <xdr:spPr>
        <a:xfrm flipH="1">
          <a:off x="5497286" y="9429750"/>
          <a:ext cx="68036" cy="123825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585106</xdr:colOff>
      <xdr:row>60</xdr:row>
      <xdr:rowOff>54428</xdr:rowOff>
    </xdr:from>
    <xdr:to>
      <xdr:col>8</xdr:col>
      <xdr:colOff>666750</xdr:colOff>
      <xdr:row>60</xdr:row>
      <xdr:rowOff>68036</xdr:rowOff>
    </xdr:to>
    <xdr:cxnSp macro="">
      <xdr:nvCxnSpPr>
        <xdr:cNvPr id="65" name="直接连接符 64"/>
        <xdr:cNvCxnSpPr/>
      </xdr:nvCxnSpPr>
      <xdr:spPr>
        <a:xfrm>
          <a:off x="5456463" y="10667999"/>
          <a:ext cx="762001" cy="13608"/>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12</xdr:col>
      <xdr:colOff>21167</xdr:colOff>
      <xdr:row>2</xdr:row>
      <xdr:rowOff>74083</xdr:rowOff>
    </xdr:from>
    <xdr:to>
      <xdr:col>24</xdr:col>
      <xdr:colOff>629245</xdr:colOff>
      <xdr:row>60</xdr:row>
      <xdr:rowOff>42332</xdr:rowOff>
    </xdr:to>
    <xdr:grpSp>
      <xdr:nvGrpSpPr>
        <xdr:cNvPr id="82" name="组合 81"/>
        <xdr:cNvGrpSpPr/>
      </xdr:nvGrpSpPr>
      <xdr:grpSpPr>
        <a:xfrm>
          <a:off x="8294310" y="427869"/>
          <a:ext cx="8772364" cy="10228034"/>
          <a:chOff x="8294310" y="427869"/>
          <a:chExt cx="8772364" cy="10228034"/>
        </a:xfrm>
      </xdr:grpSpPr>
      <xdr:pic>
        <xdr:nvPicPr>
          <xdr:cNvPr id="3" name="图片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1111"/>
          <a:stretch/>
        </xdr:blipFill>
        <xdr:spPr>
          <a:xfrm>
            <a:off x="8953501" y="427869"/>
            <a:ext cx="7078738" cy="4694463"/>
          </a:xfrm>
          <a:prstGeom prst="rect">
            <a:avLst/>
          </a:prstGeom>
        </xdr:spPr>
      </xdr:pic>
      <xdr:sp macro="" textlink="">
        <xdr:nvSpPr>
          <xdr:cNvPr id="4" name="矩形 3"/>
          <xdr:cNvSpPr/>
        </xdr:nvSpPr>
        <xdr:spPr>
          <a:xfrm>
            <a:off x="12320512" y="1446894"/>
            <a:ext cx="458107" cy="250976"/>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xnSp macro="">
        <xdr:nvCxnSpPr>
          <xdr:cNvPr id="6" name="直接连接符 5"/>
          <xdr:cNvCxnSpPr/>
        </xdr:nvCxnSpPr>
        <xdr:spPr>
          <a:xfrm flipH="1">
            <a:off x="9038167" y="1697869"/>
            <a:ext cx="3282347" cy="3548441"/>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7" name="直接连接符 6"/>
          <xdr:cNvCxnSpPr/>
        </xdr:nvCxnSpPr>
        <xdr:spPr>
          <a:xfrm flipH="1" flipV="1">
            <a:off x="12778622" y="1687287"/>
            <a:ext cx="3221866" cy="3548440"/>
          </a:xfrm>
          <a:prstGeom prst="line">
            <a:avLst/>
          </a:prstGeom>
          <a:ln w="28575"/>
        </xdr:spPr>
        <xdr:style>
          <a:lnRef idx="1">
            <a:schemeClr val="accent1"/>
          </a:lnRef>
          <a:fillRef idx="0">
            <a:schemeClr val="accent1"/>
          </a:fillRef>
          <a:effectRef idx="0">
            <a:schemeClr val="accent1"/>
          </a:effectRef>
          <a:fontRef idx="minor">
            <a:schemeClr val="tx1"/>
          </a:fontRef>
        </xdr:style>
      </xdr:cxnSp>
      <xdr:pic>
        <xdr:nvPicPr>
          <xdr:cNvPr id="18" name="图片 1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94310" y="5246309"/>
            <a:ext cx="8772364" cy="5409594"/>
          </a:xfrm>
          <a:prstGeom prst="rect">
            <a:avLst/>
          </a:prstGeom>
          <a:ln w="28575">
            <a:solidFill>
              <a:srgbClr val="0070C0"/>
            </a:solidFill>
          </a:ln>
        </xdr:spPr>
      </xdr:pic>
      <xdr:cxnSp macro="">
        <xdr:nvCxnSpPr>
          <xdr:cNvPr id="20" name="直接连接符 19"/>
          <xdr:cNvCxnSpPr/>
        </xdr:nvCxnSpPr>
        <xdr:spPr>
          <a:xfrm>
            <a:off x="12482286" y="6785429"/>
            <a:ext cx="828524" cy="0"/>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24" name="直接连接符 23"/>
          <xdr:cNvCxnSpPr/>
        </xdr:nvCxnSpPr>
        <xdr:spPr>
          <a:xfrm flipV="1">
            <a:off x="12300857" y="6785432"/>
            <a:ext cx="192012" cy="1991175"/>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28" name="直接连接符 27"/>
          <xdr:cNvCxnSpPr/>
        </xdr:nvCxnSpPr>
        <xdr:spPr>
          <a:xfrm>
            <a:off x="12668250" y="9293679"/>
            <a:ext cx="1428750" cy="21166"/>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31" name="直接连接符 30"/>
          <xdr:cNvCxnSpPr/>
        </xdr:nvCxnSpPr>
        <xdr:spPr>
          <a:xfrm>
            <a:off x="13215559" y="8066013"/>
            <a:ext cx="828523" cy="0"/>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32" name="直接连接符 31"/>
          <xdr:cNvCxnSpPr/>
        </xdr:nvCxnSpPr>
        <xdr:spPr>
          <a:xfrm>
            <a:off x="14054667" y="8066012"/>
            <a:ext cx="31750" cy="1238250"/>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34" name="直接连接符 33"/>
          <xdr:cNvCxnSpPr/>
        </xdr:nvCxnSpPr>
        <xdr:spPr>
          <a:xfrm flipH="1">
            <a:off x="13215560" y="6764262"/>
            <a:ext cx="95250" cy="1291167"/>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74" name="直接连接符 73"/>
          <xdr:cNvCxnSpPr/>
        </xdr:nvCxnSpPr>
        <xdr:spPr>
          <a:xfrm flipV="1">
            <a:off x="12300857" y="8776607"/>
            <a:ext cx="394607" cy="13608"/>
          </a:xfrm>
          <a:prstGeom prst="line">
            <a:avLst/>
          </a:prstGeom>
          <a:ln w="38100"/>
        </xdr:spPr>
        <xdr:style>
          <a:lnRef idx="1">
            <a:schemeClr val="accent2"/>
          </a:lnRef>
          <a:fillRef idx="0">
            <a:schemeClr val="accent2"/>
          </a:fillRef>
          <a:effectRef idx="0">
            <a:schemeClr val="accent2"/>
          </a:effectRef>
          <a:fontRef idx="minor">
            <a:schemeClr val="tx1"/>
          </a:fontRef>
        </xdr:style>
      </xdr:cxnSp>
      <xdr:cxnSp macro="">
        <xdr:nvCxnSpPr>
          <xdr:cNvPr id="77" name="直接连接符 76"/>
          <xdr:cNvCxnSpPr/>
        </xdr:nvCxnSpPr>
        <xdr:spPr>
          <a:xfrm flipH="1">
            <a:off x="12641036" y="8763001"/>
            <a:ext cx="27216" cy="530678"/>
          </a:xfrm>
          <a:prstGeom prst="line">
            <a:avLst/>
          </a:prstGeom>
          <a:ln w="38100"/>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估价对象为北京市房地产，为所有。根据《国有土地使用证》[]，估价对象（分摊）出让国有建设用地使用权面积为0平方米，建筑面积为116.04平方米。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估价对象为北京市房地产,属开发建设的，该项目尚在开发建设中。根据《国有土地使用证》[]，估价对象（分摊）出让国有建设用地使用权面积为0平方米，规划建筑面积为116.04平方米。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本次评估采用的主估价方法为比较法和成本法。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307</v>
      </c>
    </row>
    <row r="21" spans="1:2" s="1200" customFormat="1">
      <c r="A21" s="1198" t="s">
        <v>537</v>
      </c>
      <c r="B21" s="1199">
        <f ca="1">'预评函-2'!D7</f>
        <v>35274</v>
      </c>
    </row>
    <row r="22" spans="1:2" s="1200" customFormat="1">
      <c r="A22" s="1198" t="s">
        <v>538</v>
      </c>
      <c r="B22" s="1199" t="str">
        <f ca="1">'预评函-2'!D6</f>
        <v>叁佰零柒万元整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307</v>
      </c>
    </row>
    <row r="31" spans="1:2" s="1200" customFormat="1">
      <c r="A31" s="1198" t="s">
        <v>576</v>
      </c>
      <c r="B31" s="1199">
        <f ca="1">'预评函-2'!D15</f>
        <v>35274</v>
      </c>
    </row>
    <row r="32" spans="1:2" s="1200" customFormat="1">
      <c r="A32" s="1198" t="s">
        <v>543</v>
      </c>
      <c r="B32" s="1199" t="str">
        <f ca="1">'预评函-2'!D14</f>
        <v>叁佰零柒万元整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46831</v>
      </c>
    </row>
    <row r="39" spans="1:2" s="1200" customFormat="1">
      <c r="A39" s="1198" t="s">
        <v>545</v>
      </c>
      <c r="B39" s="1199">
        <f ca="1">'预评函-2'!D21</f>
        <v>4035764</v>
      </c>
    </row>
    <row r="40" spans="1:2" s="1200" customFormat="1">
      <c r="A40" s="1198" t="s">
        <v>546</v>
      </c>
      <c r="B40" s="1199" t="str">
        <f ca="1">'预评函-2'!D20</f>
        <v>肆亿陆仟捌佰叁拾壹万元整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116.03999999999999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252</v>
      </c>
    </row>
    <row r="48" spans="1:2" s="1200" customFormat="1">
      <c r="A48" s="1198" t="s">
        <v>549</v>
      </c>
      <c r="B48" s="1199">
        <f ca="1">'预评函-3'!E4</f>
        <v>28925</v>
      </c>
    </row>
    <row r="49" spans="1:2" s="1200" customFormat="1">
      <c r="A49" s="1198" t="s">
        <v>550</v>
      </c>
      <c r="B49" s="1199" t="str">
        <f ca="1">'预评函-3'!D5</f>
        <v>贰佰伍拾贰万元整</v>
      </c>
    </row>
    <row r="50" spans="1:2" s="1200" customFormat="1">
      <c r="A50" s="1198" t="s">
        <v>574</v>
      </c>
      <c r="B50" s="1199" t="str">
        <f>'预评函-3'!F2</f>
        <v>在建建筑物价值</v>
      </c>
    </row>
    <row r="51" spans="1:2" s="1200" customFormat="1">
      <c r="A51" s="1198" t="s">
        <v>551</v>
      </c>
      <c r="B51" s="1199">
        <f ca="1">'预评函-3'!F4</f>
        <v>55</v>
      </c>
    </row>
    <row r="52" spans="1:2" s="1200" customFormat="1">
      <c r="A52" s="1198" t="s">
        <v>552</v>
      </c>
      <c r="B52" s="1199">
        <f ca="1">'预评函-3'!G4</f>
        <v>6349</v>
      </c>
    </row>
    <row r="53" spans="1:2" s="1200" customFormat="1">
      <c r="A53" s="1198" t="s">
        <v>580</v>
      </c>
      <c r="B53" s="1199" t="str">
        <f ca="1">'预评函-3'!F5</f>
        <v>伍拾伍万元整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974</v>
      </c>
      <c r="C1" s="1538" t="s">
        <v>314</v>
      </c>
      <c r="D1" s="1540" t="s">
        <v>3353</v>
      </c>
      <c r="E1" s="1539" t="s">
        <v>975</v>
      </c>
      <c r="F1" s="1539" t="s">
        <v>976</v>
      </c>
      <c r="G1" s="1539" t="s">
        <v>977</v>
      </c>
      <c r="H1" s="1539" t="s">
        <v>978</v>
      </c>
      <c r="I1" s="1539" t="s">
        <v>979</v>
      </c>
      <c r="J1" s="1539" t="s">
        <v>980</v>
      </c>
      <c r="K1" s="1539" t="s">
        <v>981</v>
      </c>
      <c r="L1" s="1539" t="s">
        <v>982</v>
      </c>
      <c r="M1" s="1539" t="s">
        <v>983</v>
      </c>
      <c r="N1" s="1539" t="s">
        <v>984</v>
      </c>
      <c r="O1" s="1539" t="s">
        <v>985</v>
      </c>
      <c r="P1" s="1540" t="s">
        <v>309</v>
      </c>
      <c r="Q1" s="1540" t="s">
        <v>447</v>
      </c>
      <c r="R1" s="1539" t="s">
        <v>441</v>
      </c>
      <c r="S1" s="1539" t="s">
        <v>986</v>
      </c>
      <c r="T1" s="1541" t="s">
        <v>987</v>
      </c>
      <c r="U1" s="1539" t="s">
        <v>988</v>
      </c>
      <c r="V1" s="1539" t="s">
        <v>989</v>
      </c>
      <c r="W1" s="1539" t="s">
        <v>311</v>
      </c>
    </row>
    <row r="2" spans="1:23">
      <c r="A2" s="1543" t="s">
        <v>19</v>
      </c>
      <c r="B2" s="1543" t="s">
        <v>990</v>
      </c>
      <c r="C2" s="1544" t="s">
        <v>315</v>
      </c>
      <c r="D2" s="1545" t="s">
        <v>991</v>
      </c>
      <c r="E2" s="1545" t="s">
        <v>992</v>
      </c>
      <c r="F2" s="1545" t="s">
        <v>993</v>
      </c>
      <c r="G2" s="1545">
        <v>20</v>
      </c>
      <c r="H2" s="1545" t="s">
        <v>993</v>
      </c>
      <c r="I2" s="1545" t="s">
        <v>3339</v>
      </c>
      <c r="J2" s="1545" t="s">
        <v>994</v>
      </c>
      <c r="K2" s="1545" t="s">
        <v>995</v>
      </c>
      <c r="L2" s="1545" t="s">
        <v>995</v>
      </c>
      <c r="M2" s="1545" t="s">
        <v>995</v>
      </c>
      <c r="N2" s="1545" t="s">
        <v>995</v>
      </c>
      <c r="O2" s="1545" t="s">
        <v>995</v>
      </c>
      <c r="P2" s="1545" t="s">
        <v>995</v>
      </c>
      <c r="Q2" s="1545" t="s">
        <v>995</v>
      </c>
      <c r="R2" s="1545" t="s">
        <v>443</v>
      </c>
      <c r="S2" s="1545" t="s">
        <v>995</v>
      </c>
      <c r="T2" s="1545" t="s">
        <v>996</v>
      </c>
      <c r="U2" s="1545" t="s">
        <v>995</v>
      </c>
      <c r="V2" s="1545" t="s">
        <v>997</v>
      </c>
      <c r="W2" s="1545" t="s">
        <v>995</v>
      </c>
    </row>
    <row r="3" spans="1:23">
      <c r="A3" s="1543" t="s">
        <v>998</v>
      </c>
      <c r="B3" s="1546" t="s">
        <v>448</v>
      </c>
      <c r="C3" s="1547" t="s">
        <v>316</v>
      </c>
      <c r="D3" s="1545" t="s">
        <v>999</v>
      </c>
      <c r="E3" s="1545" t="s">
        <v>13</v>
      </c>
      <c r="F3" s="1545" t="s">
        <v>1000</v>
      </c>
      <c r="G3" s="1545">
        <v>40</v>
      </c>
      <c r="H3" s="1545" t="s">
        <v>1000</v>
      </c>
      <c r="I3" s="1545" t="s">
        <v>3340</v>
      </c>
      <c r="J3" s="1545" t="s">
        <v>1001</v>
      </c>
      <c r="K3" s="1545" t="s">
        <v>1002</v>
      </c>
      <c r="L3" s="1545" t="s">
        <v>1002</v>
      </c>
      <c r="M3" s="1545" t="s">
        <v>1002</v>
      </c>
      <c r="N3" s="1545" t="s">
        <v>1002</v>
      </c>
      <c r="O3" s="1545" t="s">
        <v>1002</v>
      </c>
      <c r="P3" s="1545" t="s">
        <v>1002</v>
      </c>
      <c r="Q3" s="1545" t="s">
        <v>1002</v>
      </c>
      <c r="R3" s="1545" t="s">
        <v>442</v>
      </c>
      <c r="S3" s="1545" t="s">
        <v>1002</v>
      </c>
      <c r="T3" s="1545" t="s">
        <v>1003</v>
      </c>
      <c r="U3" s="1545" t="s">
        <v>1002</v>
      </c>
      <c r="V3" s="1545" t="s">
        <v>1004</v>
      </c>
      <c r="W3" s="1545" t="s">
        <v>1002</v>
      </c>
    </row>
    <row r="4" spans="1:23">
      <c r="A4" s="1543" t="s">
        <v>1005</v>
      </c>
      <c r="B4" s="1543" t="s">
        <v>1006</v>
      </c>
      <c r="C4" s="1544" t="s">
        <v>317</v>
      </c>
      <c r="D4" s="1545" t="s">
        <v>389</v>
      </c>
      <c r="E4" s="1545" t="s">
        <v>1007</v>
      </c>
      <c r="F4" s="1545" t="s">
        <v>1008</v>
      </c>
      <c r="G4" s="1545">
        <v>50</v>
      </c>
      <c r="H4" s="1545" t="s">
        <v>1008</v>
      </c>
      <c r="I4" s="1545" t="s">
        <v>3341</v>
      </c>
      <c r="K4" s="1545" t="s">
        <v>1009</v>
      </c>
      <c r="L4" s="1545" t="s">
        <v>1009</v>
      </c>
      <c r="M4" s="1545" t="s">
        <v>1009</v>
      </c>
      <c r="N4" s="1545" t="s">
        <v>1009</v>
      </c>
      <c r="O4" s="1545" t="s">
        <v>1009</v>
      </c>
      <c r="P4" s="1545" t="s">
        <v>1009</v>
      </c>
      <c r="Q4" s="1545" t="s">
        <v>1009</v>
      </c>
      <c r="R4" s="1545" t="s">
        <v>444</v>
      </c>
      <c r="S4" s="1545" t="s">
        <v>1009</v>
      </c>
      <c r="T4" s="1545" t="s">
        <v>1010</v>
      </c>
      <c r="U4" s="1545" t="s">
        <v>1009</v>
      </c>
      <c r="W4" s="1545" t="s">
        <v>1009</v>
      </c>
    </row>
    <row r="5" spans="1:23">
      <c r="A5" s="1543" t="s">
        <v>1011</v>
      </c>
      <c r="B5" s="1543" t="s">
        <v>1012</v>
      </c>
      <c r="C5" s="1544" t="s">
        <v>318</v>
      </c>
      <c r="F5" s="1545" t="s">
        <v>1013</v>
      </c>
      <c r="G5" s="1545">
        <v>70</v>
      </c>
      <c r="H5" s="1545" t="s">
        <v>1014</v>
      </c>
      <c r="I5" s="1545" t="s">
        <v>3342</v>
      </c>
      <c r="K5" s="1545" t="s">
        <v>1015</v>
      </c>
      <c r="L5" s="1545" t="s">
        <v>1015</v>
      </c>
      <c r="M5" s="1545" t="s">
        <v>1015</v>
      </c>
      <c r="N5" s="1545" t="s">
        <v>1015</v>
      </c>
      <c r="O5" s="1545" t="s">
        <v>1015</v>
      </c>
      <c r="P5" s="1545" t="s">
        <v>1015</v>
      </c>
      <c r="Q5" s="1545" t="s">
        <v>1015</v>
      </c>
      <c r="R5" s="1545" t="s">
        <v>445</v>
      </c>
      <c r="S5" s="1545" t="s">
        <v>1015</v>
      </c>
      <c r="T5" s="1545" t="s">
        <v>1016</v>
      </c>
      <c r="U5" s="1545" t="s">
        <v>1015</v>
      </c>
      <c r="W5" s="1545" t="s">
        <v>1015</v>
      </c>
    </row>
    <row r="6" spans="1:23">
      <c r="A6" s="1543" t="s">
        <v>1017</v>
      </c>
      <c r="B6" s="1546" t="s">
        <v>449</v>
      </c>
      <c r="C6" s="1549" t="s">
        <v>24</v>
      </c>
      <c r="F6" s="1545" t="s">
        <v>1014</v>
      </c>
      <c r="H6" s="1545" t="s">
        <v>1018</v>
      </c>
      <c r="I6" s="1545" t="s">
        <v>3343</v>
      </c>
      <c r="K6" s="1545" t="s">
        <v>1019</v>
      </c>
      <c r="L6" s="1545" t="s">
        <v>1019</v>
      </c>
      <c r="M6" s="1545" t="s">
        <v>1019</v>
      </c>
      <c r="N6" s="1545" t="s">
        <v>1019</v>
      </c>
      <c r="O6" s="1545" t="s">
        <v>1019</v>
      </c>
      <c r="P6" s="1545" t="s">
        <v>1019</v>
      </c>
      <c r="Q6" s="1545" t="s">
        <v>1019</v>
      </c>
      <c r="R6" s="1545" t="s">
        <v>446</v>
      </c>
      <c r="S6" s="1545" t="s">
        <v>1019</v>
      </c>
      <c r="T6" s="1545"/>
      <c r="U6" s="1545" t="s">
        <v>1019</v>
      </c>
      <c r="W6" s="1545" t="s">
        <v>1019</v>
      </c>
    </row>
    <row r="7" spans="1:23">
      <c r="A7" s="1543" t="s">
        <v>1020</v>
      </c>
      <c r="B7" s="1546" t="s">
        <v>450</v>
      </c>
      <c r="C7" s="1544" t="s">
        <v>25</v>
      </c>
      <c r="F7" s="1545" t="s">
        <v>1021</v>
      </c>
      <c r="H7" s="1545" t="s">
        <v>1022</v>
      </c>
      <c r="I7" s="1545" t="s">
        <v>3344</v>
      </c>
    </row>
    <row r="8" spans="1:23">
      <c r="A8" s="1543" t="s">
        <v>1023</v>
      </c>
      <c r="B8" s="1543" t="s">
        <v>1024</v>
      </c>
      <c r="C8" s="1544" t="s">
        <v>319</v>
      </c>
      <c r="F8" s="1545" t="s">
        <v>1025</v>
      </c>
      <c r="H8" s="1545" t="s">
        <v>2577</v>
      </c>
      <c r="I8" s="1545" t="s">
        <v>3345</v>
      </c>
    </row>
    <row r="9" spans="1:23">
      <c r="A9" s="1543" t="s">
        <v>1026</v>
      </c>
      <c r="B9" s="1543" t="s">
        <v>1027</v>
      </c>
      <c r="C9" s="1544" t="s">
        <v>320</v>
      </c>
      <c r="F9" s="1545" t="s">
        <v>1028</v>
      </c>
      <c r="H9" s="1545"/>
      <c r="I9" s="1548" t="s">
        <v>3346</v>
      </c>
    </row>
    <row r="10" spans="1:23">
      <c r="A10" s="1543" t="s">
        <v>1029</v>
      </c>
      <c r="B10" s="1543" t="s">
        <v>1030</v>
      </c>
      <c r="C10" s="1544" t="s">
        <v>321</v>
      </c>
      <c r="F10" s="1545" t="s">
        <v>2578</v>
      </c>
      <c r="I10" s="1548" t="s">
        <v>3347</v>
      </c>
    </row>
    <row r="11" spans="1:23">
      <c r="A11" s="1543" t="s">
        <v>1031</v>
      </c>
      <c r="B11" s="1543" t="s">
        <v>1032</v>
      </c>
      <c r="C11" s="1544" t="s">
        <v>322</v>
      </c>
      <c r="F11" s="1545" t="s">
        <v>13</v>
      </c>
      <c r="I11" s="1548" t="s">
        <v>3348</v>
      </c>
    </row>
    <row r="12" spans="1:23">
      <c r="A12" s="1543" t="s">
        <v>1033</v>
      </c>
      <c r="B12" s="1543" t="s">
        <v>1034</v>
      </c>
      <c r="C12" s="1544" t="s">
        <v>323</v>
      </c>
      <c r="I12" s="1548" t="s">
        <v>3349</v>
      </c>
    </row>
    <row r="13" spans="1:23">
      <c r="A13" s="1543" t="s">
        <v>1035</v>
      </c>
      <c r="B13" s="1543" t="s">
        <v>1036</v>
      </c>
      <c r="C13" s="1544" t="s">
        <v>324</v>
      </c>
      <c r="I13" s="1548" t="s">
        <v>3350</v>
      </c>
    </row>
    <row r="14" spans="1:23">
      <c r="A14" s="1543" t="s">
        <v>1037</v>
      </c>
      <c r="B14" s="1543" t="s">
        <v>1038</v>
      </c>
      <c r="C14" s="1545" t="s">
        <v>13</v>
      </c>
      <c r="I14" s="1548" t="s">
        <v>3351</v>
      </c>
    </row>
    <row r="15" spans="1:23">
      <c r="A15" s="1543" t="s">
        <v>1039</v>
      </c>
      <c r="B15" s="1543" t="s">
        <v>1040</v>
      </c>
      <c r="C15" s="1544"/>
      <c r="I15" s="1548" t="s">
        <v>3352</v>
      </c>
    </row>
    <row r="16" spans="1:23">
      <c r="A16" s="1543" t="s">
        <v>1041</v>
      </c>
      <c r="B16" s="1543" t="s">
        <v>312</v>
      </c>
      <c r="C16" s="1544"/>
    </row>
    <row r="17" spans="1:3">
      <c r="A17" s="1543" t="s">
        <v>1042</v>
      </c>
      <c r="B17" s="1543" t="s">
        <v>2289</v>
      </c>
      <c r="C17" s="1544"/>
    </row>
    <row r="18" spans="1:3">
      <c r="A18" s="1543" t="s">
        <v>1043</v>
      </c>
      <c r="B18" s="1543" t="s">
        <v>2433</v>
      </c>
      <c r="C18" s="1544"/>
    </row>
    <row r="19" spans="1:3">
      <c r="A19" s="1543" t="s">
        <v>1044</v>
      </c>
      <c r="B19" s="1543" t="s">
        <v>4070</v>
      </c>
      <c r="C19" s="1544"/>
    </row>
    <row r="20" spans="1:3">
      <c r="A20" s="1543" t="s">
        <v>1045</v>
      </c>
      <c r="B20" s="1543" t="s">
        <v>313</v>
      </c>
      <c r="C20" s="1544"/>
    </row>
    <row r="21" spans="1:3">
      <c r="A21" s="1543" t="s">
        <v>1046</v>
      </c>
      <c r="B21" s="1543" t="s">
        <v>313</v>
      </c>
      <c r="C21" s="1544"/>
    </row>
    <row r="22" spans="1:3">
      <c r="A22" s="1543" t="s">
        <v>1047</v>
      </c>
      <c r="B22" s="1543" t="s">
        <v>313</v>
      </c>
      <c r="C22" s="1544"/>
    </row>
    <row r="23" spans="1:3">
      <c r="A23" s="1543" t="s">
        <v>1048</v>
      </c>
      <c r="B23" s="1543" t="s">
        <v>313</v>
      </c>
      <c r="C23" s="1544"/>
    </row>
    <row r="24" spans="1:3">
      <c r="A24" s="1543" t="s">
        <v>1049</v>
      </c>
      <c r="B24" s="1543" t="s">
        <v>313</v>
      </c>
      <c r="C24" s="1544"/>
    </row>
    <row r="25" spans="1:3">
      <c r="A25" s="1543" t="s">
        <v>1050</v>
      </c>
      <c r="B25" s="1543" t="s">
        <v>313</v>
      </c>
      <c r="C25" s="1544"/>
    </row>
    <row r="26" spans="1:3">
      <c r="A26" s="1543" t="s">
        <v>1051</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6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1551" t="s">
        <v>385</v>
      </c>
      <c r="C54" s="1548" t="s">
        <v>583</v>
      </c>
    </row>
    <row r="55" spans="1:4">
      <c r="A55" s="3569"/>
      <c r="B55" s="1551" t="s">
        <v>386</v>
      </c>
      <c r="C55" s="1548" t="s">
        <v>584</v>
      </c>
    </row>
    <row r="56" spans="1:4">
      <c r="A56" s="3569"/>
      <c r="B56" s="1551" t="s">
        <v>387</v>
      </c>
      <c r="C56" s="1548" t="s">
        <v>588</v>
      </c>
    </row>
    <row r="57" spans="1:4">
      <c r="A57" s="356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4"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570" t="s">
        <v>2580</v>
      </c>
      <c r="J2" s="3570"/>
      <c r="K2" s="3570"/>
      <c r="L2" s="3570"/>
      <c r="M2" s="3570"/>
      <c r="N2" s="3570"/>
      <c r="O2" s="3570"/>
      <c r="P2" s="3570"/>
      <c r="Q2" s="3570"/>
      <c r="R2" s="3570"/>
    </row>
    <row r="3" spans="1:18">
      <c r="A3" s="3015" t="s">
        <v>2501</v>
      </c>
      <c r="B3" s="3016">
        <f>项目基本情况!D3</f>
        <v>45216</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90" zoomScaleNormal="100" zoomScaleSheetLayoutView="90" workbookViewId="0">
      <selection activeCell="E6" sqref="E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2164</v>
      </c>
      <c r="B1" s="3571" t="str">
        <f>IF(B10="北京市","北京市",C10)&amp;F10&amp;IF('结果表-住宅基准'!G1="在建","出让国有建设用地使用权及在建建筑物",IF('结果表-住宅基准'!G1="土地","出让国有建设用地使用权",))&amp;B9&amp;"预评估"</f>
        <v>北京市房地产抵押价值预评估</v>
      </c>
      <c r="C1" s="3572"/>
      <c r="D1" s="3572"/>
      <c r="E1" s="3572"/>
      <c r="F1" s="3572"/>
      <c r="G1" s="3572"/>
      <c r="H1" s="3572"/>
      <c r="I1" s="3573"/>
      <c r="J1" s="2466"/>
      <c r="K1" s="2363"/>
      <c r="L1" s="2364"/>
      <c r="M1" s="2364"/>
      <c r="N1" s="2365"/>
      <c r="O1" s="1573"/>
      <c r="P1" s="2365"/>
      <c r="Q1" s="2365"/>
      <c r="R1" s="2365"/>
      <c r="S1" s="1679" t="str">
        <f>IF(B10="北京市","北京市",C10)&amp;F10&amp;IF('结果表-住宅基准'!G1="在建","出让国有建设用地使用权及在建建筑物房地产抵押价值",IF('结果表-住宅基准'!G1="土地","出让国有建设用地使用权抵押价值",B9))</f>
        <v>北京市房地产抵押价值</v>
      </c>
      <c r="T1" s="1742"/>
      <c r="U1" s="1742"/>
      <c r="V1" s="1742"/>
      <c r="W1" s="1742"/>
      <c r="X1" s="1742"/>
      <c r="Y1" s="1742"/>
      <c r="Z1" s="1742"/>
      <c r="AA1" s="1742"/>
      <c r="AB1" s="1742"/>
    </row>
    <row r="2" spans="1:30">
      <c r="A2" s="2362" t="s">
        <v>2165</v>
      </c>
      <c r="B2" s="2366"/>
      <c r="C2" s="2367"/>
      <c r="D2" s="2665"/>
      <c r="E2" s="2657"/>
      <c r="F2" s="2657"/>
      <c r="G2" s="2658"/>
      <c r="H2" s="2658"/>
      <c r="I2" s="2658"/>
      <c r="J2" s="2466"/>
      <c r="K2" s="2363"/>
      <c r="L2" s="2364"/>
      <c r="M2" s="2364"/>
      <c r="N2" s="2365"/>
      <c r="O2" s="1573"/>
      <c r="P2" s="2365"/>
      <c r="Q2" s="2365"/>
      <c r="R2" s="2365"/>
      <c r="S2" s="1679" t="str">
        <f>IF(B10="北京市","北京市",C10)&amp;F10&amp;IF('结果表-住宅基准'!G1="在建","出让国有建设用地使用权及在建建筑物房地产",IF('结果表-住宅基准'!G1="土地","出让国有建设用地使用权","房地产"))</f>
        <v>北京市房地产</v>
      </c>
      <c r="T2" s="1742"/>
      <c r="U2" s="1742"/>
      <c r="V2" s="1742"/>
      <c r="W2" s="1742"/>
      <c r="X2" s="1742"/>
      <c r="Y2" s="1742"/>
      <c r="Z2" s="1742"/>
      <c r="AA2" s="1742"/>
      <c r="AB2" s="1742"/>
    </row>
    <row r="3" spans="1:30">
      <c r="A3" s="302" t="s">
        <v>2166</v>
      </c>
      <c r="B3" s="2368"/>
      <c r="C3" s="2369" t="s">
        <v>2167</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2168</v>
      </c>
      <c r="B4" s="2370" t="s">
        <v>4091</v>
      </c>
      <c r="C4" s="2371">
        <f ca="1">SUMIF(注册房地产估价师,B4,估价师及机构信息!B3:B24)</f>
        <v>1120070131</v>
      </c>
      <c r="D4" s="2370" t="s">
        <v>4092</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郑燚（注册号：1120070131)、崔锴（注册号：1120100036)</v>
      </c>
      <c r="L4" s="2364"/>
      <c r="M4" s="2364"/>
      <c r="N4" s="2365"/>
      <c r="O4" s="1573"/>
      <c r="P4" s="2365"/>
      <c r="Q4" s="2365"/>
      <c r="R4" s="2365"/>
      <c r="S4" s="1679"/>
      <c r="T4" s="1742"/>
      <c r="U4" s="1742"/>
      <c r="V4" s="1742"/>
      <c r="W4" s="1742"/>
      <c r="X4" s="1742"/>
      <c r="Y4" s="1742"/>
      <c r="Z4" s="1742"/>
      <c r="AA4" s="1742"/>
      <c r="AB4" s="1742"/>
    </row>
    <row r="5" spans="1:30" ht="13.5" thickTop="1">
      <c r="A5" s="2374" t="s">
        <v>2169</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2170</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2171</v>
      </c>
      <c r="B7" s="2382"/>
      <c r="C7" s="2380"/>
      <c r="D7" s="2381"/>
      <c r="E7" s="2657"/>
      <c r="F7" s="2659"/>
      <c r="G7" s="2659"/>
      <c r="H7" s="2659"/>
      <c r="I7" s="2659"/>
      <c r="J7" s="2434"/>
      <c r="K7" s="2611"/>
      <c r="L7" s="2608"/>
      <c r="M7" s="2608"/>
      <c r="N7" s="2434"/>
      <c r="O7" s="2445"/>
      <c r="P7" s="2434"/>
      <c r="Q7" s="2434"/>
      <c r="R7" s="2434"/>
    </row>
    <row r="8" spans="1:30">
      <c r="A8" s="2383" t="s">
        <v>2172</v>
      </c>
      <c r="B8" s="2384" t="s">
        <v>3375</v>
      </c>
      <c r="C8" s="2385"/>
      <c r="D8" s="3574" t="s">
        <v>2173</v>
      </c>
      <c r="E8" s="2386" t="s">
        <v>3376</v>
      </c>
      <c r="F8" s="2387"/>
      <c r="G8" s="2658"/>
      <c r="H8" s="2658"/>
      <c r="I8" s="2658"/>
      <c r="J8" s="2434"/>
      <c r="K8" s="2609"/>
      <c r="L8" s="2608"/>
      <c r="M8" s="2608"/>
      <c r="N8" s="2434"/>
      <c r="O8" s="2445"/>
      <c r="P8" s="2434"/>
      <c r="Q8" s="2434"/>
      <c r="R8" s="2434"/>
    </row>
    <row r="9" spans="1:30" ht="13.5" thickBot="1">
      <c r="A9" s="2388" t="s">
        <v>2174</v>
      </c>
      <c r="B9" s="2389" t="s">
        <v>3376</v>
      </c>
      <c r="C9" s="2390"/>
      <c r="D9" s="3575"/>
      <c r="E9" s="2389" t="s">
        <v>587</v>
      </c>
      <c r="F9" s="2391"/>
      <c r="G9" s="2660"/>
      <c r="H9" s="2660"/>
      <c r="I9" s="2660"/>
      <c r="J9" s="2434"/>
      <c r="K9" s="2611"/>
      <c r="L9" s="2608"/>
      <c r="M9" s="2608"/>
      <c r="N9" s="2434"/>
      <c r="O9" s="2445"/>
      <c r="P9" s="2434"/>
      <c r="Q9" s="2434"/>
      <c r="R9" s="2434"/>
    </row>
    <row r="10" spans="1:30" ht="13.5" thickTop="1">
      <c r="A10" s="2392" t="s">
        <v>2175</v>
      </c>
      <c r="B10" s="2393" t="s">
        <v>3377</v>
      </c>
      <c r="C10" s="2394"/>
      <c r="D10" s="2377"/>
      <c r="E10" s="2395" t="s">
        <v>2176</v>
      </c>
      <c r="F10" s="2661"/>
      <c r="G10" s="2662"/>
      <c r="H10" s="2663"/>
      <c r="I10" s="2664"/>
      <c r="J10" s="2434"/>
      <c r="K10" s="2611"/>
      <c r="L10" s="2608"/>
      <c r="M10" s="2608"/>
      <c r="N10" s="2434"/>
      <c r="O10" s="2445"/>
      <c r="P10" s="2434"/>
      <c r="Q10" s="2434"/>
      <c r="R10" s="2434"/>
    </row>
    <row r="11" spans="1:30">
      <c r="A11" s="2396" t="s">
        <v>2177</v>
      </c>
      <c r="B11" s="2397" t="s">
        <v>3378</v>
      </c>
      <c r="C11" s="2398"/>
      <c r="D11" s="2399"/>
      <c r="E11" s="2365"/>
      <c r="F11" s="2365"/>
      <c r="G11" s="2365"/>
      <c r="H11" s="2365"/>
      <c r="I11" s="2365"/>
      <c r="J11" s="3056"/>
      <c r="K11" s="3055"/>
      <c r="L11" s="2608"/>
      <c r="M11" s="2608"/>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4" t="s">
        <v>2576</v>
      </c>
      <c r="J12" s="3057"/>
      <c r="K12" s="2608"/>
      <c r="L12" s="2608"/>
      <c r="M12" s="2434"/>
      <c r="N12" s="2445"/>
      <c r="O12" s="2434"/>
      <c r="P12" s="2434"/>
      <c r="Q12" s="2434"/>
      <c r="AD12" s="1742"/>
    </row>
    <row r="13" spans="1:30">
      <c r="A13" s="3418" t="s">
        <v>3334</v>
      </c>
      <c r="B13" s="2402" t="s">
        <v>2186</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2187</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2188</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2189</v>
      </c>
      <c r="B16" s="3581"/>
      <c r="C16" s="3582"/>
      <c r="D16" s="3583"/>
      <c r="E16" s="2408" t="s">
        <v>2190</v>
      </c>
      <c r="F16" s="3584"/>
      <c r="G16" s="3585"/>
      <c r="H16" s="3585"/>
      <c r="I16" s="3586"/>
      <c r="J16" s="2434"/>
      <c r="K16" s="2612"/>
      <c r="L16" s="2446"/>
      <c r="M16" s="2446"/>
      <c r="N16" s="2504"/>
      <c r="O16" s="2446"/>
      <c r="P16" s="2504"/>
      <c r="Q16" s="2434"/>
      <c r="R16" s="2434"/>
    </row>
    <row r="17" spans="1:28">
      <c r="A17" s="313" t="s">
        <v>2191</v>
      </c>
      <c r="B17" s="302" t="s">
        <v>2192</v>
      </c>
      <c r="C17" s="8">
        <f>'数据-汇总表'!E3</f>
        <v>116.03999999999999</v>
      </c>
      <c r="D17" s="2317" t="s">
        <v>2193</v>
      </c>
      <c r="E17" s="3587" t="s">
        <v>2194</v>
      </c>
      <c r="F17" s="3588"/>
      <c r="G17" s="3588"/>
      <c r="H17" s="3588"/>
      <c r="I17" s="3589"/>
      <c r="J17" s="2434"/>
      <c r="K17" s="2613"/>
      <c r="L17" s="2446"/>
      <c r="M17" s="2446"/>
      <c r="N17" s="2504"/>
      <c r="O17" s="2446"/>
      <c r="P17" s="2504"/>
      <c r="Q17" s="2434"/>
      <c r="R17" s="2434"/>
      <c r="S17" s="2434"/>
      <c r="T17" s="2434"/>
      <c r="U17" s="2434"/>
      <c r="V17" s="2434"/>
    </row>
    <row r="18" spans="1:28" ht="24.75" thickBot="1">
      <c r="A18" s="2409" t="s">
        <v>2195</v>
      </c>
      <c r="B18" s="1088" t="s">
        <v>2196</v>
      </c>
      <c r="C18" s="2410">
        <f>'数据-汇总表'!D3</f>
        <v>0</v>
      </c>
      <c r="D18" s="1090" t="s">
        <v>2197</v>
      </c>
      <c r="E18" s="3590" t="s">
        <v>2198</v>
      </c>
      <c r="F18" s="3591"/>
      <c r="G18" s="3591"/>
      <c r="H18" s="3591"/>
      <c r="I18" s="3592"/>
      <c r="J18" s="2434"/>
      <c r="K18" s="2613"/>
      <c r="L18" s="2446"/>
      <c r="M18" s="2446"/>
      <c r="N18" s="2504"/>
      <c r="O18" s="2446"/>
      <c r="P18" s="2504"/>
      <c r="Q18" s="2434"/>
      <c r="R18" s="2434"/>
      <c r="S18" s="2434"/>
      <c r="T18" s="2434"/>
      <c r="U18" s="2434"/>
      <c r="V18" s="2434"/>
    </row>
    <row r="19" spans="1:28" ht="37.5" thickTop="1" thickBot="1">
      <c r="A19" s="327" t="s">
        <v>1052</v>
      </c>
      <c r="B19" s="307" t="s">
        <v>2199</v>
      </c>
      <c r="C19" s="1560"/>
      <c r="D19" s="1561" t="s">
        <v>2200</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2201</v>
      </c>
      <c r="B20" s="3577" t="s">
        <v>2202</v>
      </c>
      <c r="C20" s="3578"/>
      <c r="D20" s="3579" t="s">
        <v>2203</v>
      </c>
      <c r="E20" s="3580"/>
      <c r="F20" s="2642" t="s">
        <v>1053</v>
      </c>
      <c r="G20" s="2659"/>
      <c r="H20" s="2659"/>
      <c r="I20" s="2659"/>
      <c r="J20" s="2434"/>
      <c r="K20" s="3576" t="s">
        <v>2204</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2205</v>
      </c>
      <c r="C21" s="2629" t="s">
        <v>1054</v>
      </c>
      <c r="D21" s="1565" t="s">
        <v>2206</v>
      </c>
      <c r="E21" s="2630" t="s">
        <v>1054</v>
      </c>
      <c r="F21" s="2643"/>
      <c r="G21" s="2659"/>
      <c r="H21" s="2659"/>
      <c r="I21" s="2659"/>
      <c r="J21" s="2434"/>
      <c r="K21" s="357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2207</v>
      </c>
      <c r="C22" s="2629" t="s">
        <v>1055</v>
      </c>
      <c r="D22" s="2658"/>
      <c r="E22" s="2658"/>
      <c r="F22" s="2658"/>
      <c r="G22" s="2659"/>
      <c r="H22" s="2659"/>
      <c r="I22" s="2659"/>
      <c r="J22" s="2434"/>
      <c r="K22" s="3576"/>
      <c r="L22" s="683" t="str">
        <f>IF(E19="否","",IF('结果表-住宅基准'!D36="同一抵押权人同一抵押物续贷","由于本次评估为同一抵押权人的续贷房地产抵押估价，故未将已抵押担保的债权数额（"&amp;C26&amp;"）作为法定优先受偿款予以扣减。",IF('结果表-住宅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2208</v>
      </c>
      <c r="B23" s="2497" t="s">
        <v>2209</v>
      </c>
      <c r="C23" s="2633"/>
      <c r="D23" s="2634" t="s">
        <v>2209</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1056</v>
      </c>
      <c r="C24" s="2636"/>
      <c r="D24" s="2632" t="s">
        <v>1056</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1057</v>
      </c>
      <c r="C25" s="2636"/>
      <c r="D25" s="2632" t="s">
        <v>1057</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1058</v>
      </c>
      <c r="C26" s="2640"/>
      <c r="D26" s="2638" t="s">
        <v>1058</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94" t="s">
        <v>2210</v>
      </c>
      <c r="B27" s="320" t="s">
        <v>2211</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94"/>
      <c r="B28" s="302" t="s">
        <v>2212</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94"/>
      <c r="B29" s="302" t="s">
        <v>2213</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95"/>
      <c r="B30" s="302" t="s">
        <v>2214</v>
      </c>
      <c r="C30" s="3596"/>
      <c r="D30" s="3597"/>
      <c r="E30" s="2659"/>
      <c r="F30" s="2659"/>
      <c r="G30" s="2659"/>
      <c r="H30" s="2659"/>
      <c r="I30" s="2659"/>
      <c r="J30" s="2434"/>
      <c r="K30" s="2611"/>
      <c r="L30" s="2608"/>
      <c r="M30" s="2608"/>
      <c r="N30" s="2434"/>
      <c r="O30" s="2445"/>
      <c r="P30" s="2434"/>
      <c r="Q30" s="2434"/>
      <c r="R30" s="2434"/>
      <c r="S30" s="2434"/>
      <c r="T30" s="2434"/>
      <c r="U30" s="2434"/>
      <c r="V30" s="2434"/>
    </row>
    <row r="31" spans="1:28">
      <c r="A31" s="3598" t="s">
        <v>2215</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99"/>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99"/>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2216</v>
      </c>
      <c r="B34" s="2021"/>
      <c r="C34" s="2021"/>
      <c r="D34" s="2021"/>
      <c r="E34" s="2021"/>
      <c r="F34" s="2021"/>
      <c r="G34" s="2021"/>
      <c r="H34" s="2021"/>
      <c r="I34" s="2659"/>
      <c r="J34" s="2434"/>
      <c r="K34" s="2422">
        <f>COUNTIF(B34:H34,"——")</f>
        <v>0</v>
      </c>
      <c r="L34" s="323" t="s">
        <v>2217</v>
      </c>
      <c r="M34" s="323" t="s">
        <v>2218</v>
      </c>
      <c r="N34" s="323" t="s">
        <v>2219</v>
      </c>
      <c r="O34" s="323" t="s">
        <v>2220</v>
      </c>
      <c r="P34" s="323" t="s">
        <v>2221</v>
      </c>
      <c r="Q34" s="323" t="s">
        <v>2222</v>
      </c>
      <c r="R34" s="323" t="s">
        <v>2223</v>
      </c>
      <c r="S34" s="3593" t="s">
        <v>2224</v>
      </c>
      <c r="T34" s="2423" t="str">
        <f>NUMBERSTRING(7-K34,1)&amp;"通"</f>
        <v>七通</v>
      </c>
      <c r="U34" s="2434"/>
      <c r="V34" s="2434"/>
    </row>
    <row r="35" spans="1:30">
      <c r="A35" s="2424"/>
      <c r="B35" s="3600" t="s">
        <v>2225</v>
      </c>
      <c r="C35" s="3600"/>
      <c r="D35" s="3600"/>
      <c r="E35" s="3600"/>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3"/>
      <c r="T35" s="329" t="str">
        <f>IF(T34="一通",L35,IF(T34="二通",M35,IF(T34="三通",N35,IF(T34="四通",O35,IF(T34="五通",P35,IF(T34="六通",Q35,R35))))))</f>
        <v>、、、、、、</v>
      </c>
      <c r="U35" s="2434"/>
      <c r="V35" s="2434"/>
    </row>
    <row r="36" spans="1:30">
      <c r="A36" s="2425"/>
      <c r="B36" s="663" t="s">
        <v>2181</v>
      </c>
      <c r="C36" s="663" t="s">
        <v>2182</v>
      </c>
      <c r="D36" s="663" t="s">
        <v>2180</v>
      </c>
      <c r="E36" s="663" t="s">
        <v>2185</v>
      </c>
      <c r="F36" s="3060" t="s">
        <v>2579</v>
      </c>
      <c r="G36" s="2659"/>
      <c r="H36" s="2659"/>
      <c r="I36" s="2659"/>
      <c r="J36" s="2434"/>
      <c r="K36" s="2611"/>
      <c r="L36" s="2608"/>
      <c r="M36" s="2608"/>
      <c r="N36" s="2434"/>
      <c r="O36" s="2445"/>
      <c r="P36" s="2434"/>
      <c r="Q36" s="2434"/>
      <c r="R36" s="2434"/>
      <c r="S36" s="2434"/>
      <c r="T36" s="2434"/>
      <c r="U36" s="2434"/>
      <c r="V36" s="2434"/>
    </row>
    <row r="37" spans="1:30">
      <c r="A37" s="2625" t="s">
        <v>2226</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2227</v>
      </c>
      <c r="B38" s="2427"/>
      <c r="C38" s="2427"/>
      <c r="D38" s="2427" t="s">
        <v>2937</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2229</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1059</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1060</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1061</v>
      </c>
      <c r="B2" s="8" t="s">
        <v>1062</v>
      </c>
      <c r="C2" s="8" t="s">
        <v>1063</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1064</v>
      </c>
      <c r="AZ2" s="1047" t="s">
        <v>1065</v>
      </c>
      <c r="BA2" s="8" t="s">
        <v>1066</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116.03999999999999</v>
      </c>
      <c r="C3" s="1577" t="s">
        <v>1067</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1068</v>
      </c>
      <c r="B5" s="1344"/>
      <c r="C5" s="1344"/>
      <c r="D5" s="1346"/>
      <c r="E5" s="13" t="s">
        <v>0</v>
      </c>
      <c r="F5" s="13">
        <f>SUM(F13:F587)</f>
        <v>0</v>
      </c>
      <c r="G5" s="13">
        <f>SUM(G13:G587)</f>
        <v>116.03999999999999</v>
      </c>
      <c r="H5" s="13">
        <f t="shared" ref="H5:AT5" si="0">SUM(H13:H656)</f>
        <v>116.03999999999999</v>
      </c>
      <c r="I5" s="13">
        <f t="shared" si="0"/>
        <v>86.99</v>
      </c>
      <c r="J5" s="13">
        <f t="shared" si="0"/>
        <v>0</v>
      </c>
      <c r="K5" s="13">
        <f t="shared" si="0"/>
        <v>29.05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1068</v>
      </c>
      <c r="AW5" s="1344"/>
      <c r="AX5" s="1344"/>
      <c r="AY5" s="14" t="s">
        <v>2</v>
      </c>
      <c r="AZ5" s="15">
        <f t="shared" ref="AZ5:BT5" si="1">SUM(AZ13:AZ656)</f>
        <v>116.03999999999999</v>
      </c>
      <c r="BA5" s="15">
        <f t="shared" si="1"/>
        <v>116.03999999999999</v>
      </c>
      <c r="BB5" s="15">
        <f t="shared" si="1"/>
        <v>86.99</v>
      </c>
      <c r="BC5" s="15">
        <f t="shared" si="1"/>
        <v>29.05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1069</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1069</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1070</v>
      </c>
      <c r="B7" s="1566" t="s">
        <v>1071</v>
      </c>
      <c r="C7" s="1566" t="s">
        <v>1072</v>
      </c>
      <c r="D7" s="1566" t="s">
        <v>1073</v>
      </c>
      <c r="E7" s="1566" t="s">
        <v>1074</v>
      </c>
      <c r="F7" s="1566" t="s">
        <v>1075</v>
      </c>
      <c r="G7" s="1587" t="s">
        <v>1076</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1077</v>
      </c>
      <c r="AV7" s="20" t="s">
        <v>1078</v>
      </c>
      <c r="AW7" s="1575" t="s">
        <v>1079</v>
      </c>
      <c r="AX7" s="20" t="s">
        <v>1072</v>
      </c>
      <c r="AY7" s="1344" t="s">
        <v>1080</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1081</v>
      </c>
      <c r="H8" s="1593" t="s">
        <v>1082</v>
      </c>
      <c r="I8" s="1594"/>
      <c r="J8" s="1357"/>
      <c r="K8" s="1357"/>
      <c r="L8" s="1357"/>
      <c r="M8" s="1357"/>
      <c r="N8" s="1357"/>
      <c r="O8" s="1357"/>
      <c r="P8" s="1357"/>
      <c r="Q8" s="1357"/>
      <c r="R8" s="1357"/>
      <c r="S8" s="1357"/>
      <c r="T8" s="1357"/>
      <c r="U8" s="1357"/>
      <c r="V8" s="1595"/>
      <c r="W8" s="1357"/>
      <c r="X8" s="1357"/>
      <c r="Y8" s="1357"/>
      <c r="Z8" s="1357"/>
      <c r="AA8" s="1595"/>
      <c r="AB8" s="1596"/>
      <c r="AC8" s="808" t="s">
        <v>1083</v>
      </c>
      <c r="AD8" s="1597"/>
      <c r="AE8" s="1589"/>
      <c r="AF8" s="1357"/>
      <c r="AG8" s="1357"/>
      <c r="AH8" s="1357"/>
      <c r="AI8" s="1357"/>
      <c r="AJ8" s="1357"/>
      <c r="AK8" s="1357"/>
      <c r="AL8" s="1357"/>
      <c r="AM8" s="1357"/>
      <c r="AN8" s="1357"/>
      <c r="AO8" s="1357"/>
      <c r="AP8" s="1357"/>
      <c r="AQ8" s="1357"/>
      <c r="AR8" s="1357"/>
      <c r="AS8" s="1357"/>
      <c r="AT8" s="1068" t="s">
        <v>1084</v>
      </c>
      <c r="AU8" s="1591" t="s">
        <v>1085</v>
      </c>
      <c r="AV8" s="1068"/>
      <c r="AW8" s="1574"/>
      <c r="AX8" s="1068"/>
      <c r="AY8" s="1575" t="s">
        <v>1086</v>
      </c>
      <c r="AZ8" s="1356" t="s">
        <v>1087</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1088</v>
      </c>
      <c r="I9" s="1600" t="s">
        <v>3755</v>
      </c>
      <c r="J9" s="808"/>
      <c r="K9" s="1600" t="s">
        <v>3757</v>
      </c>
      <c r="L9" s="808"/>
      <c r="M9" s="1600"/>
      <c r="N9" s="808"/>
      <c r="O9" s="1600"/>
      <c r="P9" s="808"/>
      <c r="Q9" s="1600"/>
      <c r="R9" s="808"/>
      <c r="S9" s="1600"/>
      <c r="T9" s="808"/>
      <c r="U9" s="1600"/>
      <c r="V9" s="808"/>
      <c r="W9" s="1600"/>
      <c r="X9" s="1601"/>
      <c r="Y9" s="1600"/>
      <c r="Z9" s="808"/>
      <c r="AA9" s="1600"/>
      <c r="AB9" s="808"/>
      <c r="AC9" s="1592"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2"/>
      <c r="AT9" s="1591"/>
      <c r="AU9" s="1591" t="s">
        <v>1091</v>
      </c>
      <c r="AV9" s="1068"/>
      <c r="AW9" s="1574"/>
      <c r="AX9" s="1068"/>
      <c r="AY9" s="25"/>
      <c r="AZ9" s="25" t="s">
        <v>1081</v>
      </c>
      <c r="BA9" s="1603" t="s">
        <v>1092</v>
      </c>
      <c r="BB9" s="1604"/>
      <c r="BC9" s="1086"/>
      <c r="BD9" s="1086"/>
      <c r="BE9" s="1086"/>
      <c r="BF9" s="1086"/>
      <c r="BG9" s="1086"/>
      <c r="BH9" s="1086"/>
      <c r="BI9" s="1086"/>
      <c r="BJ9" s="1086"/>
      <c r="BK9" s="1605"/>
      <c r="BL9" s="12" t="s">
        <v>1093</v>
      </c>
      <c r="BM9" s="1357"/>
      <c r="BN9" s="1594"/>
      <c r="BO9" s="1357"/>
      <c r="BP9" s="1357"/>
      <c r="BQ9" s="1357"/>
      <c r="BR9" s="1357"/>
      <c r="BS9" s="1357"/>
      <c r="BT9" s="23"/>
    </row>
    <row r="10" spans="1:72" s="1598" customFormat="1" ht="12.75">
      <c r="A10" s="1591"/>
      <c r="B10" s="1591"/>
      <c r="C10" s="1591"/>
      <c r="D10" s="1591"/>
      <c r="E10" s="1591"/>
      <c r="F10" s="1591"/>
      <c r="G10" s="1068"/>
      <c r="H10" s="25"/>
      <c r="I10" s="1600" t="s">
        <v>3756</v>
      </c>
      <c r="J10" s="808"/>
      <c r="K10" s="1606" t="s">
        <v>3335</v>
      </c>
      <c r="L10" s="808"/>
      <c r="M10" s="1606"/>
      <c r="N10" s="808"/>
      <c r="O10" s="1606"/>
      <c r="P10" s="808"/>
      <c r="Q10" s="1606"/>
      <c r="R10" s="808"/>
      <c r="S10" s="1606"/>
      <c r="T10" s="808"/>
      <c r="U10" s="1606"/>
      <c r="V10" s="808"/>
      <c r="W10" s="1606"/>
      <c r="X10" s="808"/>
      <c r="Y10" s="1606"/>
      <c r="Z10" s="808"/>
      <c r="AA10" s="1606"/>
      <c r="AB10" s="808"/>
      <c r="AC10" s="1068"/>
      <c r="AD10" s="12" t="s">
        <v>1094</v>
      </c>
      <c r="AE10" s="1607"/>
      <c r="AF10" s="12" t="s">
        <v>1094</v>
      </c>
      <c r="AG10" s="1607"/>
      <c r="AH10" s="12" t="s">
        <v>1095</v>
      </c>
      <c r="AI10" s="1607"/>
      <c r="AJ10" s="12" t="s">
        <v>1095</v>
      </c>
      <c r="AK10" s="1607"/>
      <c r="AL10" s="12" t="s">
        <v>1096</v>
      </c>
      <c r="AM10" s="1074"/>
      <c r="AN10" s="12" t="s">
        <v>1096</v>
      </c>
      <c r="AO10" s="1074"/>
      <c r="AP10" s="12" t="s">
        <v>1097</v>
      </c>
      <c r="AQ10" s="1074"/>
      <c r="AR10" s="12" t="s">
        <v>1097</v>
      </c>
      <c r="AS10" s="1074"/>
      <c r="AT10" s="1591"/>
      <c r="AU10" s="1591"/>
      <c r="AV10" s="1068"/>
      <c r="AW10" s="1574"/>
      <c r="AX10" s="1068"/>
      <c r="AY10" s="25"/>
      <c r="AZ10" s="25"/>
      <c r="BA10" s="1608" t="s">
        <v>1088</v>
      </c>
      <c r="BB10" s="1609" t="str">
        <f>I9</f>
        <v>地上</v>
      </c>
      <c r="BC10" s="26" t="str">
        <f>K9</f>
        <v>地下</v>
      </c>
      <c r="BD10" s="26">
        <f>M9</f>
        <v>0</v>
      </c>
      <c r="BE10" s="26">
        <f>O9</f>
        <v>0</v>
      </c>
      <c r="BF10" s="26">
        <f>Q9</f>
        <v>0</v>
      </c>
      <c r="BG10" s="26">
        <f>S9</f>
        <v>0</v>
      </c>
      <c r="BH10" s="26">
        <f>U9</f>
        <v>0</v>
      </c>
      <c r="BI10" s="26">
        <f>W9</f>
        <v>0</v>
      </c>
      <c r="BJ10" s="26">
        <f>Y9</f>
        <v>0</v>
      </c>
      <c r="BK10" s="26">
        <f>AA9</f>
        <v>0</v>
      </c>
      <c r="BL10" s="22" t="s">
        <v>1088</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1098</v>
      </c>
      <c r="AE11" s="1358"/>
      <c r="AF11" s="1613" t="s">
        <v>1098</v>
      </c>
      <c r="AG11" s="1358"/>
      <c r="AH11" s="1613" t="s">
        <v>1099</v>
      </c>
      <c r="AI11" s="1614"/>
      <c r="AJ11" s="1613" t="s">
        <v>1099</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3" t="s">
        <v>1101</v>
      </c>
      <c r="W12" s="8" t="s">
        <v>1100</v>
      </c>
      <c r="X12" s="8" t="s">
        <v>1101</v>
      </c>
      <c r="Y12" s="8" t="s">
        <v>1100</v>
      </c>
      <c r="Z12" s="8" t="s">
        <v>1101</v>
      </c>
      <c r="AA12" s="8" t="s">
        <v>1100</v>
      </c>
      <c r="AB12" s="8" t="s">
        <v>1101</v>
      </c>
      <c r="AC12" s="1618"/>
      <c r="AD12" s="134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6" t="s">
        <v>1101</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3754</v>
      </c>
      <c r="E13" s="13">
        <f>IF($C$3="是",ROUND($A$3*G13/$B$3,2),ROUND($A$3*(G13-AT13)/$B$3,2))</f>
        <v>0</v>
      </c>
      <c r="F13" s="29"/>
      <c r="G13" s="30">
        <f>H13+AC13+AT13</f>
        <v>116.03999999999999</v>
      </c>
      <c r="H13" s="17">
        <f>SUMIF(I$12:AB$12,"总值",I13:AB13)</f>
        <v>116.03999999999999</v>
      </c>
      <c r="I13" s="1623">
        <f>二期房号清单!D5</f>
        <v>86.99</v>
      </c>
      <c r="J13" s="1623"/>
      <c r="K13" s="1623">
        <f>二期车位清单!E2</f>
        <v>29.05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116.03999999999999</v>
      </c>
      <c r="BA13" s="13">
        <f>SUM(BB13:BK13)</f>
        <v>116.03999999999999</v>
      </c>
      <c r="BB13" s="13">
        <f>IF($D13="是",I13-J13,0)</f>
        <v>86.99</v>
      </c>
      <c r="BC13" s="13">
        <f>IF($D13="是",K13-L13,0)</f>
        <v>29.05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7" sqref="H4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1127</v>
      </c>
      <c r="B1" s="1137"/>
      <c r="C1" s="1137"/>
      <c r="D1" s="1137"/>
      <c r="E1" s="1137"/>
      <c r="F1" s="1137"/>
      <c r="G1" s="1137"/>
      <c r="H1" s="1137"/>
      <c r="I1" s="1137"/>
      <c r="J1" s="1137"/>
      <c r="K1" s="1137"/>
      <c r="L1" s="1137"/>
      <c r="M1" s="1137"/>
      <c r="N1" s="1137"/>
      <c r="O1" s="1137"/>
      <c r="P1" s="1137"/>
    </row>
    <row r="2" spans="1:16" ht="15">
      <c r="A2" s="3610" t="s">
        <v>1128</v>
      </c>
      <c r="B2" s="3610"/>
      <c r="C2" s="3610"/>
      <c r="D2" s="795" t="s">
        <v>1104</v>
      </c>
      <c r="E2" s="1636" t="s">
        <v>1105</v>
      </c>
      <c r="F2" s="2654"/>
      <c r="G2" s="2645"/>
      <c r="H2" s="2646"/>
      <c r="I2" s="2320" t="s">
        <v>1129</v>
      </c>
      <c r="J2" s="2654"/>
      <c r="K2" s="2654"/>
      <c r="L2" s="2654"/>
      <c r="M2" s="2654"/>
      <c r="N2" s="2656"/>
      <c r="O2" s="2654"/>
      <c r="P2" s="2654"/>
    </row>
    <row r="3" spans="1:16" ht="15.75" thickBot="1">
      <c r="A3" s="3611" t="s">
        <v>1102</v>
      </c>
      <c r="B3" s="3611"/>
      <c r="C3" s="3611"/>
      <c r="D3" s="43">
        <f>'数据-基础表'!AY6</f>
        <v>0</v>
      </c>
      <c r="E3" s="43">
        <f>'数据-基础表'!AZ5</f>
        <v>116.03999999999999</v>
      </c>
      <c r="F3" s="2654"/>
      <c r="G3" s="1143"/>
      <c r="H3" s="1024" t="s">
        <v>1103</v>
      </c>
      <c r="I3" s="854" t="e">
        <f>ROUND('数据-基础表'!B3/'数据-基础表'!A3,2)</f>
        <v>#DIV/0!</v>
      </c>
      <c r="J3" s="2654"/>
      <c r="K3" s="2654"/>
      <c r="L3" s="2654"/>
      <c r="M3" s="2654"/>
      <c r="N3" s="2656"/>
      <c r="O3" s="2654"/>
      <c r="P3" s="2654"/>
    </row>
    <row r="4" spans="1:16" ht="15">
      <c r="A4" s="3612"/>
      <c r="B4" s="3613"/>
      <c r="C4" s="3614"/>
      <c r="D4" s="1638" t="s">
        <v>1104</v>
      </c>
      <c r="E4" s="1639" t="s">
        <v>1105</v>
      </c>
      <c r="F4" s="2654"/>
      <c r="G4" s="2647" t="s">
        <v>1130</v>
      </c>
      <c r="H4" s="1024" t="s">
        <v>1110</v>
      </c>
      <c r="I4" s="854" t="e">
        <f>ROUND(SUMIF('数据-基础表'!I9:AS9,"地上",'数据-基础表'!I5:AS5)/'数据-基础表'!A3,2)</f>
        <v>#DIV/0!</v>
      </c>
      <c r="J4" s="2654"/>
      <c r="K4" s="2654"/>
      <c r="L4" s="2654"/>
      <c r="M4" s="2654"/>
      <c r="N4" s="2656"/>
      <c r="O4" s="2654"/>
      <c r="P4" s="2654"/>
    </row>
    <row r="5" spans="1:16">
      <c r="A5" s="44" t="s">
        <v>1106</v>
      </c>
      <c r="B5" s="3615" t="s">
        <v>1107</v>
      </c>
      <c r="C5" s="3615"/>
      <c r="D5" s="45">
        <f>ROUND($D$3*E5/$E$3,2)</f>
        <v>0</v>
      </c>
      <c r="E5" s="46">
        <f>SUMIF('数据-基础表'!$11:$11,"住宅",'数据-基础表'!$5:$5)</f>
        <v>86.99</v>
      </c>
      <c r="F5" s="2654"/>
      <c r="G5" s="1143"/>
      <c r="H5" s="1024" t="s">
        <v>1103</v>
      </c>
      <c r="I5" s="854" t="e">
        <f>ROUND(E31/D31,2)</f>
        <v>#DIV/0!</v>
      </c>
      <c r="J5" s="2654"/>
      <c r="K5" s="2654"/>
      <c r="L5" s="2654"/>
      <c r="M5" s="2654"/>
      <c r="N5" s="2654"/>
      <c r="O5" s="2654"/>
      <c r="P5" s="2654"/>
    </row>
    <row r="6" spans="1:16" ht="15" thickBot="1">
      <c r="A6" s="1641"/>
      <c r="B6" s="3615" t="s">
        <v>1108</v>
      </c>
      <c r="C6" s="3615"/>
      <c r="D6" s="45">
        <f>ROUND($D$3*E6/$E$3,2)</f>
        <v>0</v>
      </c>
      <c r="E6" s="46">
        <f>E3-E5</f>
        <v>29.049999999999997</v>
      </c>
      <c r="F6" s="2654"/>
      <c r="G6" s="2648" t="s">
        <v>1109</v>
      </c>
      <c r="H6" s="1144" t="s">
        <v>1110</v>
      </c>
      <c r="I6" s="2649" t="e">
        <f>ROUND(F31/D31,2)</f>
        <v>#DIV/0!</v>
      </c>
      <c r="J6" s="2654"/>
      <c r="K6" s="2654"/>
      <c r="L6" s="2654"/>
      <c r="M6" s="2654"/>
      <c r="N6" s="2654"/>
      <c r="O6" s="2654"/>
      <c r="P6" s="2654"/>
    </row>
    <row r="7" spans="1:16" ht="15.75" thickBot="1">
      <c r="A7" s="3607"/>
      <c r="B7" s="3608"/>
      <c r="C7" s="3609"/>
      <c r="D7" s="1638" t="s">
        <v>1104</v>
      </c>
      <c r="E7" s="1642" t="s">
        <v>1111</v>
      </c>
      <c r="F7" s="2654"/>
      <c r="G7" s="2650" t="s">
        <v>1112</v>
      </c>
      <c r="H7" s="2651"/>
      <c r="I7" s="2652"/>
      <c r="J7" s="2654"/>
      <c r="K7" s="2654"/>
      <c r="L7" s="2654"/>
      <c r="M7" s="2654"/>
      <c r="N7" s="2654"/>
      <c r="O7" s="2654"/>
      <c r="P7" s="2654"/>
    </row>
    <row r="8" spans="1:16">
      <c r="A8" s="44" t="s">
        <v>1113</v>
      </c>
      <c r="B8" s="47" t="s">
        <v>1114</v>
      </c>
      <c r="C8" s="45" t="s">
        <v>1115</v>
      </c>
      <c r="D8" s="45">
        <f t="shared" ref="D8:D15" si="0">ROUND($D$3*E8/$E$3,2)</f>
        <v>0</v>
      </c>
      <c r="E8" s="48">
        <f>SUMIF('数据-基础表'!BB10:BK10,"地上",'数据-基础表'!BB5:BK5)</f>
        <v>86.99</v>
      </c>
      <c r="F8" s="2654"/>
      <c r="G8" s="2655"/>
      <c r="H8" s="2655"/>
      <c r="I8" s="2654"/>
      <c r="J8" s="2654"/>
      <c r="K8" s="2654"/>
      <c r="L8" s="2654"/>
      <c r="M8" s="2654"/>
      <c r="N8" s="2654"/>
      <c r="O8" s="2654"/>
      <c r="P8" s="2654"/>
    </row>
    <row r="9" spans="1:16">
      <c r="A9" s="1643"/>
      <c r="B9" s="1644"/>
      <c r="C9" s="45" t="s">
        <v>1116</v>
      </c>
      <c r="D9" s="45">
        <f t="shared" si="0"/>
        <v>0</v>
      </c>
      <c r="E9" s="49">
        <v>0</v>
      </c>
      <c r="F9" s="2654"/>
      <c r="G9" s="2655"/>
      <c r="H9" s="2655"/>
      <c r="I9" s="2654"/>
      <c r="J9" s="2654"/>
      <c r="K9" s="2654"/>
      <c r="L9" s="2654"/>
      <c r="M9" s="2654"/>
      <c r="N9" s="2654"/>
      <c r="O9" s="2654"/>
      <c r="P9" s="2654"/>
    </row>
    <row r="10" spans="1:16">
      <c r="A10" s="1643"/>
      <c r="B10" s="1644"/>
      <c r="C10" s="45" t="s">
        <v>1125</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1117</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1118</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1119</v>
      </c>
      <c r="D13" s="45">
        <f t="shared" si="0"/>
        <v>0</v>
      </c>
      <c r="E13" s="48">
        <f>SUMPRODUCT(('数据-基础表'!BB10:BK10="地下")*('数据-基础表'!BB11:BK11="车库")*('数据-基础表'!BB5:BK5))</f>
        <v>29.05</v>
      </c>
      <c r="F13" s="2654"/>
      <c r="G13" s="2655"/>
      <c r="H13" s="2655"/>
      <c r="I13" s="2654"/>
      <c r="J13" s="2654"/>
      <c r="K13" s="2654"/>
      <c r="L13" s="2654"/>
      <c r="M13" s="2654"/>
      <c r="N13" s="2654"/>
      <c r="O13" s="2654"/>
      <c r="P13" s="2654"/>
    </row>
    <row r="14" spans="1:16">
      <c r="A14" s="1643"/>
      <c r="B14" s="1644"/>
      <c r="C14" s="45" t="s">
        <v>1131</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1126</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1120</v>
      </c>
      <c r="D16" s="47">
        <f>SUM(D8:D15)</f>
        <v>0</v>
      </c>
      <c r="E16" s="50">
        <f>SUM(E8:E15)</f>
        <v>116.03999999999999</v>
      </c>
      <c r="F16" s="2654"/>
      <c r="G16" s="2655"/>
      <c r="H16" s="1645" t="s">
        <v>1132</v>
      </c>
      <c r="I16" s="1646"/>
      <c r="J16" s="1137"/>
      <c r="K16" s="3604" t="s">
        <v>1132</v>
      </c>
      <c r="L16" s="3605"/>
      <c r="M16" s="3605"/>
      <c r="N16" s="3605"/>
      <c r="O16" s="3605"/>
      <c r="P16" s="3606"/>
    </row>
    <row r="17" spans="1:19" ht="15">
      <c r="A17" s="1647" t="s">
        <v>1133</v>
      </c>
      <c r="B17" s="1648" t="s">
        <v>1134</v>
      </c>
      <c r="C17" s="1649" t="s">
        <v>1135</v>
      </c>
      <c r="D17" s="1650" t="s">
        <v>1123</v>
      </c>
      <c r="E17" s="1651" t="s">
        <v>1124</v>
      </c>
      <c r="F17" s="1652"/>
      <c r="G17" s="1653"/>
      <c r="H17" s="1654" t="s">
        <v>1136</v>
      </c>
      <c r="I17" s="1655" t="s">
        <v>1121</v>
      </c>
      <c r="J17" s="1137"/>
      <c r="K17" s="3601" t="s">
        <v>1137</v>
      </c>
      <c r="L17" s="3602"/>
      <c r="M17" s="3603"/>
      <c r="N17" s="3601" t="s">
        <v>1138</v>
      </c>
      <c r="O17" s="3602"/>
      <c r="P17" s="3603"/>
      <c r="R17" s="1637" t="s">
        <v>1139</v>
      </c>
      <c r="S17" s="56"/>
    </row>
    <row r="18" spans="1:19" ht="15">
      <c r="A18" s="1643"/>
      <c r="B18" s="1656"/>
      <c r="C18" s="1657"/>
      <c r="D18" s="1658"/>
      <c r="E18" s="1659" t="s">
        <v>1140</v>
      </c>
      <c r="F18" s="1660" t="s">
        <v>1141</v>
      </c>
      <c r="G18" s="1661" t="s">
        <v>1142</v>
      </c>
      <c r="H18" s="1039" t="s">
        <v>1143</v>
      </c>
      <c r="I18" s="1662" t="s">
        <v>1144</v>
      </c>
      <c r="J18" s="1137"/>
      <c r="K18" s="1039" t="s">
        <v>1145</v>
      </c>
      <c r="L18" s="1663" t="s">
        <v>1146</v>
      </c>
      <c r="M18" s="854" t="s">
        <v>1147</v>
      </c>
      <c r="N18" s="1039" t="s">
        <v>1145</v>
      </c>
      <c r="O18" s="1663" t="s">
        <v>1146</v>
      </c>
      <c r="P18" s="854" t="s">
        <v>1147</v>
      </c>
      <c r="R18" s="1024" t="s">
        <v>1148</v>
      </c>
      <c r="S18" s="1024" t="s">
        <v>1149</v>
      </c>
    </row>
    <row r="19" spans="1:19">
      <c r="A19" s="1664"/>
      <c r="B19" s="47" t="s">
        <v>1122</v>
      </c>
      <c r="C19" s="3412" t="s">
        <v>3852</v>
      </c>
      <c r="D19" s="45">
        <f>ROUND($D$3*E19/$E$3,2)</f>
        <v>0</v>
      </c>
      <c r="E19" s="53">
        <f t="shared" ref="E19:E26" si="1">SUM(F19:G19)</f>
        <v>86.99</v>
      </c>
      <c r="F19" s="2790">
        <f>'数据-基础表'!I13</f>
        <v>86.99</v>
      </c>
      <c r="G19" s="279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0</v>
      </c>
      <c r="S19" s="1025">
        <f t="shared" si="5"/>
        <v>86.99</v>
      </c>
    </row>
    <row r="20" spans="1:19">
      <c r="A20" s="1667"/>
      <c r="B20" s="47" t="s">
        <v>1150</v>
      </c>
      <c r="C20" s="3412" t="s">
        <v>3853</v>
      </c>
      <c r="D20" s="45">
        <f t="shared" ref="D20:D26" si="6">ROUND($D$3*E20/$E$3,2)</f>
        <v>0</v>
      </c>
      <c r="E20" s="53">
        <f t="shared" si="1"/>
        <v>29.05</v>
      </c>
      <c r="F20" s="2790"/>
      <c r="G20" s="2791">
        <f>'数据-基础表'!K13</f>
        <v>29.05</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29.05</v>
      </c>
    </row>
    <row r="21" spans="1:19">
      <c r="A21" s="1667"/>
      <c r="B21" s="47" t="s">
        <v>1150</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1150</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1150</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1150</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1150</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1150</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1151</v>
      </c>
      <c r="D27" s="1138">
        <f>SUM(D19:D26)</f>
        <v>0</v>
      </c>
      <c r="E27" s="1139">
        <f>IF(SUM(E19:E26)='数据-基础表'!BA5,SUM(E19:E26),IF(F27="地上面积有误","面积有误","地下面积有误"))</f>
        <v>116.03999999999999</v>
      </c>
      <c r="F27" s="1138">
        <f>IF(SUM(F19:F26)=E8,SUM(F19:F26),"地上面积有误")</f>
        <v>86.99</v>
      </c>
      <c r="G27" s="1140">
        <f>SUM(G19:G26)</f>
        <v>29.05</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116.03999999999999</v>
      </c>
    </row>
    <row r="28" spans="1:19">
      <c r="A28" s="1667"/>
      <c r="B28" s="47" t="s">
        <v>1152</v>
      </c>
      <c r="C28" s="1036" t="s">
        <v>1153</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1152</v>
      </c>
      <c r="C29" s="1671" t="s">
        <v>1154</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1151</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1155</v>
      </c>
      <c r="D31" s="675">
        <f>D27+D30</f>
        <v>0</v>
      </c>
      <c r="E31" s="675">
        <f>E27+E30</f>
        <v>116.03999999999999</v>
      </c>
      <c r="F31" s="676">
        <f>F27+F30</f>
        <v>86.99</v>
      </c>
      <c r="G31" s="677">
        <f>G27+G30</f>
        <v>29.05</v>
      </c>
      <c r="H31" s="2654"/>
      <c r="I31" s="2654"/>
      <c r="J31" s="2654"/>
      <c r="K31" s="2654"/>
      <c r="L31" s="2654"/>
      <c r="M31" s="2654"/>
      <c r="N31" s="2654"/>
      <c r="O31" s="2654"/>
      <c r="P31" s="2654"/>
    </row>
    <row r="32" spans="1:19">
      <c r="A32" s="1640"/>
      <c r="B32" s="1640" t="s">
        <v>1156</v>
      </c>
      <c r="C32" s="1640"/>
      <c r="D32" s="1640"/>
      <c r="E32" s="1051">
        <f>SUMIF(C19:C26,"*住宅*",E19:E26)</f>
        <v>86.99</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7" priority="1" stopIfTrue="1" operator="containsText" text="面积有误">
      <formula>NOT(ISERROR(SEARCH("面积有误",E27)))</formula>
    </cfRule>
    <cfRule type="cellIs" dxfId="256" priority="3" stopIfTrue="1" operator="equal">
      <formula>"地下面积有误"</formula>
    </cfRule>
  </conditionalFormatting>
  <conditionalFormatting sqref="F27">
    <cfRule type="cellIs" dxfId="2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167"/>
  <sheetViews>
    <sheetView workbookViewId="0">
      <selection activeCell="O4" sqref="O4:O15"/>
    </sheetView>
  </sheetViews>
  <sheetFormatPr defaultColWidth="9" defaultRowHeight="20.100000000000001" customHeight="1"/>
  <cols>
    <col min="1" max="1" width="9" style="3473"/>
    <col min="2" max="2" width="15.875" style="3473" hidden="1" customWidth="1"/>
    <col min="3" max="3" width="15.875" style="3473" customWidth="1"/>
    <col min="4" max="4" width="9.375" style="3473" bestFit="1" customWidth="1"/>
    <col min="5" max="9" width="0" style="3473" hidden="1" customWidth="1"/>
    <col min="10" max="10" width="13.25" style="3473" hidden="1" customWidth="1"/>
    <col min="11" max="16384" width="9" style="3473"/>
  </cols>
  <sheetData>
    <row r="1" spans="1:15" ht="20.100000000000001" customHeight="1">
      <c r="A1" s="3492" t="s">
        <v>3382</v>
      </c>
      <c r="B1" s="3493" t="s">
        <v>3383</v>
      </c>
      <c r="C1" s="3493" t="s">
        <v>3384</v>
      </c>
      <c r="D1" s="3494" t="s">
        <v>3385</v>
      </c>
      <c r="E1" s="3494" t="s">
        <v>3386</v>
      </c>
      <c r="F1" s="3494" t="s">
        <v>3387</v>
      </c>
      <c r="G1" s="3492" t="s">
        <v>3388</v>
      </c>
      <c r="H1" s="3492" t="s">
        <v>3389</v>
      </c>
      <c r="I1" s="3492" t="s">
        <v>3390</v>
      </c>
      <c r="J1" s="3492" t="s">
        <v>3391</v>
      </c>
      <c r="K1" s="3473" t="s">
        <v>3842</v>
      </c>
      <c r="L1" s="3473" t="s">
        <v>3843</v>
      </c>
    </row>
    <row r="2" spans="1:15" s="3480" customFormat="1" ht="20.100000000000001" customHeight="1">
      <c r="A2" s="3474">
        <v>1</v>
      </c>
      <c r="B2" s="3475" t="s">
        <v>3392</v>
      </c>
      <c r="C2" s="3476" t="s">
        <v>3393</v>
      </c>
      <c r="D2" s="3477">
        <v>89.65</v>
      </c>
      <c r="E2" s="3477">
        <v>71.42</v>
      </c>
      <c r="F2" s="3478">
        <v>18.22</v>
      </c>
      <c r="G2" s="3479" t="s">
        <v>3394</v>
      </c>
      <c r="H2" s="3479" t="s">
        <v>3395</v>
      </c>
      <c r="I2" s="3479">
        <v>18.23</v>
      </c>
      <c r="J2" s="3476" t="s">
        <v>3396</v>
      </c>
      <c r="K2" s="3480">
        <v>10</v>
      </c>
      <c r="L2" s="3480" t="s">
        <v>4105</v>
      </c>
    </row>
    <row r="3" spans="1:15" s="3480" customFormat="1" ht="20.100000000000001" customHeight="1">
      <c r="A3" s="3474">
        <v>2</v>
      </c>
      <c r="B3" s="3475" t="s">
        <v>3397</v>
      </c>
      <c r="C3" s="3476" t="s">
        <v>3398</v>
      </c>
      <c r="D3" s="3477">
        <v>89.65</v>
      </c>
      <c r="E3" s="3477">
        <v>71.42</v>
      </c>
      <c r="F3" s="3478">
        <v>18.22</v>
      </c>
      <c r="G3" s="3479" t="s">
        <v>3394</v>
      </c>
      <c r="H3" s="3479" t="s">
        <v>3395</v>
      </c>
      <c r="I3" s="3479">
        <v>18.23</v>
      </c>
      <c r="J3" s="3476" t="s">
        <v>3396</v>
      </c>
      <c r="K3" s="3480">
        <v>10</v>
      </c>
      <c r="L3" s="3480" t="s">
        <v>3844</v>
      </c>
    </row>
    <row r="4" spans="1:15" s="3480" customFormat="1" ht="20.100000000000001" customHeight="1">
      <c r="A4" s="3474">
        <v>3</v>
      </c>
      <c r="B4" s="3475" t="s">
        <v>3399</v>
      </c>
      <c r="C4" s="3476" t="s">
        <v>3400</v>
      </c>
      <c r="D4" s="3477">
        <v>86.99</v>
      </c>
      <c r="E4" s="3477">
        <v>69.3</v>
      </c>
      <c r="F4" s="3478">
        <v>17.68</v>
      </c>
      <c r="G4" s="3479" t="s">
        <v>3401</v>
      </c>
      <c r="H4" s="3479" t="s">
        <v>3402</v>
      </c>
      <c r="I4" s="3479">
        <v>17.690000000000001</v>
      </c>
      <c r="J4" s="3476" t="s">
        <v>3396</v>
      </c>
      <c r="K4" s="3480">
        <v>10</v>
      </c>
      <c r="L4" s="3480" t="s">
        <v>3844</v>
      </c>
      <c r="O4" s="3480">
        <v>3</v>
      </c>
    </row>
    <row r="5" spans="1:15" s="3480" customFormat="1" ht="20.100000000000001" customHeight="1">
      <c r="A5" s="3495">
        <v>4</v>
      </c>
      <c r="B5" s="3496" t="s">
        <v>3403</v>
      </c>
      <c r="C5" s="3497" t="s">
        <v>3404</v>
      </c>
      <c r="D5" s="3498">
        <v>86.99</v>
      </c>
      <c r="E5" s="3498">
        <v>69.3</v>
      </c>
      <c r="F5" s="3499">
        <v>17.68</v>
      </c>
      <c r="G5" s="3500" t="s">
        <v>3401</v>
      </c>
      <c r="H5" s="3500" t="s">
        <v>3402</v>
      </c>
      <c r="I5" s="3500">
        <v>17.690000000000001</v>
      </c>
      <c r="J5" s="3497" t="s">
        <v>3396</v>
      </c>
      <c r="K5" s="3501">
        <v>10</v>
      </c>
      <c r="L5" s="3501" t="s">
        <v>3846</v>
      </c>
      <c r="O5" s="3480">
        <v>6</v>
      </c>
    </row>
    <row r="6" spans="1:15" s="3480" customFormat="1" ht="20.100000000000001" customHeight="1">
      <c r="A6" s="3474">
        <v>5</v>
      </c>
      <c r="B6" s="3475" t="s">
        <v>3405</v>
      </c>
      <c r="C6" s="3476" t="s">
        <v>3406</v>
      </c>
      <c r="D6" s="3477">
        <v>89.65</v>
      </c>
      <c r="E6" s="3477">
        <v>71.42</v>
      </c>
      <c r="F6" s="3478">
        <v>18.22</v>
      </c>
      <c r="G6" s="3479" t="s">
        <v>3394</v>
      </c>
      <c r="H6" s="3479" t="s">
        <v>3395</v>
      </c>
      <c r="I6" s="3479">
        <v>18.23</v>
      </c>
      <c r="J6" s="3476" t="s">
        <v>3396</v>
      </c>
      <c r="K6" s="3480">
        <v>10</v>
      </c>
      <c r="L6" s="3480" t="s">
        <v>3846</v>
      </c>
      <c r="O6" s="3480">
        <v>7</v>
      </c>
    </row>
    <row r="7" spans="1:15" s="3480" customFormat="1" ht="20.100000000000001" customHeight="1">
      <c r="A7" s="3474">
        <v>6</v>
      </c>
      <c r="B7" s="3475" t="s">
        <v>3407</v>
      </c>
      <c r="C7" s="3476" t="s">
        <v>3408</v>
      </c>
      <c r="D7" s="3477">
        <v>86.99</v>
      </c>
      <c r="E7" s="3477">
        <v>69.3</v>
      </c>
      <c r="F7" s="3478">
        <v>17.68</v>
      </c>
      <c r="G7" s="3479" t="s">
        <v>3401</v>
      </c>
      <c r="H7" s="3479" t="s">
        <v>3402</v>
      </c>
      <c r="I7" s="3479">
        <v>17.690000000000001</v>
      </c>
      <c r="J7" s="3476" t="s">
        <v>3396</v>
      </c>
      <c r="K7" s="3480">
        <v>10</v>
      </c>
      <c r="L7" s="3480" t="s">
        <v>3846</v>
      </c>
      <c r="O7" s="3480">
        <v>11</v>
      </c>
    </row>
    <row r="8" spans="1:15" s="3480" customFormat="1" ht="20.100000000000001" customHeight="1">
      <c r="A8" s="3474">
        <v>7</v>
      </c>
      <c r="B8" s="3475" t="s">
        <v>3409</v>
      </c>
      <c r="C8" s="3476" t="s">
        <v>3410</v>
      </c>
      <c r="D8" s="3477">
        <v>86.99</v>
      </c>
      <c r="E8" s="3477">
        <v>69.3</v>
      </c>
      <c r="F8" s="3478">
        <v>17.68</v>
      </c>
      <c r="G8" s="3479" t="s">
        <v>3401</v>
      </c>
      <c r="H8" s="3479" t="s">
        <v>3402</v>
      </c>
      <c r="I8" s="3479">
        <v>17.690000000000001</v>
      </c>
      <c r="J8" s="3476" t="s">
        <v>3396</v>
      </c>
      <c r="K8" s="3480">
        <v>10</v>
      </c>
      <c r="L8" s="3480" t="s">
        <v>3847</v>
      </c>
      <c r="O8" s="3483">
        <v>12</v>
      </c>
    </row>
    <row r="9" spans="1:15" s="3483" customFormat="1" ht="20.100000000000001" customHeight="1">
      <c r="A9" s="3474">
        <v>8</v>
      </c>
      <c r="B9" s="3481" t="s">
        <v>3411</v>
      </c>
      <c r="C9" s="3476" t="s">
        <v>3412</v>
      </c>
      <c r="D9" s="3482">
        <v>82.98</v>
      </c>
      <c r="E9" s="3482">
        <v>66.099999999999994</v>
      </c>
      <c r="F9" s="3478">
        <v>16.86</v>
      </c>
      <c r="G9" s="3479" t="s">
        <v>3413</v>
      </c>
      <c r="H9" s="3479" t="s">
        <v>3414</v>
      </c>
      <c r="I9" s="3479">
        <v>16.88</v>
      </c>
      <c r="J9" s="3476" t="s">
        <v>3396</v>
      </c>
      <c r="K9" s="3480">
        <v>10</v>
      </c>
      <c r="L9" s="3480" t="s">
        <v>3847</v>
      </c>
      <c r="O9" s="3480">
        <v>14</v>
      </c>
    </row>
    <row r="10" spans="1:15" s="3480" customFormat="1" ht="20.100000000000001" customHeight="1">
      <c r="A10" s="3474">
        <v>9</v>
      </c>
      <c r="B10" s="3476" t="s">
        <v>3415</v>
      </c>
      <c r="C10" s="3476" t="s">
        <v>3416</v>
      </c>
      <c r="D10" s="3479">
        <v>86.93</v>
      </c>
      <c r="E10" s="3479">
        <v>69.25</v>
      </c>
      <c r="F10" s="3478">
        <v>17.66</v>
      </c>
      <c r="G10" s="3479" t="s">
        <v>3417</v>
      </c>
      <c r="H10" s="3479" t="s">
        <v>3418</v>
      </c>
      <c r="I10" s="3479">
        <v>17.68</v>
      </c>
      <c r="J10" s="3476" t="s">
        <v>3396</v>
      </c>
      <c r="K10" s="3480">
        <v>10</v>
      </c>
      <c r="L10" s="3480" t="s">
        <v>4105</v>
      </c>
      <c r="O10" s="3480">
        <v>15</v>
      </c>
    </row>
    <row r="11" spans="1:15" s="3480" customFormat="1" ht="20.100000000000001" customHeight="1">
      <c r="A11" s="3474">
        <v>10</v>
      </c>
      <c r="B11" s="3476" t="s">
        <v>3419</v>
      </c>
      <c r="C11" s="3476" t="s">
        <v>3420</v>
      </c>
      <c r="D11" s="3479">
        <v>86.93</v>
      </c>
      <c r="E11" s="3479">
        <v>69.25</v>
      </c>
      <c r="F11" s="3478">
        <v>17.66</v>
      </c>
      <c r="G11" s="3479" t="s">
        <v>3417</v>
      </c>
      <c r="H11" s="3479" t="s">
        <v>3418</v>
      </c>
      <c r="I11" s="3479">
        <v>17.68</v>
      </c>
      <c r="J11" s="3476" t="s">
        <v>3396</v>
      </c>
      <c r="K11" s="3480">
        <v>10</v>
      </c>
      <c r="L11" s="3480" t="s">
        <v>3844</v>
      </c>
      <c r="O11" s="3480">
        <v>16</v>
      </c>
    </row>
    <row r="12" spans="1:15" s="3480" customFormat="1" ht="20.100000000000001" customHeight="1">
      <c r="A12" s="3474">
        <v>11</v>
      </c>
      <c r="B12" s="3476" t="s">
        <v>3421</v>
      </c>
      <c r="C12" s="3476" t="s">
        <v>3422</v>
      </c>
      <c r="D12" s="3479">
        <v>89.65</v>
      </c>
      <c r="E12" s="3479">
        <v>71.42</v>
      </c>
      <c r="F12" s="3478">
        <v>18.22</v>
      </c>
      <c r="G12" s="3479" t="s">
        <v>3394</v>
      </c>
      <c r="H12" s="3479" t="s">
        <v>3395</v>
      </c>
      <c r="I12" s="3479">
        <v>18.23</v>
      </c>
      <c r="J12" s="3476" t="s">
        <v>3396</v>
      </c>
      <c r="K12" s="3480">
        <v>10</v>
      </c>
      <c r="L12" s="3480" t="s">
        <v>4105</v>
      </c>
      <c r="O12" s="3480">
        <v>17</v>
      </c>
    </row>
    <row r="13" spans="1:15" s="3480" customFormat="1" ht="20.100000000000001" customHeight="1">
      <c r="A13" s="3474">
        <v>12</v>
      </c>
      <c r="B13" s="3476" t="s">
        <v>3423</v>
      </c>
      <c r="C13" s="3476" t="s">
        <v>3424</v>
      </c>
      <c r="D13" s="3479">
        <v>86.99</v>
      </c>
      <c r="E13" s="3479">
        <v>69.3</v>
      </c>
      <c r="F13" s="3478">
        <v>17.68</v>
      </c>
      <c r="G13" s="3479" t="s">
        <v>3401</v>
      </c>
      <c r="H13" s="3479" t="s">
        <v>3402</v>
      </c>
      <c r="I13" s="3479">
        <v>17.690000000000001</v>
      </c>
      <c r="J13" s="3476" t="s">
        <v>3396</v>
      </c>
      <c r="K13" s="3480">
        <v>10</v>
      </c>
      <c r="L13" s="3480" t="s">
        <v>3848</v>
      </c>
      <c r="O13" s="3480">
        <v>18</v>
      </c>
    </row>
    <row r="14" spans="1:15" s="3480" customFormat="1" ht="20.100000000000001" customHeight="1">
      <c r="A14" s="3474">
        <v>13</v>
      </c>
      <c r="B14" s="3476" t="s">
        <v>3425</v>
      </c>
      <c r="C14" s="3476" t="s">
        <v>3426</v>
      </c>
      <c r="D14" s="3479">
        <v>89.7</v>
      </c>
      <c r="E14" s="3479">
        <v>71.42</v>
      </c>
      <c r="F14" s="3478">
        <v>18.27</v>
      </c>
      <c r="G14" s="3479" t="s">
        <v>3427</v>
      </c>
      <c r="H14" s="3479" t="s">
        <v>3395</v>
      </c>
      <c r="I14" s="3479">
        <v>18.28</v>
      </c>
      <c r="J14" s="3476" t="s">
        <v>3396</v>
      </c>
      <c r="K14" s="3480">
        <v>11</v>
      </c>
      <c r="L14" s="3480" t="s">
        <v>3844</v>
      </c>
      <c r="O14" s="3480">
        <v>19</v>
      </c>
    </row>
    <row r="15" spans="1:15" s="3480" customFormat="1" ht="20.100000000000001" customHeight="1">
      <c r="A15" s="3474">
        <v>14</v>
      </c>
      <c r="B15" s="3476" t="s">
        <v>3428</v>
      </c>
      <c r="C15" s="3476" t="s">
        <v>3429</v>
      </c>
      <c r="D15" s="3479">
        <v>89.7</v>
      </c>
      <c r="E15" s="3479">
        <v>71.42</v>
      </c>
      <c r="F15" s="3478">
        <v>18.27</v>
      </c>
      <c r="G15" s="3479">
        <v>89.7</v>
      </c>
      <c r="H15" s="3479">
        <v>71.42</v>
      </c>
      <c r="I15" s="3479">
        <v>18.28</v>
      </c>
      <c r="J15" s="3476" t="s">
        <v>3396</v>
      </c>
      <c r="K15" s="3480">
        <v>11</v>
      </c>
      <c r="L15" s="3480" t="s">
        <v>3844</v>
      </c>
      <c r="O15" s="3480">
        <v>22</v>
      </c>
    </row>
    <row r="16" spans="1:15" s="3480" customFormat="1" ht="20.100000000000001" customHeight="1">
      <c r="A16" s="3474">
        <v>15</v>
      </c>
      <c r="B16" s="3476" t="s">
        <v>3430</v>
      </c>
      <c r="C16" s="3476" t="s">
        <v>3431</v>
      </c>
      <c r="D16" s="3479">
        <v>89.7</v>
      </c>
      <c r="E16" s="3479">
        <v>71.42</v>
      </c>
      <c r="F16" s="3478">
        <v>18.27</v>
      </c>
      <c r="G16" s="3479" t="s">
        <v>3427</v>
      </c>
      <c r="H16" s="3479" t="s">
        <v>3395</v>
      </c>
      <c r="I16" s="3479">
        <v>18.28</v>
      </c>
      <c r="J16" s="3476" t="s">
        <v>3396</v>
      </c>
      <c r="K16" s="3480">
        <v>11</v>
      </c>
      <c r="L16" s="3480" t="s">
        <v>4105</v>
      </c>
      <c r="O16" s="3480">
        <v>101</v>
      </c>
    </row>
    <row r="17" spans="1:12" s="3480" customFormat="1" ht="20.100000000000001" customHeight="1">
      <c r="A17" s="3474">
        <v>16</v>
      </c>
      <c r="B17" s="3476" t="s">
        <v>3432</v>
      </c>
      <c r="C17" s="3476" t="s">
        <v>3433</v>
      </c>
      <c r="D17" s="3479">
        <v>89.7</v>
      </c>
      <c r="E17" s="3479">
        <v>71.42</v>
      </c>
      <c r="F17" s="3478">
        <v>18.27</v>
      </c>
      <c r="G17" s="3479" t="s">
        <v>3427</v>
      </c>
      <c r="H17" s="3479" t="s">
        <v>3395</v>
      </c>
      <c r="I17" s="3479">
        <v>18.28</v>
      </c>
      <c r="J17" s="3476" t="s">
        <v>3396</v>
      </c>
      <c r="K17" s="3480">
        <v>11</v>
      </c>
      <c r="L17" s="3480" t="s">
        <v>3844</v>
      </c>
    </row>
    <row r="18" spans="1:12" s="3480" customFormat="1" ht="20.100000000000001" customHeight="1">
      <c r="A18" s="3474">
        <v>17</v>
      </c>
      <c r="B18" s="3476" t="s">
        <v>3434</v>
      </c>
      <c r="C18" s="3476" t="s">
        <v>3435</v>
      </c>
      <c r="D18" s="3479">
        <v>89.7</v>
      </c>
      <c r="E18" s="3479">
        <v>71.42</v>
      </c>
      <c r="F18" s="3478">
        <v>18.27</v>
      </c>
      <c r="G18" s="3479" t="s">
        <v>3427</v>
      </c>
      <c r="H18" s="3479" t="s">
        <v>3395</v>
      </c>
      <c r="I18" s="3479">
        <v>18.28</v>
      </c>
      <c r="J18" s="3476" t="s">
        <v>3396</v>
      </c>
      <c r="K18" s="3480">
        <v>11</v>
      </c>
      <c r="L18" s="3480" t="s">
        <v>3847</v>
      </c>
    </row>
    <row r="19" spans="1:12" s="3480" customFormat="1" ht="20.100000000000001" customHeight="1">
      <c r="A19" s="3474">
        <v>18</v>
      </c>
      <c r="B19" s="3476" t="s">
        <v>3436</v>
      </c>
      <c r="C19" s="3476" t="s">
        <v>3437</v>
      </c>
      <c r="D19" s="3479">
        <v>84.16</v>
      </c>
      <c r="E19" s="3479">
        <v>69.290000000000006</v>
      </c>
      <c r="F19" s="3478">
        <v>14.85</v>
      </c>
      <c r="G19" s="3479" t="s">
        <v>3438</v>
      </c>
      <c r="H19" s="3479" t="s">
        <v>3439</v>
      </c>
      <c r="I19" s="3479">
        <v>14.87</v>
      </c>
      <c r="J19" s="3476" t="s">
        <v>3396</v>
      </c>
      <c r="K19" s="3480">
        <v>11</v>
      </c>
      <c r="L19" s="3480" t="s">
        <v>4105</v>
      </c>
    </row>
    <row r="20" spans="1:12" s="3480" customFormat="1" ht="20.100000000000001" customHeight="1">
      <c r="A20" s="3474">
        <v>19</v>
      </c>
      <c r="B20" s="3476" t="s">
        <v>3440</v>
      </c>
      <c r="C20" s="3476" t="s">
        <v>3441</v>
      </c>
      <c r="D20" s="3479">
        <v>84.16</v>
      </c>
      <c r="E20" s="3479">
        <v>69.290000000000006</v>
      </c>
      <c r="F20" s="3478">
        <v>14.85</v>
      </c>
      <c r="G20" s="3479" t="s">
        <v>3438</v>
      </c>
      <c r="H20" s="3479" t="s">
        <v>3439</v>
      </c>
      <c r="I20" s="3479">
        <v>14.87</v>
      </c>
      <c r="J20" s="3476" t="s">
        <v>3396</v>
      </c>
      <c r="K20" s="3480">
        <v>11</v>
      </c>
      <c r="L20" s="3480" t="s">
        <v>3849</v>
      </c>
    </row>
    <row r="21" spans="1:12" s="3480" customFormat="1" ht="20.100000000000001" customHeight="1">
      <c r="A21" s="3474">
        <v>20</v>
      </c>
      <c r="B21" s="3476" t="s">
        <v>3442</v>
      </c>
      <c r="C21" s="3476" t="s">
        <v>3443</v>
      </c>
      <c r="D21" s="3479">
        <v>84.16</v>
      </c>
      <c r="E21" s="3479">
        <v>69.290000000000006</v>
      </c>
      <c r="F21" s="3478">
        <v>14.85</v>
      </c>
      <c r="G21" s="3479" t="s">
        <v>3438</v>
      </c>
      <c r="H21" s="3479" t="s">
        <v>3439</v>
      </c>
      <c r="I21" s="3479">
        <v>14.87</v>
      </c>
      <c r="J21" s="3476" t="s">
        <v>3396</v>
      </c>
      <c r="K21" s="3480">
        <v>11</v>
      </c>
      <c r="L21" s="3480" t="s">
        <v>3846</v>
      </c>
    </row>
    <row r="22" spans="1:12" s="3480" customFormat="1" ht="20.100000000000001" customHeight="1">
      <c r="A22" s="3474">
        <v>21</v>
      </c>
      <c r="B22" s="3476" t="s">
        <v>3444</v>
      </c>
      <c r="C22" s="3476" t="s">
        <v>3445</v>
      </c>
      <c r="D22" s="3479">
        <v>168.31</v>
      </c>
      <c r="E22" s="3479">
        <v>138.58000000000001</v>
      </c>
      <c r="F22" s="3478">
        <v>29.71</v>
      </c>
      <c r="G22" s="3479" t="s">
        <v>3446</v>
      </c>
      <c r="H22" s="3479" t="s">
        <v>3447</v>
      </c>
      <c r="I22" s="3479">
        <v>29.73</v>
      </c>
      <c r="J22" s="3476" t="s">
        <v>3396</v>
      </c>
      <c r="K22" s="3480">
        <v>11</v>
      </c>
      <c r="L22" s="3480" t="s">
        <v>4105</v>
      </c>
    </row>
    <row r="23" spans="1:12" s="3480" customFormat="1" ht="20.100000000000001" customHeight="1">
      <c r="A23" s="3474">
        <v>22</v>
      </c>
      <c r="B23" s="3476" t="s">
        <v>3448</v>
      </c>
      <c r="C23" s="3476" t="s">
        <v>3449</v>
      </c>
      <c r="D23" s="3479">
        <v>84.16</v>
      </c>
      <c r="E23" s="3479">
        <v>69.290000000000006</v>
      </c>
      <c r="F23" s="3478">
        <v>14.85</v>
      </c>
      <c r="G23" s="3479" t="s">
        <v>3438</v>
      </c>
      <c r="H23" s="3479" t="s">
        <v>3439</v>
      </c>
      <c r="I23" s="3479">
        <v>14.87</v>
      </c>
      <c r="J23" s="3476" t="s">
        <v>3396</v>
      </c>
      <c r="K23" s="3480">
        <v>11</v>
      </c>
      <c r="L23" s="3480" t="s">
        <v>3846</v>
      </c>
    </row>
    <row r="24" spans="1:12" s="3480" customFormat="1" ht="20.100000000000001" customHeight="1">
      <c r="A24" s="3474">
        <v>23</v>
      </c>
      <c r="B24" s="3476" t="s">
        <v>3450</v>
      </c>
      <c r="C24" s="3476" t="s">
        <v>3451</v>
      </c>
      <c r="D24" s="3479">
        <v>84.16</v>
      </c>
      <c r="E24" s="3479">
        <v>69.290000000000006</v>
      </c>
      <c r="F24" s="3478">
        <v>14.85</v>
      </c>
      <c r="G24" s="3479" t="s">
        <v>3438</v>
      </c>
      <c r="H24" s="3479" t="s">
        <v>3439</v>
      </c>
      <c r="I24" s="3479">
        <v>14.87</v>
      </c>
      <c r="J24" s="3476" t="s">
        <v>3396</v>
      </c>
      <c r="K24" s="3480">
        <v>11</v>
      </c>
      <c r="L24" s="3480" t="s">
        <v>3847</v>
      </c>
    </row>
    <row r="25" spans="1:12" s="3480" customFormat="1" ht="20.100000000000001" customHeight="1">
      <c r="A25" s="3474">
        <v>24</v>
      </c>
      <c r="B25" s="3476" t="s">
        <v>3452</v>
      </c>
      <c r="C25" s="3476" t="s">
        <v>3453</v>
      </c>
      <c r="D25" s="3479">
        <v>84.16</v>
      </c>
      <c r="E25" s="3479">
        <v>69.290000000000006</v>
      </c>
      <c r="F25" s="3478">
        <v>14.85</v>
      </c>
      <c r="G25" s="3479" t="s">
        <v>3438</v>
      </c>
      <c r="H25" s="3479" t="s">
        <v>3439</v>
      </c>
      <c r="I25" s="3479">
        <v>14.87</v>
      </c>
      <c r="J25" s="3476" t="s">
        <v>3396</v>
      </c>
      <c r="K25" s="3480">
        <v>11</v>
      </c>
      <c r="L25" s="3480" t="s">
        <v>3847</v>
      </c>
    </row>
    <row r="26" spans="1:12" s="3480" customFormat="1" ht="20.100000000000001" customHeight="1">
      <c r="A26" s="3474">
        <v>25</v>
      </c>
      <c r="B26" s="3476" t="s">
        <v>3454</v>
      </c>
      <c r="C26" s="3476" t="s">
        <v>3455</v>
      </c>
      <c r="D26" s="3479">
        <v>109.42</v>
      </c>
      <c r="E26" s="3479">
        <v>90.09</v>
      </c>
      <c r="F26" s="3478">
        <v>19.309999999999999</v>
      </c>
      <c r="G26" s="3479" t="s">
        <v>3456</v>
      </c>
      <c r="H26" s="3479" t="s">
        <v>3457</v>
      </c>
      <c r="I26" s="3479">
        <v>19.329999999999998</v>
      </c>
      <c r="J26" s="3476" t="s">
        <v>3396</v>
      </c>
      <c r="K26" s="3480">
        <v>11</v>
      </c>
      <c r="L26" s="3480" t="s">
        <v>3848</v>
      </c>
    </row>
    <row r="27" spans="1:12" s="3480" customFormat="1" ht="20.100000000000001" customHeight="1">
      <c r="A27" s="3474">
        <v>26</v>
      </c>
      <c r="B27" s="3476" t="s">
        <v>3458</v>
      </c>
      <c r="C27" s="3476" t="s">
        <v>3459</v>
      </c>
      <c r="D27" s="3479">
        <v>84.16</v>
      </c>
      <c r="E27" s="3479">
        <v>69.290000000000006</v>
      </c>
      <c r="F27" s="3478">
        <v>14.85</v>
      </c>
      <c r="G27" s="3479" t="s">
        <v>3438</v>
      </c>
      <c r="H27" s="3479" t="s">
        <v>3439</v>
      </c>
      <c r="I27" s="3479">
        <v>14.87</v>
      </c>
      <c r="J27" s="3476" t="s">
        <v>3396</v>
      </c>
      <c r="K27" s="3480">
        <v>11</v>
      </c>
      <c r="L27" s="3480" t="s">
        <v>3848</v>
      </c>
    </row>
    <row r="28" spans="1:12" s="3480" customFormat="1" ht="20.100000000000001" customHeight="1">
      <c r="A28" s="3474">
        <v>27</v>
      </c>
      <c r="B28" s="3476" t="s">
        <v>3460</v>
      </c>
      <c r="C28" s="3476" t="s">
        <v>3461</v>
      </c>
      <c r="D28" s="3479">
        <v>89.7</v>
      </c>
      <c r="E28" s="3479">
        <v>71.42</v>
      </c>
      <c r="F28" s="3478">
        <v>18.27</v>
      </c>
      <c r="G28" s="3479" t="s">
        <v>3427</v>
      </c>
      <c r="H28" s="3479" t="s">
        <v>3395</v>
      </c>
      <c r="I28" s="3479">
        <v>18.28</v>
      </c>
      <c r="J28" s="3476" t="s">
        <v>3396</v>
      </c>
      <c r="K28" s="3480">
        <v>11</v>
      </c>
      <c r="L28" s="3480" t="s">
        <v>4105</v>
      </c>
    </row>
    <row r="29" spans="1:12" s="3480" customFormat="1" ht="20.100000000000001" customHeight="1">
      <c r="A29" s="3474">
        <v>28</v>
      </c>
      <c r="B29" s="3476" t="s">
        <v>3462</v>
      </c>
      <c r="C29" s="3476" t="s">
        <v>3463</v>
      </c>
      <c r="D29" s="3479">
        <v>87.04</v>
      </c>
      <c r="E29" s="3479">
        <v>69.3</v>
      </c>
      <c r="F29" s="3478">
        <v>17.72</v>
      </c>
      <c r="G29" s="3479" t="s">
        <v>3464</v>
      </c>
      <c r="H29" s="3479" t="s">
        <v>3402</v>
      </c>
      <c r="I29" s="3479">
        <v>17.739999999999998</v>
      </c>
      <c r="J29" s="3476" t="s">
        <v>3396</v>
      </c>
      <c r="K29" s="3480">
        <v>11</v>
      </c>
      <c r="L29" s="3480" t="s">
        <v>3849</v>
      </c>
    </row>
    <row r="30" spans="1:12" s="3480" customFormat="1" ht="20.100000000000001" customHeight="1">
      <c r="A30" s="3474">
        <v>29</v>
      </c>
      <c r="B30" s="3476" t="s">
        <v>3465</v>
      </c>
      <c r="C30" s="3476" t="s">
        <v>3466</v>
      </c>
      <c r="D30" s="3479">
        <v>89.7</v>
      </c>
      <c r="E30" s="3479">
        <v>71.42</v>
      </c>
      <c r="F30" s="3478">
        <v>18.27</v>
      </c>
      <c r="G30" s="3479" t="s">
        <v>3427</v>
      </c>
      <c r="H30" s="3479" t="s">
        <v>3395</v>
      </c>
      <c r="I30" s="3479">
        <v>18.28</v>
      </c>
      <c r="J30" s="3476" t="s">
        <v>3396</v>
      </c>
      <c r="K30" s="3480">
        <v>11</v>
      </c>
      <c r="L30" s="3480" t="s">
        <v>4105</v>
      </c>
    </row>
    <row r="31" spans="1:12" s="3480" customFormat="1" ht="20.100000000000001" customHeight="1">
      <c r="A31" s="3474">
        <v>30</v>
      </c>
      <c r="B31" s="3476" t="s">
        <v>3467</v>
      </c>
      <c r="C31" s="3476" t="s">
        <v>3468</v>
      </c>
      <c r="D31" s="3479">
        <v>86.53</v>
      </c>
      <c r="E31" s="3479">
        <v>69.25</v>
      </c>
      <c r="F31" s="3478">
        <v>17.27</v>
      </c>
      <c r="G31" s="3479" t="s">
        <v>3469</v>
      </c>
      <c r="H31" s="3479" t="s">
        <v>3418</v>
      </c>
      <c r="I31" s="3479">
        <v>17.28</v>
      </c>
      <c r="J31" s="3476" t="s">
        <v>3396</v>
      </c>
      <c r="K31" s="3480">
        <v>11</v>
      </c>
      <c r="L31" s="3480" t="s">
        <v>3848</v>
      </c>
    </row>
    <row r="32" spans="1:12" s="3480" customFormat="1" ht="20.100000000000001" customHeight="1">
      <c r="A32" s="3474">
        <v>31</v>
      </c>
      <c r="B32" s="3476" t="s">
        <v>3470</v>
      </c>
      <c r="C32" s="3476" t="s">
        <v>3471</v>
      </c>
      <c r="D32" s="3479">
        <v>82.59</v>
      </c>
      <c r="E32" s="3479">
        <v>66.099999999999994</v>
      </c>
      <c r="F32" s="3478">
        <v>16.48</v>
      </c>
      <c r="G32" s="3479" t="s">
        <v>3472</v>
      </c>
      <c r="H32" s="3479" t="s">
        <v>3414</v>
      </c>
      <c r="I32" s="3479">
        <v>16.489999999999998</v>
      </c>
      <c r="J32" s="3476" t="s">
        <v>3396</v>
      </c>
      <c r="K32" s="3480">
        <v>11</v>
      </c>
      <c r="L32" s="3480" t="s">
        <v>3846</v>
      </c>
    </row>
    <row r="33" spans="1:12" s="3480" customFormat="1" ht="20.100000000000001" customHeight="1">
      <c r="A33" s="3474">
        <v>32</v>
      </c>
      <c r="B33" s="3476" t="s">
        <v>3473</v>
      </c>
      <c r="C33" s="3476" t="s">
        <v>3474</v>
      </c>
      <c r="D33" s="3479">
        <v>82.59</v>
      </c>
      <c r="E33" s="3479">
        <v>66.099999999999994</v>
      </c>
      <c r="F33" s="3478">
        <v>16.48</v>
      </c>
      <c r="G33" s="3479" t="s">
        <v>3472</v>
      </c>
      <c r="H33" s="3479" t="s">
        <v>3414</v>
      </c>
      <c r="I33" s="3479">
        <v>16.489999999999998</v>
      </c>
      <c r="J33" s="3476" t="s">
        <v>3396</v>
      </c>
      <c r="K33" s="3480">
        <v>11</v>
      </c>
      <c r="L33" s="3480" t="s">
        <v>3847</v>
      </c>
    </row>
    <row r="34" spans="1:12" s="3480" customFormat="1" ht="20.100000000000001" customHeight="1">
      <c r="A34" s="3474">
        <v>33</v>
      </c>
      <c r="B34" s="3476" t="s">
        <v>3475</v>
      </c>
      <c r="C34" s="3476" t="s">
        <v>3476</v>
      </c>
      <c r="D34" s="3479">
        <v>82.59</v>
      </c>
      <c r="E34" s="3479">
        <v>66.099999999999994</v>
      </c>
      <c r="F34" s="3478">
        <v>16.48</v>
      </c>
      <c r="G34" s="3479" t="s">
        <v>3472</v>
      </c>
      <c r="H34" s="3479" t="s">
        <v>3414</v>
      </c>
      <c r="I34" s="3479">
        <v>16.489999999999998</v>
      </c>
      <c r="J34" s="3476" t="s">
        <v>3396</v>
      </c>
      <c r="K34" s="3480">
        <v>11</v>
      </c>
      <c r="L34" s="3480" t="s">
        <v>3848</v>
      </c>
    </row>
    <row r="35" spans="1:12" s="3480" customFormat="1" ht="20.100000000000001" customHeight="1">
      <c r="A35" s="3474">
        <v>34</v>
      </c>
      <c r="B35" s="3476" t="s">
        <v>3477</v>
      </c>
      <c r="C35" s="3476" t="s">
        <v>3478</v>
      </c>
      <c r="D35" s="3479">
        <v>86.53</v>
      </c>
      <c r="E35" s="3479">
        <v>69.25</v>
      </c>
      <c r="F35" s="3478">
        <v>17.27</v>
      </c>
      <c r="G35" s="3479" t="s">
        <v>3469</v>
      </c>
      <c r="H35" s="3479" t="s">
        <v>3418</v>
      </c>
      <c r="I35" s="3479">
        <v>17.28</v>
      </c>
      <c r="J35" s="3476" t="s">
        <v>3396</v>
      </c>
      <c r="K35" s="3480">
        <v>11</v>
      </c>
      <c r="L35" s="3480" t="s">
        <v>3848</v>
      </c>
    </row>
    <row r="36" spans="1:12" ht="20.100000000000001" customHeight="1">
      <c r="A36" s="3474">
        <v>35</v>
      </c>
      <c r="B36" s="3476" t="s">
        <v>3479</v>
      </c>
      <c r="C36" s="3476" t="s">
        <v>3480</v>
      </c>
      <c r="D36" s="3479">
        <v>87.39</v>
      </c>
      <c r="E36" s="3485">
        <v>69.25</v>
      </c>
      <c r="F36" s="3486">
        <v>18.13</v>
      </c>
      <c r="G36" s="3485" t="s">
        <v>3481</v>
      </c>
      <c r="H36" s="3485" t="s">
        <v>3418</v>
      </c>
      <c r="I36" s="3485">
        <v>18.14</v>
      </c>
      <c r="J36" s="3484" t="s">
        <v>3396</v>
      </c>
      <c r="K36" s="3473">
        <v>11</v>
      </c>
      <c r="L36" s="3473" t="s">
        <v>3844</v>
      </c>
    </row>
    <row r="37" spans="1:12" ht="20.100000000000001" customHeight="1">
      <c r="A37" s="3474">
        <v>36</v>
      </c>
      <c r="B37" s="3476" t="s">
        <v>3482</v>
      </c>
      <c r="C37" s="3476" t="s">
        <v>3483</v>
      </c>
      <c r="D37" s="3479">
        <v>87.39</v>
      </c>
      <c r="E37" s="3485">
        <v>69.25</v>
      </c>
      <c r="F37" s="3486">
        <v>18.13</v>
      </c>
      <c r="G37" s="3485" t="s">
        <v>3481</v>
      </c>
      <c r="H37" s="3485" t="s">
        <v>3418</v>
      </c>
      <c r="I37" s="3485">
        <v>18.14</v>
      </c>
      <c r="J37" s="3484" t="s">
        <v>3396</v>
      </c>
      <c r="K37" s="3473">
        <v>11</v>
      </c>
      <c r="L37" s="3473" t="s">
        <v>3844</v>
      </c>
    </row>
    <row r="38" spans="1:12" ht="20.100000000000001" customHeight="1">
      <c r="A38" s="3474">
        <v>37</v>
      </c>
      <c r="B38" s="3476" t="s">
        <v>3484</v>
      </c>
      <c r="C38" s="3476" t="s">
        <v>3485</v>
      </c>
      <c r="D38" s="3479">
        <v>87.39</v>
      </c>
      <c r="E38" s="3485">
        <v>69.25</v>
      </c>
      <c r="F38" s="3486">
        <v>18.13</v>
      </c>
      <c r="G38" s="3485" t="s">
        <v>3481</v>
      </c>
      <c r="H38" s="3485" t="s">
        <v>3418</v>
      </c>
      <c r="I38" s="3485">
        <v>18.14</v>
      </c>
      <c r="J38" s="3484" t="s">
        <v>3396</v>
      </c>
      <c r="K38" s="3473">
        <v>11</v>
      </c>
      <c r="L38" s="3473" t="s">
        <v>3846</v>
      </c>
    </row>
    <row r="39" spans="1:12" ht="20.100000000000001" customHeight="1">
      <c r="A39" s="3474">
        <v>38</v>
      </c>
      <c r="B39" s="3476" t="s">
        <v>3486</v>
      </c>
      <c r="C39" s="3476" t="s">
        <v>3487</v>
      </c>
      <c r="D39" s="3479">
        <v>87.39</v>
      </c>
      <c r="E39" s="3485">
        <v>69.25</v>
      </c>
      <c r="F39" s="3486">
        <v>18.13</v>
      </c>
      <c r="G39" s="3485" t="s">
        <v>3481</v>
      </c>
      <c r="H39" s="3485" t="s">
        <v>3418</v>
      </c>
      <c r="I39" s="3485">
        <v>18.14</v>
      </c>
      <c r="J39" s="3484" t="s">
        <v>3396</v>
      </c>
      <c r="K39" s="3473">
        <v>11</v>
      </c>
      <c r="L39" s="3473" t="s">
        <v>3847</v>
      </c>
    </row>
    <row r="40" spans="1:12" ht="20.100000000000001" customHeight="1">
      <c r="A40" s="3474">
        <v>39</v>
      </c>
      <c r="B40" s="3476" t="s">
        <v>3488</v>
      </c>
      <c r="C40" s="3476" t="s">
        <v>3489</v>
      </c>
      <c r="D40" s="3479">
        <v>87.39</v>
      </c>
      <c r="E40" s="3485">
        <v>69.25</v>
      </c>
      <c r="F40" s="3486">
        <v>18.13</v>
      </c>
      <c r="G40" s="3485" t="s">
        <v>3481</v>
      </c>
      <c r="H40" s="3485" t="s">
        <v>3418</v>
      </c>
      <c r="I40" s="3485">
        <v>18.14</v>
      </c>
      <c r="J40" s="3484" t="s">
        <v>3396</v>
      </c>
      <c r="K40" s="3473">
        <v>11</v>
      </c>
      <c r="L40" s="3480" t="s">
        <v>3848</v>
      </c>
    </row>
    <row r="41" spans="1:12" ht="20.100000000000001" customHeight="1">
      <c r="A41" s="3474">
        <v>40</v>
      </c>
      <c r="B41" s="3476" t="s">
        <v>3490</v>
      </c>
      <c r="C41" s="3476" t="s">
        <v>3491</v>
      </c>
      <c r="D41" s="3479">
        <v>85.89</v>
      </c>
      <c r="E41" s="3485">
        <v>69.25</v>
      </c>
      <c r="F41" s="3486">
        <v>16.63</v>
      </c>
      <c r="G41" s="3485" t="s">
        <v>3492</v>
      </c>
      <c r="H41" s="3485" t="s">
        <v>3418</v>
      </c>
      <c r="I41" s="3485">
        <v>16.64</v>
      </c>
      <c r="J41" s="3484" t="s">
        <v>3396</v>
      </c>
      <c r="K41" s="3473">
        <v>9</v>
      </c>
      <c r="L41" s="3480" t="s">
        <v>4105</v>
      </c>
    </row>
    <row r="42" spans="1:12" ht="20.100000000000001" customHeight="1">
      <c r="A42" s="3474">
        <v>41</v>
      </c>
      <c r="B42" s="3476" t="s">
        <v>3493</v>
      </c>
      <c r="C42" s="3476" t="s">
        <v>3494</v>
      </c>
      <c r="D42" s="3479">
        <v>85.89</v>
      </c>
      <c r="E42" s="3485">
        <v>69.25</v>
      </c>
      <c r="F42" s="3486">
        <v>16.63</v>
      </c>
      <c r="G42" s="3485" t="s">
        <v>3492</v>
      </c>
      <c r="H42" s="3485" t="s">
        <v>3418</v>
      </c>
      <c r="I42" s="3485">
        <v>16.64</v>
      </c>
      <c r="J42" s="3484" t="s">
        <v>3396</v>
      </c>
      <c r="K42" s="3473">
        <v>9</v>
      </c>
      <c r="L42" s="3473" t="s">
        <v>3844</v>
      </c>
    </row>
    <row r="43" spans="1:12" ht="20.100000000000001" customHeight="1">
      <c r="A43" s="3474">
        <v>42</v>
      </c>
      <c r="B43" s="3476" t="s">
        <v>3495</v>
      </c>
      <c r="C43" s="3476" t="s">
        <v>3496</v>
      </c>
      <c r="D43" s="3479">
        <v>81.99</v>
      </c>
      <c r="E43" s="3485">
        <v>66.099999999999994</v>
      </c>
      <c r="F43" s="3486">
        <v>15.88</v>
      </c>
      <c r="G43" s="3485" t="s">
        <v>3497</v>
      </c>
      <c r="H43" s="3485" t="s">
        <v>3414</v>
      </c>
      <c r="I43" s="3485">
        <v>15.89</v>
      </c>
      <c r="J43" s="3484" t="s">
        <v>3396</v>
      </c>
      <c r="K43" s="3473">
        <v>9</v>
      </c>
      <c r="L43" s="3473" t="s">
        <v>3844</v>
      </c>
    </row>
    <row r="44" spans="1:12" ht="20.100000000000001" customHeight="1">
      <c r="A44" s="3474">
        <v>43</v>
      </c>
      <c r="B44" s="3476" t="s">
        <v>3498</v>
      </c>
      <c r="C44" s="3476" t="s">
        <v>3499</v>
      </c>
      <c r="D44" s="3479">
        <v>85.89</v>
      </c>
      <c r="E44" s="3485">
        <v>69.25</v>
      </c>
      <c r="F44" s="3486">
        <v>16.63</v>
      </c>
      <c r="G44" s="3485" t="s">
        <v>3492</v>
      </c>
      <c r="H44" s="3485" t="s">
        <v>3418</v>
      </c>
      <c r="I44" s="3485">
        <v>16.64</v>
      </c>
      <c r="J44" s="3484" t="s">
        <v>3396</v>
      </c>
      <c r="K44" s="3473">
        <v>9</v>
      </c>
      <c r="L44" s="3473" t="s">
        <v>3844</v>
      </c>
    </row>
    <row r="45" spans="1:12" ht="20.100000000000001" customHeight="1">
      <c r="A45" s="3474">
        <v>44</v>
      </c>
      <c r="B45" s="3476" t="s">
        <v>3500</v>
      </c>
      <c r="C45" s="3476" t="s">
        <v>3501</v>
      </c>
      <c r="D45" s="3479">
        <v>81.99</v>
      </c>
      <c r="E45" s="3485">
        <v>66.099999999999994</v>
      </c>
      <c r="F45" s="3486">
        <v>15.88</v>
      </c>
      <c r="G45" s="3485" t="s">
        <v>3497</v>
      </c>
      <c r="H45" s="3485" t="s">
        <v>3414</v>
      </c>
      <c r="I45" s="3485">
        <v>15.89</v>
      </c>
      <c r="J45" s="3484" t="s">
        <v>3396</v>
      </c>
      <c r="K45" s="3473">
        <v>9</v>
      </c>
      <c r="L45" s="3473" t="s">
        <v>3844</v>
      </c>
    </row>
    <row r="46" spans="1:12" ht="20.100000000000001" customHeight="1">
      <c r="A46" s="3474">
        <v>45</v>
      </c>
      <c r="B46" s="3476" t="s">
        <v>3502</v>
      </c>
      <c r="C46" s="3476" t="s">
        <v>3503</v>
      </c>
      <c r="D46" s="3479">
        <v>85.89</v>
      </c>
      <c r="E46" s="3485">
        <v>69.25</v>
      </c>
      <c r="F46" s="3486">
        <v>16.63</v>
      </c>
      <c r="G46" s="3485" t="s">
        <v>3492</v>
      </c>
      <c r="H46" s="3485" t="s">
        <v>3418</v>
      </c>
      <c r="I46" s="3485">
        <v>16.64</v>
      </c>
      <c r="J46" s="3484" t="s">
        <v>3396</v>
      </c>
      <c r="K46" s="3473">
        <v>9</v>
      </c>
      <c r="L46" s="3473" t="s">
        <v>3846</v>
      </c>
    </row>
    <row r="47" spans="1:12" ht="20.100000000000001" customHeight="1">
      <c r="A47" s="3474">
        <v>46</v>
      </c>
      <c r="B47" s="3476" t="s">
        <v>3504</v>
      </c>
      <c r="C47" s="3476" t="s">
        <v>3505</v>
      </c>
      <c r="D47" s="3479">
        <v>81.99</v>
      </c>
      <c r="E47" s="3485">
        <v>66.099999999999994</v>
      </c>
      <c r="F47" s="3486">
        <v>15.88</v>
      </c>
      <c r="G47" s="3485" t="s">
        <v>3497</v>
      </c>
      <c r="H47" s="3485" t="s">
        <v>3414</v>
      </c>
      <c r="I47" s="3485">
        <v>15.89</v>
      </c>
      <c r="J47" s="3484" t="s">
        <v>3396</v>
      </c>
      <c r="K47" s="3473">
        <v>9</v>
      </c>
      <c r="L47" s="3473" t="s">
        <v>3846</v>
      </c>
    </row>
    <row r="48" spans="1:12" ht="20.100000000000001" customHeight="1">
      <c r="A48" s="3474">
        <v>47</v>
      </c>
      <c r="B48" s="3476" t="s">
        <v>3506</v>
      </c>
      <c r="C48" s="3476" t="s">
        <v>3507</v>
      </c>
      <c r="D48" s="3479">
        <v>85.89</v>
      </c>
      <c r="E48" s="3485">
        <v>69.25</v>
      </c>
      <c r="F48" s="3486">
        <v>16.63</v>
      </c>
      <c r="G48" s="3485" t="s">
        <v>3492</v>
      </c>
      <c r="H48" s="3485" t="s">
        <v>3418</v>
      </c>
      <c r="I48" s="3485">
        <v>16.64</v>
      </c>
      <c r="J48" s="3484" t="s">
        <v>3396</v>
      </c>
      <c r="K48" s="3473">
        <v>9</v>
      </c>
      <c r="L48" s="3473" t="s">
        <v>3846</v>
      </c>
    </row>
    <row r="49" spans="1:12" ht="20.100000000000001" customHeight="1">
      <c r="A49" s="3474">
        <v>48</v>
      </c>
      <c r="B49" s="3476" t="s">
        <v>3508</v>
      </c>
      <c r="C49" s="3476" t="s">
        <v>3509</v>
      </c>
      <c r="D49" s="3479">
        <v>81.99</v>
      </c>
      <c r="E49" s="3485">
        <v>66.099999999999994</v>
      </c>
      <c r="F49" s="3486">
        <v>15.88</v>
      </c>
      <c r="G49" s="3485" t="s">
        <v>3497</v>
      </c>
      <c r="H49" s="3485" t="s">
        <v>3414</v>
      </c>
      <c r="I49" s="3485">
        <v>15.89</v>
      </c>
      <c r="J49" s="3484" t="s">
        <v>3396</v>
      </c>
      <c r="K49" s="3473">
        <v>9</v>
      </c>
      <c r="L49" s="3473" t="s">
        <v>3846</v>
      </c>
    </row>
    <row r="50" spans="1:12" ht="20.100000000000001" customHeight="1">
      <c r="A50" s="3474">
        <v>49</v>
      </c>
      <c r="B50" s="3476" t="s">
        <v>3510</v>
      </c>
      <c r="C50" s="3476" t="s">
        <v>3511</v>
      </c>
      <c r="D50" s="3479">
        <v>85.89</v>
      </c>
      <c r="E50" s="3485">
        <v>69.25</v>
      </c>
      <c r="F50" s="3486">
        <v>16.63</v>
      </c>
      <c r="G50" s="3485" t="s">
        <v>3492</v>
      </c>
      <c r="H50" s="3485" t="s">
        <v>3418</v>
      </c>
      <c r="I50" s="3485">
        <v>16.64</v>
      </c>
      <c r="J50" s="3484" t="s">
        <v>3396</v>
      </c>
      <c r="K50" s="3473">
        <v>9</v>
      </c>
      <c r="L50" s="3473" t="s">
        <v>3846</v>
      </c>
    </row>
    <row r="51" spans="1:12" ht="20.100000000000001" customHeight="1">
      <c r="A51" s="3474">
        <v>50</v>
      </c>
      <c r="B51" s="3476" t="s">
        <v>3512</v>
      </c>
      <c r="C51" s="3476" t="s">
        <v>3513</v>
      </c>
      <c r="D51" s="3479">
        <v>85.89</v>
      </c>
      <c r="E51" s="3485">
        <v>69.25</v>
      </c>
      <c r="F51" s="3486">
        <v>16.63</v>
      </c>
      <c r="G51" s="3485" t="s">
        <v>3492</v>
      </c>
      <c r="H51" s="3485" t="s">
        <v>3418</v>
      </c>
      <c r="I51" s="3485">
        <v>16.64</v>
      </c>
      <c r="J51" s="3484" t="s">
        <v>3396</v>
      </c>
      <c r="K51" s="3473">
        <v>9</v>
      </c>
      <c r="L51" s="3473" t="s">
        <v>3847</v>
      </c>
    </row>
    <row r="52" spans="1:12" ht="20.100000000000001" customHeight="1">
      <c r="A52" s="3474">
        <v>51</v>
      </c>
      <c r="B52" s="3476" t="s">
        <v>3514</v>
      </c>
      <c r="C52" s="3476" t="s">
        <v>3515</v>
      </c>
      <c r="D52" s="3479">
        <v>85.89</v>
      </c>
      <c r="E52" s="3485">
        <v>69.25</v>
      </c>
      <c r="F52" s="3486">
        <v>16.63</v>
      </c>
      <c r="G52" s="3485" t="s">
        <v>3492</v>
      </c>
      <c r="H52" s="3485" t="s">
        <v>3418</v>
      </c>
      <c r="I52" s="3485">
        <v>16.64</v>
      </c>
      <c r="J52" s="3484" t="s">
        <v>3396</v>
      </c>
      <c r="K52" s="3473">
        <v>9</v>
      </c>
      <c r="L52" s="3473" t="s">
        <v>3847</v>
      </c>
    </row>
    <row r="53" spans="1:12" ht="20.100000000000001" customHeight="1">
      <c r="A53" s="3474">
        <v>52</v>
      </c>
      <c r="B53" s="3476" t="s">
        <v>3516</v>
      </c>
      <c r="C53" s="3476" t="s">
        <v>3517</v>
      </c>
      <c r="D53" s="3479">
        <v>81.99</v>
      </c>
      <c r="E53" s="3485">
        <v>66.099999999999994</v>
      </c>
      <c r="F53" s="3486">
        <v>15.88</v>
      </c>
      <c r="G53" s="3485" t="s">
        <v>3497</v>
      </c>
      <c r="H53" s="3485" t="s">
        <v>3414</v>
      </c>
      <c r="I53" s="3485">
        <v>15.89</v>
      </c>
      <c r="J53" s="3484" t="s">
        <v>3396</v>
      </c>
      <c r="K53" s="3473">
        <v>9</v>
      </c>
      <c r="L53" s="3473" t="s">
        <v>3847</v>
      </c>
    </row>
    <row r="54" spans="1:12" ht="20.100000000000001" customHeight="1">
      <c r="A54" s="3474">
        <v>53</v>
      </c>
      <c r="B54" s="3476" t="s">
        <v>3518</v>
      </c>
      <c r="C54" s="3476" t="s">
        <v>3519</v>
      </c>
      <c r="D54" s="3479">
        <v>85.89</v>
      </c>
      <c r="E54" s="3485">
        <v>69.25</v>
      </c>
      <c r="F54" s="3486">
        <v>16.63</v>
      </c>
      <c r="G54" s="3485" t="s">
        <v>3492</v>
      </c>
      <c r="H54" s="3485" t="s">
        <v>3418</v>
      </c>
      <c r="I54" s="3485">
        <v>16.64</v>
      </c>
      <c r="J54" s="3484" t="s">
        <v>3396</v>
      </c>
      <c r="K54" s="3473">
        <v>9</v>
      </c>
      <c r="L54" s="3473" t="s">
        <v>3848</v>
      </c>
    </row>
    <row r="55" spans="1:12" ht="20.100000000000001" customHeight="1">
      <c r="A55" s="3474">
        <v>54</v>
      </c>
      <c r="B55" s="3476" t="s">
        <v>3520</v>
      </c>
      <c r="C55" s="3476" t="s">
        <v>3521</v>
      </c>
      <c r="D55" s="3479">
        <v>85.89</v>
      </c>
      <c r="E55" s="3485">
        <v>69.25</v>
      </c>
      <c r="F55" s="3486">
        <v>16.63</v>
      </c>
      <c r="G55" s="3485" t="s">
        <v>3492</v>
      </c>
      <c r="H55" s="3485" t="s">
        <v>3418</v>
      </c>
      <c r="I55" s="3485">
        <v>16.64</v>
      </c>
      <c r="J55" s="3484" t="s">
        <v>3396</v>
      </c>
      <c r="K55" s="3473">
        <v>9</v>
      </c>
      <c r="L55" s="3480" t="s">
        <v>4105</v>
      </c>
    </row>
    <row r="56" spans="1:12" ht="20.100000000000001" customHeight="1">
      <c r="A56" s="3474">
        <v>55</v>
      </c>
      <c r="B56" s="3476" t="s">
        <v>3522</v>
      </c>
      <c r="C56" s="3476" t="s">
        <v>3523</v>
      </c>
      <c r="D56" s="3479">
        <v>81.99</v>
      </c>
      <c r="E56" s="3485">
        <v>66.099999999999994</v>
      </c>
      <c r="F56" s="3486">
        <v>15.88</v>
      </c>
      <c r="G56" s="3485" t="s">
        <v>3497</v>
      </c>
      <c r="H56" s="3485" t="s">
        <v>3414</v>
      </c>
      <c r="I56" s="3485">
        <v>15.89</v>
      </c>
      <c r="J56" s="3484" t="s">
        <v>3396</v>
      </c>
      <c r="K56" s="3473">
        <v>9</v>
      </c>
      <c r="L56" s="3473" t="s">
        <v>3844</v>
      </c>
    </row>
    <row r="57" spans="1:12" ht="20.100000000000001" customHeight="1">
      <c r="A57" s="3474">
        <v>56</v>
      </c>
      <c r="B57" s="3476" t="s">
        <v>3524</v>
      </c>
      <c r="C57" s="3476" t="s">
        <v>3525</v>
      </c>
      <c r="D57" s="3479">
        <v>85.89</v>
      </c>
      <c r="E57" s="3485">
        <v>69.25</v>
      </c>
      <c r="F57" s="3486">
        <v>16.63</v>
      </c>
      <c r="G57" s="3485" t="s">
        <v>3492</v>
      </c>
      <c r="H57" s="3485" t="s">
        <v>3418</v>
      </c>
      <c r="I57" s="3485">
        <v>16.64</v>
      </c>
      <c r="J57" s="3484" t="s">
        <v>3396</v>
      </c>
      <c r="K57" s="3473">
        <v>9</v>
      </c>
      <c r="L57" s="3473" t="s">
        <v>3844</v>
      </c>
    </row>
    <row r="58" spans="1:12" ht="20.100000000000001" customHeight="1">
      <c r="A58" s="3474">
        <v>57</v>
      </c>
      <c r="B58" s="3476" t="s">
        <v>3526</v>
      </c>
      <c r="C58" s="3476" t="s">
        <v>3527</v>
      </c>
      <c r="D58" s="3479">
        <v>81.99</v>
      </c>
      <c r="E58" s="3485">
        <v>66.099999999999994</v>
      </c>
      <c r="F58" s="3486">
        <v>15.88</v>
      </c>
      <c r="G58" s="3485" t="s">
        <v>3497</v>
      </c>
      <c r="H58" s="3485" t="s">
        <v>3414</v>
      </c>
      <c r="I58" s="3485">
        <v>15.89</v>
      </c>
      <c r="J58" s="3484" t="s">
        <v>3396</v>
      </c>
      <c r="K58" s="3473">
        <v>9</v>
      </c>
      <c r="L58" s="3473" t="s">
        <v>3844</v>
      </c>
    </row>
    <row r="59" spans="1:12" ht="20.100000000000001" customHeight="1">
      <c r="A59" s="3474">
        <v>58</v>
      </c>
      <c r="B59" s="3476" t="s">
        <v>3528</v>
      </c>
      <c r="C59" s="3476" t="s">
        <v>3529</v>
      </c>
      <c r="D59" s="3479">
        <v>85.89</v>
      </c>
      <c r="E59" s="3485">
        <v>69.25</v>
      </c>
      <c r="F59" s="3486">
        <v>16.63</v>
      </c>
      <c r="G59" s="3485" t="s">
        <v>3492</v>
      </c>
      <c r="H59" s="3485" t="s">
        <v>3418</v>
      </c>
      <c r="I59" s="3485">
        <v>16.64</v>
      </c>
      <c r="J59" s="3484" t="s">
        <v>3396</v>
      </c>
      <c r="K59" s="3473">
        <v>9</v>
      </c>
      <c r="L59" s="3473" t="s">
        <v>3844</v>
      </c>
    </row>
    <row r="60" spans="1:12" ht="20.100000000000001" customHeight="1">
      <c r="A60" s="3474">
        <v>59</v>
      </c>
      <c r="B60" s="3476" t="s">
        <v>3530</v>
      </c>
      <c r="C60" s="3476" t="s">
        <v>3531</v>
      </c>
      <c r="D60" s="3479">
        <v>81.99</v>
      </c>
      <c r="E60" s="3485">
        <v>66.099999999999994</v>
      </c>
      <c r="F60" s="3486">
        <v>15.88</v>
      </c>
      <c r="G60" s="3485" t="s">
        <v>3497</v>
      </c>
      <c r="H60" s="3485" t="s">
        <v>3414</v>
      </c>
      <c r="I60" s="3485">
        <v>15.89</v>
      </c>
      <c r="J60" s="3484" t="s">
        <v>3396</v>
      </c>
      <c r="K60" s="3473">
        <v>9</v>
      </c>
      <c r="L60" s="3473" t="s">
        <v>3846</v>
      </c>
    </row>
    <row r="61" spans="1:12" ht="20.100000000000001" customHeight="1">
      <c r="A61" s="3474">
        <v>60</v>
      </c>
      <c r="B61" s="3476" t="s">
        <v>3532</v>
      </c>
      <c r="C61" s="3476" t="s">
        <v>3533</v>
      </c>
      <c r="D61" s="3479">
        <v>85.89</v>
      </c>
      <c r="E61" s="3485">
        <v>69.25</v>
      </c>
      <c r="F61" s="3486">
        <v>16.63</v>
      </c>
      <c r="G61" s="3485" t="s">
        <v>3492</v>
      </c>
      <c r="H61" s="3485" t="s">
        <v>3418</v>
      </c>
      <c r="I61" s="3485">
        <v>16.64</v>
      </c>
      <c r="J61" s="3484" t="s">
        <v>3396</v>
      </c>
      <c r="K61" s="3473">
        <v>9</v>
      </c>
      <c r="L61" s="3473" t="s">
        <v>3846</v>
      </c>
    </row>
    <row r="62" spans="1:12" ht="20.100000000000001" customHeight="1">
      <c r="A62" s="3474">
        <v>61</v>
      </c>
      <c r="B62" s="3476" t="s">
        <v>3534</v>
      </c>
      <c r="C62" s="3476" t="s">
        <v>3535</v>
      </c>
      <c r="D62" s="3479">
        <v>85.89</v>
      </c>
      <c r="E62" s="3485">
        <v>69.25</v>
      </c>
      <c r="F62" s="3486">
        <v>16.63</v>
      </c>
      <c r="G62" s="3485" t="s">
        <v>3492</v>
      </c>
      <c r="H62" s="3485" t="s">
        <v>3418</v>
      </c>
      <c r="I62" s="3485">
        <v>16.64</v>
      </c>
      <c r="J62" s="3484" t="s">
        <v>3396</v>
      </c>
      <c r="K62" s="3473">
        <v>9</v>
      </c>
      <c r="L62" s="3473" t="s">
        <v>3846</v>
      </c>
    </row>
    <row r="63" spans="1:12" ht="20.100000000000001" customHeight="1">
      <c r="A63" s="3474">
        <v>62</v>
      </c>
      <c r="B63" s="3476" t="s">
        <v>3536</v>
      </c>
      <c r="C63" s="3476" t="s">
        <v>3537</v>
      </c>
      <c r="D63" s="3479">
        <v>85.89</v>
      </c>
      <c r="E63" s="3485">
        <v>69.25</v>
      </c>
      <c r="F63" s="3486">
        <v>16.63</v>
      </c>
      <c r="G63" s="3485" t="s">
        <v>3492</v>
      </c>
      <c r="H63" s="3485" t="s">
        <v>3418</v>
      </c>
      <c r="I63" s="3485">
        <v>16.64</v>
      </c>
      <c r="J63" s="3484" t="s">
        <v>3396</v>
      </c>
      <c r="K63" s="3473">
        <v>9</v>
      </c>
      <c r="L63" s="3473" t="s">
        <v>3846</v>
      </c>
    </row>
    <row r="64" spans="1:12" ht="20.100000000000001" customHeight="1">
      <c r="A64" s="3474">
        <v>63</v>
      </c>
      <c r="B64" s="3476" t="s">
        <v>3538</v>
      </c>
      <c r="C64" s="3476" t="s">
        <v>3539</v>
      </c>
      <c r="D64" s="3479">
        <v>85.89</v>
      </c>
      <c r="E64" s="3485">
        <v>69.25</v>
      </c>
      <c r="F64" s="3486">
        <v>16.63</v>
      </c>
      <c r="G64" s="3485" t="s">
        <v>3492</v>
      </c>
      <c r="H64" s="3485" t="s">
        <v>3418</v>
      </c>
      <c r="I64" s="3485">
        <v>16.64</v>
      </c>
      <c r="J64" s="3484" t="s">
        <v>3396</v>
      </c>
      <c r="K64" s="3473">
        <v>9</v>
      </c>
      <c r="L64" s="3473" t="s">
        <v>3847</v>
      </c>
    </row>
    <row r="65" spans="1:12" ht="20.100000000000001" customHeight="1">
      <c r="A65" s="3474">
        <v>64</v>
      </c>
      <c r="B65" s="3476" t="s">
        <v>3540</v>
      </c>
      <c r="C65" s="3476" t="s">
        <v>3541</v>
      </c>
      <c r="D65" s="3479">
        <v>85.89</v>
      </c>
      <c r="E65" s="3485">
        <v>69.25</v>
      </c>
      <c r="F65" s="3486">
        <v>16.63</v>
      </c>
      <c r="G65" s="3485" t="s">
        <v>3492</v>
      </c>
      <c r="H65" s="3485" t="s">
        <v>3418</v>
      </c>
      <c r="I65" s="3485">
        <v>16.64</v>
      </c>
      <c r="J65" s="3484" t="s">
        <v>3396</v>
      </c>
      <c r="K65" s="3473">
        <v>9</v>
      </c>
      <c r="L65" s="3473" t="s">
        <v>3847</v>
      </c>
    </row>
    <row r="66" spans="1:12" ht="20.100000000000001" customHeight="1">
      <c r="A66" s="3474">
        <v>65</v>
      </c>
      <c r="B66" s="3476" t="s">
        <v>3542</v>
      </c>
      <c r="C66" s="3476" t="s">
        <v>3543</v>
      </c>
      <c r="D66" s="3479">
        <v>85.89</v>
      </c>
      <c r="E66" s="3485">
        <v>69.25</v>
      </c>
      <c r="F66" s="3486">
        <v>16.63</v>
      </c>
      <c r="G66" s="3485" t="s">
        <v>3492</v>
      </c>
      <c r="H66" s="3485" t="s">
        <v>3418</v>
      </c>
      <c r="I66" s="3485">
        <v>16.64</v>
      </c>
      <c r="J66" s="3484" t="s">
        <v>3396</v>
      </c>
      <c r="K66" s="3473">
        <v>9</v>
      </c>
      <c r="L66" s="3473" t="s">
        <v>3848</v>
      </c>
    </row>
    <row r="67" spans="1:12" ht="20.100000000000001" customHeight="1">
      <c r="A67" s="3474">
        <v>66</v>
      </c>
      <c r="B67" s="3476" t="s">
        <v>3544</v>
      </c>
      <c r="C67" s="3476" t="s">
        <v>3545</v>
      </c>
      <c r="D67" s="3479">
        <v>87.26</v>
      </c>
      <c r="E67" s="3485">
        <v>69.25</v>
      </c>
      <c r="F67" s="3486">
        <v>17.989999999999998</v>
      </c>
      <c r="G67" s="3485" t="s">
        <v>3546</v>
      </c>
      <c r="H67" s="3485" t="s">
        <v>3418</v>
      </c>
      <c r="I67" s="3485">
        <v>18.010000000000002</v>
      </c>
      <c r="J67" s="3484" t="s">
        <v>3396</v>
      </c>
      <c r="K67" s="3473">
        <v>10</v>
      </c>
      <c r="L67" s="3473" t="s">
        <v>3844</v>
      </c>
    </row>
    <row r="68" spans="1:12" ht="20.100000000000001" customHeight="1">
      <c r="A68" s="3474">
        <v>67</v>
      </c>
      <c r="B68" s="3476" t="s">
        <v>3547</v>
      </c>
      <c r="C68" s="3476" t="s">
        <v>3548</v>
      </c>
      <c r="D68" s="3479">
        <v>87.26</v>
      </c>
      <c r="E68" s="3485">
        <v>69.25</v>
      </c>
      <c r="F68" s="3486">
        <v>17.989999999999998</v>
      </c>
      <c r="G68" s="3485" t="s">
        <v>3546</v>
      </c>
      <c r="H68" s="3485" t="s">
        <v>3418</v>
      </c>
      <c r="I68" s="3485">
        <v>18.010000000000002</v>
      </c>
      <c r="J68" s="3484" t="s">
        <v>3396</v>
      </c>
      <c r="K68" s="3473">
        <v>10</v>
      </c>
      <c r="L68" s="3473" t="s">
        <v>3846</v>
      </c>
    </row>
    <row r="69" spans="1:12" ht="20.100000000000001" customHeight="1">
      <c r="A69" s="3474">
        <v>68</v>
      </c>
      <c r="B69" s="3476" t="s">
        <v>3549</v>
      </c>
      <c r="C69" s="3476" t="s">
        <v>3550</v>
      </c>
      <c r="D69" s="3479">
        <v>83.29</v>
      </c>
      <c r="E69" s="3485">
        <v>66.099999999999994</v>
      </c>
      <c r="F69" s="3486">
        <v>17.170000000000002</v>
      </c>
      <c r="G69" s="3485" t="s">
        <v>3551</v>
      </c>
      <c r="H69" s="3485" t="s">
        <v>3414</v>
      </c>
      <c r="I69" s="3485">
        <v>17.190000000000001</v>
      </c>
      <c r="J69" s="3484" t="s">
        <v>3396</v>
      </c>
      <c r="K69" s="3473">
        <v>10</v>
      </c>
      <c r="L69" s="3473" t="s">
        <v>3846</v>
      </c>
    </row>
    <row r="70" spans="1:12" ht="20.100000000000001" customHeight="1">
      <c r="A70" s="3474">
        <v>69</v>
      </c>
      <c r="B70" s="3476" t="s">
        <v>3552</v>
      </c>
      <c r="C70" s="3476" t="s">
        <v>3553</v>
      </c>
      <c r="D70" s="3479">
        <v>87.26</v>
      </c>
      <c r="E70" s="3485">
        <v>69.25</v>
      </c>
      <c r="F70" s="3486">
        <v>17.989999999999998</v>
      </c>
      <c r="G70" s="3485" t="s">
        <v>3546</v>
      </c>
      <c r="H70" s="3485" t="s">
        <v>3418</v>
      </c>
      <c r="I70" s="3485">
        <v>18.010000000000002</v>
      </c>
      <c r="J70" s="3484" t="s">
        <v>3396</v>
      </c>
      <c r="K70" s="3473">
        <v>10</v>
      </c>
      <c r="L70" s="3473" t="s">
        <v>3846</v>
      </c>
    </row>
    <row r="71" spans="1:12" ht="20.100000000000001" customHeight="1">
      <c r="A71" s="3474">
        <v>70</v>
      </c>
      <c r="B71" s="3476" t="s">
        <v>3554</v>
      </c>
      <c r="C71" s="3476" t="s">
        <v>3555</v>
      </c>
      <c r="D71" s="3479">
        <v>83.29</v>
      </c>
      <c r="E71" s="3485">
        <v>66.099999999999994</v>
      </c>
      <c r="F71" s="3486">
        <v>17.170000000000002</v>
      </c>
      <c r="G71" s="3485" t="s">
        <v>3551</v>
      </c>
      <c r="H71" s="3485" t="s">
        <v>3414</v>
      </c>
      <c r="I71" s="3485">
        <v>17.190000000000001</v>
      </c>
      <c r="J71" s="3484" t="s">
        <v>3396</v>
      </c>
      <c r="K71" s="3473">
        <v>10</v>
      </c>
      <c r="L71" s="3473" t="s">
        <v>3846</v>
      </c>
    </row>
    <row r="72" spans="1:12" ht="20.100000000000001" customHeight="1">
      <c r="A72" s="3474">
        <v>71</v>
      </c>
      <c r="B72" s="3476" t="s">
        <v>3556</v>
      </c>
      <c r="C72" s="3476" t="s">
        <v>3557</v>
      </c>
      <c r="D72" s="3479">
        <v>87.26</v>
      </c>
      <c r="E72" s="3485">
        <v>69.25</v>
      </c>
      <c r="F72" s="3486">
        <v>17.989999999999998</v>
      </c>
      <c r="G72" s="3485" t="s">
        <v>3546</v>
      </c>
      <c r="H72" s="3485" t="s">
        <v>3418</v>
      </c>
      <c r="I72" s="3485">
        <v>18.010000000000002</v>
      </c>
      <c r="J72" s="3484" t="s">
        <v>3396</v>
      </c>
      <c r="K72" s="3473">
        <v>10</v>
      </c>
      <c r="L72" s="3473" t="s">
        <v>3846</v>
      </c>
    </row>
    <row r="73" spans="1:12" ht="20.100000000000001" customHeight="1">
      <c r="A73" s="3474">
        <v>72</v>
      </c>
      <c r="B73" s="3476" t="s">
        <v>3558</v>
      </c>
      <c r="C73" s="3476" t="s">
        <v>3559</v>
      </c>
      <c r="D73" s="3479">
        <v>87.26</v>
      </c>
      <c r="E73" s="3485">
        <v>69.25</v>
      </c>
      <c r="F73" s="3486">
        <v>17.989999999999998</v>
      </c>
      <c r="G73" s="3485" t="s">
        <v>3546</v>
      </c>
      <c r="H73" s="3485" t="s">
        <v>3418</v>
      </c>
      <c r="I73" s="3485">
        <v>18.010000000000002</v>
      </c>
      <c r="J73" s="3484" t="s">
        <v>3396</v>
      </c>
      <c r="K73" s="3473">
        <v>10</v>
      </c>
      <c r="L73" s="3473" t="s">
        <v>3847</v>
      </c>
    </row>
    <row r="74" spans="1:12" ht="20.100000000000001" customHeight="1">
      <c r="A74" s="3474">
        <v>73</v>
      </c>
      <c r="B74" s="3476" t="s">
        <v>3560</v>
      </c>
      <c r="C74" s="3476" t="s">
        <v>3561</v>
      </c>
      <c r="D74" s="3479">
        <v>87.26</v>
      </c>
      <c r="E74" s="3485">
        <v>69.25</v>
      </c>
      <c r="F74" s="3486">
        <v>17.989999999999998</v>
      </c>
      <c r="G74" s="3485" t="s">
        <v>3546</v>
      </c>
      <c r="H74" s="3485" t="s">
        <v>3418</v>
      </c>
      <c r="I74" s="3485">
        <v>18.010000000000002</v>
      </c>
      <c r="J74" s="3484" t="s">
        <v>3396</v>
      </c>
      <c r="K74" s="3473">
        <v>10</v>
      </c>
      <c r="L74" s="3473" t="s">
        <v>3847</v>
      </c>
    </row>
    <row r="75" spans="1:12" ht="20.100000000000001" customHeight="1">
      <c r="A75" s="3474">
        <v>74</v>
      </c>
      <c r="B75" s="3476" t="s">
        <v>3562</v>
      </c>
      <c r="C75" s="3476" t="s">
        <v>3563</v>
      </c>
      <c r="D75" s="3479">
        <v>83.29</v>
      </c>
      <c r="E75" s="3485">
        <v>66.099999999999994</v>
      </c>
      <c r="F75" s="3486">
        <v>17.170000000000002</v>
      </c>
      <c r="G75" s="3485" t="s">
        <v>3551</v>
      </c>
      <c r="H75" s="3485" t="s">
        <v>3414</v>
      </c>
      <c r="I75" s="3485">
        <v>17.190000000000001</v>
      </c>
      <c r="J75" s="3484" t="s">
        <v>3396</v>
      </c>
      <c r="K75" s="3473">
        <v>10</v>
      </c>
      <c r="L75" s="3473" t="s">
        <v>3847</v>
      </c>
    </row>
    <row r="76" spans="1:12" ht="20.100000000000001" customHeight="1">
      <c r="A76" s="3474">
        <v>75</v>
      </c>
      <c r="B76" s="3476" t="s">
        <v>3564</v>
      </c>
      <c r="C76" s="3476" t="s">
        <v>3565</v>
      </c>
      <c r="D76" s="3479">
        <v>87.26</v>
      </c>
      <c r="E76" s="3485">
        <v>69.25</v>
      </c>
      <c r="F76" s="3486">
        <v>17.989999999999998</v>
      </c>
      <c r="G76" s="3485" t="s">
        <v>3546</v>
      </c>
      <c r="H76" s="3485" t="s">
        <v>3418</v>
      </c>
      <c r="I76" s="3485">
        <v>18.010000000000002</v>
      </c>
      <c r="J76" s="3484" t="s">
        <v>3396</v>
      </c>
      <c r="K76" s="3473">
        <v>10</v>
      </c>
      <c r="L76" s="3473" t="s">
        <v>3847</v>
      </c>
    </row>
    <row r="77" spans="1:12" ht="20.100000000000001" customHeight="1">
      <c r="A77" s="3474">
        <v>76</v>
      </c>
      <c r="B77" s="3476" t="s">
        <v>3566</v>
      </c>
      <c r="C77" s="3476" t="s">
        <v>3567</v>
      </c>
      <c r="D77" s="3479">
        <v>87.26</v>
      </c>
      <c r="E77" s="3485">
        <v>69.25</v>
      </c>
      <c r="F77" s="3486">
        <v>17.989999999999998</v>
      </c>
      <c r="G77" s="3485" t="s">
        <v>3546</v>
      </c>
      <c r="H77" s="3485" t="s">
        <v>3418</v>
      </c>
      <c r="I77" s="3485">
        <v>18.010000000000002</v>
      </c>
      <c r="J77" s="3484" t="s">
        <v>3396</v>
      </c>
      <c r="K77" s="3473">
        <v>10</v>
      </c>
      <c r="L77" s="3473" t="s">
        <v>3848</v>
      </c>
    </row>
    <row r="78" spans="1:12" ht="20.100000000000001" customHeight="1">
      <c r="A78" s="3474">
        <v>77</v>
      </c>
      <c r="B78" s="3476" t="s">
        <v>3568</v>
      </c>
      <c r="C78" s="3476" t="s">
        <v>3569</v>
      </c>
      <c r="D78" s="3479">
        <v>83.29</v>
      </c>
      <c r="E78" s="3485">
        <v>66.099999999999994</v>
      </c>
      <c r="F78" s="3486">
        <v>17.170000000000002</v>
      </c>
      <c r="G78" s="3485" t="s">
        <v>3551</v>
      </c>
      <c r="H78" s="3485" t="s">
        <v>3414</v>
      </c>
      <c r="I78" s="3485">
        <v>17.190000000000001</v>
      </c>
      <c r="J78" s="3484" t="s">
        <v>3396</v>
      </c>
      <c r="K78" s="3473">
        <v>10</v>
      </c>
      <c r="L78" s="3473" t="s">
        <v>3848</v>
      </c>
    </row>
    <row r="79" spans="1:12" ht="20.100000000000001" customHeight="1">
      <c r="A79" s="3474">
        <v>78</v>
      </c>
      <c r="B79" s="3476" t="s">
        <v>3570</v>
      </c>
      <c r="C79" s="3476" t="s">
        <v>3571</v>
      </c>
      <c r="D79" s="3479">
        <v>87.26</v>
      </c>
      <c r="E79" s="3485">
        <v>69.25</v>
      </c>
      <c r="F79" s="3486">
        <v>17.989999999999998</v>
      </c>
      <c r="G79" s="3485" t="s">
        <v>3546</v>
      </c>
      <c r="H79" s="3485" t="s">
        <v>3418</v>
      </c>
      <c r="I79" s="3485">
        <v>18.010000000000002</v>
      </c>
      <c r="J79" s="3484" t="s">
        <v>3396</v>
      </c>
      <c r="K79" s="3473">
        <v>10</v>
      </c>
      <c r="L79" s="3473" t="s">
        <v>3844</v>
      </c>
    </row>
    <row r="80" spans="1:12" ht="20.100000000000001" customHeight="1">
      <c r="A80" s="3474">
        <v>79</v>
      </c>
      <c r="B80" s="3476" t="s">
        <v>3572</v>
      </c>
      <c r="C80" s="3476" t="s">
        <v>3573</v>
      </c>
      <c r="D80" s="3479">
        <v>87.26</v>
      </c>
      <c r="E80" s="3485">
        <v>69.25</v>
      </c>
      <c r="F80" s="3486">
        <v>17.989999999999998</v>
      </c>
      <c r="G80" s="3485" t="s">
        <v>3546</v>
      </c>
      <c r="H80" s="3485" t="s">
        <v>3418</v>
      </c>
      <c r="I80" s="3485">
        <v>18.010000000000002</v>
      </c>
      <c r="J80" s="3484" t="s">
        <v>3396</v>
      </c>
      <c r="K80" s="3473">
        <v>10</v>
      </c>
      <c r="L80" s="3473" t="s">
        <v>3844</v>
      </c>
    </row>
    <row r="81" spans="1:12" ht="20.100000000000001" customHeight="1">
      <c r="A81" s="3474">
        <v>80</v>
      </c>
      <c r="B81" s="3476" t="s">
        <v>3574</v>
      </c>
      <c r="C81" s="3476" t="s">
        <v>3575</v>
      </c>
      <c r="D81" s="3479">
        <v>87.26</v>
      </c>
      <c r="E81" s="3485">
        <v>69.25</v>
      </c>
      <c r="F81" s="3486">
        <v>17.989999999999998</v>
      </c>
      <c r="G81" s="3485" t="s">
        <v>3546</v>
      </c>
      <c r="H81" s="3485" t="s">
        <v>3418</v>
      </c>
      <c r="I81" s="3485">
        <v>18.010000000000002</v>
      </c>
      <c r="J81" s="3484" t="s">
        <v>3396</v>
      </c>
      <c r="K81" s="3473">
        <v>10</v>
      </c>
      <c r="L81" s="3473" t="s">
        <v>3846</v>
      </c>
    </row>
    <row r="82" spans="1:12" ht="20.100000000000001" customHeight="1">
      <c r="A82" s="3474">
        <v>81</v>
      </c>
      <c r="B82" s="3476" t="s">
        <v>3576</v>
      </c>
      <c r="C82" s="3476" t="s">
        <v>3577</v>
      </c>
      <c r="D82" s="3479">
        <v>87.26</v>
      </c>
      <c r="E82" s="3485">
        <v>69.25</v>
      </c>
      <c r="F82" s="3486">
        <v>17.989999999999998</v>
      </c>
      <c r="G82" s="3485" t="s">
        <v>3546</v>
      </c>
      <c r="H82" s="3485" t="s">
        <v>3418</v>
      </c>
      <c r="I82" s="3485">
        <v>18.010000000000002</v>
      </c>
      <c r="J82" s="3484" t="s">
        <v>3396</v>
      </c>
      <c r="K82" s="3473">
        <v>10</v>
      </c>
      <c r="L82" s="3473" t="s">
        <v>3847</v>
      </c>
    </row>
    <row r="83" spans="1:12" ht="20.100000000000001" customHeight="1">
      <c r="A83" s="3474">
        <v>82</v>
      </c>
      <c r="B83" s="3475" t="s">
        <v>3578</v>
      </c>
      <c r="C83" s="3476" t="s">
        <v>3579</v>
      </c>
      <c r="D83" s="3475">
        <v>87.15</v>
      </c>
      <c r="E83" s="3487">
        <v>69.3</v>
      </c>
      <c r="F83" s="3486">
        <v>17.84</v>
      </c>
      <c r="G83" s="3485" t="s">
        <v>3580</v>
      </c>
      <c r="H83" s="3485" t="s">
        <v>3402</v>
      </c>
      <c r="I83" s="3485">
        <v>17.850000000000001</v>
      </c>
      <c r="J83" s="3484" t="s">
        <v>3396</v>
      </c>
      <c r="K83" s="3473">
        <v>11</v>
      </c>
      <c r="L83" s="3480" t="s">
        <v>4105</v>
      </c>
    </row>
    <row r="84" spans="1:12" ht="20.100000000000001" customHeight="1">
      <c r="A84" s="3474">
        <v>83</v>
      </c>
      <c r="B84" s="3475" t="s">
        <v>3581</v>
      </c>
      <c r="C84" s="3476" t="s">
        <v>3582</v>
      </c>
      <c r="D84" s="3475">
        <v>73.41</v>
      </c>
      <c r="E84" s="3487">
        <v>58.37</v>
      </c>
      <c r="F84" s="3486">
        <v>15.03</v>
      </c>
      <c r="G84" s="3485" t="s">
        <v>3583</v>
      </c>
      <c r="H84" s="3485" t="s">
        <v>3584</v>
      </c>
      <c r="I84" s="3485">
        <v>15.04</v>
      </c>
      <c r="J84" s="3484" t="s">
        <v>3396</v>
      </c>
      <c r="K84" s="3473">
        <v>11</v>
      </c>
      <c r="L84" s="3480" t="s">
        <v>4105</v>
      </c>
    </row>
    <row r="85" spans="1:12" ht="20.100000000000001" customHeight="1">
      <c r="A85" s="3474">
        <v>84</v>
      </c>
      <c r="B85" s="3475" t="s">
        <v>3585</v>
      </c>
      <c r="C85" s="3476" t="s">
        <v>3586</v>
      </c>
      <c r="D85" s="3475">
        <v>87.15</v>
      </c>
      <c r="E85" s="3487">
        <v>69.3</v>
      </c>
      <c r="F85" s="3486">
        <v>17.84</v>
      </c>
      <c r="G85" s="3485" t="s">
        <v>3580</v>
      </c>
      <c r="H85" s="3485" t="s">
        <v>3402</v>
      </c>
      <c r="I85" s="3485">
        <v>17.850000000000001</v>
      </c>
      <c r="J85" s="3484" t="s">
        <v>3396</v>
      </c>
      <c r="K85" s="3473">
        <v>11</v>
      </c>
      <c r="L85" s="3473" t="s">
        <v>3844</v>
      </c>
    </row>
    <row r="86" spans="1:12" ht="20.100000000000001" customHeight="1">
      <c r="A86" s="3474">
        <v>85</v>
      </c>
      <c r="B86" s="3475" t="s">
        <v>3587</v>
      </c>
      <c r="C86" s="3476" t="s">
        <v>3588</v>
      </c>
      <c r="D86" s="3475">
        <v>89.82</v>
      </c>
      <c r="E86" s="3487">
        <v>71.42</v>
      </c>
      <c r="F86" s="3486">
        <v>18.39</v>
      </c>
      <c r="G86" s="3485" t="s">
        <v>3589</v>
      </c>
      <c r="H86" s="3485" t="s">
        <v>3395</v>
      </c>
      <c r="I86" s="3485">
        <v>18.399999999999999</v>
      </c>
      <c r="J86" s="3484" t="s">
        <v>3396</v>
      </c>
      <c r="K86" s="3473">
        <v>11</v>
      </c>
      <c r="L86" s="3473" t="s">
        <v>3844</v>
      </c>
    </row>
    <row r="87" spans="1:12" ht="20.100000000000001" customHeight="1">
      <c r="A87" s="3474">
        <v>86</v>
      </c>
      <c r="B87" s="3475" t="s">
        <v>3590</v>
      </c>
      <c r="C87" s="3476" t="s">
        <v>3591</v>
      </c>
      <c r="D87" s="3475">
        <v>87.15</v>
      </c>
      <c r="E87" s="3487">
        <v>69.3</v>
      </c>
      <c r="F87" s="3486">
        <v>17.84</v>
      </c>
      <c r="G87" s="3485" t="s">
        <v>3580</v>
      </c>
      <c r="H87" s="3485" t="s">
        <v>3402</v>
      </c>
      <c r="I87" s="3485">
        <v>17.850000000000001</v>
      </c>
      <c r="J87" s="3484" t="s">
        <v>3396</v>
      </c>
      <c r="K87" s="3473">
        <v>11</v>
      </c>
      <c r="L87" s="3473" t="s">
        <v>3844</v>
      </c>
    </row>
    <row r="88" spans="1:12" ht="20.100000000000001" customHeight="1">
      <c r="A88" s="3474">
        <v>87</v>
      </c>
      <c r="B88" s="3475" t="s">
        <v>3592</v>
      </c>
      <c r="C88" s="3476" t="s">
        <v>3593</v>
      </c>
      <c r="D88" s="3475">
        <v>89.82</v>
      </c>
      <c r="E88" s="3487">
        <v>71.42</v>
      </c>
      <c r="F88" s="3486">
        <v>18.39</v>
      </c>
      <c r="G88" s="3485" t="s">
        <v>3589</v>
      </c>
      <c r="H88" s="3485" t="s">
        <v>3395</v>
      </c>
      <c r="I88" s="3485">
        <v>18.399999999999999</v>
      </c>
      <c r="J88" s="3484" t="s">
        <v>3396</v>
      </c>
      <c r="K88" s="3473">
        <v>11</v>
      </c>
      <c r="L88" s="3473" t="s">
        <v>3844</v>
      </c>
    </row>
    <row r="89" spans="1:12" ht="20.100000000000001" customHeight="1">
      <c r="A89" s="3474">
        <v>88</v>
      </c>
      <c r="B89" s="3475" t="s">
        <v>3594</v>
      </c>
      <c r="C89" s="3476" t="s">
        <v>3595</v>
      </c>
      <c r="D89" s="3475">
        <v>87.15</v>
      </c>
      <c r="E89" s="3487">
        <v>69.3</v>
      </c>
      <c r="F89" s="3486">
        <v>17.84</v>
      </c>
      <c r="G89" s="3485" t="s">
        <v>3580</v>
      </c>
      <c r="H89" s="3485" t="s">
        <v>3402</v>
      </c>
      <c r="I89" s="3485">
        <v>17.850000000000001</v>
      </c>
      <c r="J89" s="3484" t="s">
        <v>3396</v>
      </c>
      <c r="K89" s="3473">
        <v>11</v>
      </c>
      <c r="L89" s="3473" t="s">
        <v>3844</v>
      </c>
    </row>
    <row r="90" spans="1:12" ht="20.100000000000001" customHeight="1">
      <c r="A90" s="3474">
        <v>89</v>
      </c>
      <c r="B90" s="3475" t="s">
        <v>3596</v>
      </c>
      <c r="C90" s="3476" t="s">
        <v>3597</v>
      </c>
      <c r="D90" s="3475">
        <v>89.82</v>
      </c>
      <c r="E90" s="3487">
        <v>71.42</v>
      </c>
      <c r="F90" s="3486">
        <v>18.39</v>
      </c>
      <c r="G90" s="3485" t="s">
        <v>3589</v>
      </c>
      <c r="H90" s="3485" t="s">
        <v>3395</v>
      </c>
      <c r="I90" s="3485">
        <v>18.399999999999999</v>
      </c>
      <c r="J90" s="3484" t="s">
        <v>3396</v>
      </c>
      <c r="K90" s="3473">
        <v>11</v>
      </c>
      <c r="L90" s="3473" t="s">
        <v>3844</v>
      </c>
    </row>
    <row r="91" spans="1:12" ht="20.100000000000001" customHeight="1">
      <c r="A91" s="3474">
        <v>90</v>
      </c>
      <c r="B91" s="3475" t="s">
        <v>3598</v>
      </c>
      <c r="C91" s="3476" t="s">
        <v>3599</v>
      </c>
      <c r="D91" s="3475">
        <v>87.15</v>
      </c>
      <c r="E91" s="3487">
        <v>69.3</v>
      </c>
      <c r="F91" s="3486">
        <v>17.84</v>
      </c>
      <c r="G91" s="3485" t="s">
        <v>3580</v>
      </c>
      <c r="H91" s="3485" t="s">
        <v>3402</v>
      </c>
      <c r="I91" s="3485">
        <v>17.850000000000001</v>
      </c>
      <c r="J91" s="3484" t="s">
        <v>3396</v>
      </c>
      <c r="K91" s="3473">
        <v>11</v>
      </c>
      <c r="L91" s="3473" t="s">
        <v>3846</v>
      </c>
    </row>
    <row r="92" spans="1:12" ht="20.100000000000001" customHeight="1">
      <c r="A92" s="3474">
        <v>91</v>
      </c>
      <c r="B92" s="3475" t="s">
        <v>3600</v>
      </c>
      <c r="C92" s="3476" t="s">
        <v>3601</v>
      </c>
      <c r="D92" s="3475">
        <v>89.82</v>
      </c>
      <c r="E92" s="3487">
        <v>71.42</v>
      </c>
      <c r="F92" s="3486">
        <v>18.39</v>
      </c>
      <c r="G92" s="3485" t="s">
        <v>3589</v>
      </c>
      <c r="H92" s="3485" t="s">
        <v>3395</v>
      </c>
      <c r="I92" s="3485">
        <v>18.399999999999999</v>
      </c>
      <c r="J92" s="3484" t="s">
        <v>3396</v>
      </c>
      <c r="K92" s="3473">
        <v>11</v>
      </c>
      <c r="L92" s="3473" t="s">
        <v>3846</v>
      </c>
    </row>
    <row r="93" spans="1:12" ht="20.100000000000001" customHeight="1">
      <c r="A93" s="3474">
        <v>92</v>
      </c>
      <c r="B93" s="3475" t="s">
        <v>3602</v>
      </c>
      <c r="C93" s="3476" t="s">
        <v>3603</v>
      </c>
      <c r="D93" s="3475">
        <v>87.15</v>
      </c>
      <c r="E93" s="3487">
        <v>69.3</v>
      </c>
      <c r="F93" s="3486">
        <v>17.84</v>
      </c>
      <c r="G93" s="3485" t="s">
        <v>3580</v>
      </c>
      <c r="H93" s="3485" t="s">
        <v>3402</v>
      </c>
      <c r="I93" s="3485">
        <v>17.850000000000001</v>
      </c>
      <c r="J93" s="3484" t="s">
        <v>3396</v>
      </c>
      <c r="K93" s="3473">
        <v>11</v>
      </c>
      <c r="L93" s="3473" t="s">
        <v>3846</v>
      </c>
    </row>
    <row r="94" spans="1:12" ht="20.100000000000001" customHeight="1">
      <c r="A94" s="3474">
        <v>93</v>
      </c>
      <c r="B94" s="3475" t="s">
        <v>3604</v>
      </c>
      <c r="C94" s="3476" t="s">
        <v>3605</v>
      </c>
      <c r="D94" s="3475">
        <v>89.82</v>
      </c>
      <c r="E94" s="3487">
        <v>71.42</v>
      </c>
      <c r="F94" s="3486">
        <v>18.39</v>
      </c>
      <c r="G94" s="3485" t="s">
        <v>3589</v>
      </c>
      <c r="H94" s="3485" t="s">
        <v>3395</v>
      </c>
      <c r="I94" s="3485">
        <v>18.399999999999999</v>
      </c>
      <c r="J94" s="3484" t="s">
        <v>3396</v>
      </c>
      <c r="K94" s="3473">
        <v>11</v>
      </c>
      <c r="L94" s="3473" t="s">
        <v>3846</v>
      </c>
    </row>
    <row r="95" spans="1:12" ht="20.100000000000001" customHeight="1">
      <c r="A95" s="3474">
        <v>94</v>
      </c>
      <c r="B95" s="3475" t="s">
        <v>3606</v>
      </c>
      <c r="C95" s="3476" t="s">
        <v>3607</v>
      </c>
      <c r="D95" s="3475">
        <v>87.15</v>
      </c>
      <c r="E95" s="3487">
        <v>69.3</v>
      </c>
      <c r="F95" s="3486">
        <v>17.84</v>
      </c>
      <c r="G95" s="3485" t="s">
        <v>3580</v>
      </c>
      <c r="H95" s="3485" t="s">
        <v>3402</v>
      </c>
      <c r="I95" s="3485">
        <v>17.850000000000001</v>
      </c>
      <c r="J95" s="3484" t="s">
        <v>3396</v>
      </c>
      <c r="K95" s="3473">
        <v>11</v>
      </c>
      <c r="L95" s="3473" t="s">
        <v>3846</v>
      </c>
    </row>
    <row r="96" spans="1:12" ht="20.100000000000001" customHeight="1">
      <c r="A96" s="3474">
        <v>95</v>
      </c>
      <c r="B96" s="3475" t="s">
        <v>3608</v>
      </c>
      <c r="C96" s="3476" t="s">
        <v>3609</v>
      </c>
      <c r="D96" s="3475">
        <v>89.82</v>
      </c>
      <c r="E96" s="3487">
        <v>71.42</v>
      </c>
      <c r="F96" s="3486">
        <v>18.39</v>
      </c>
      <c r="G96" s="3485" t="s">
        <v>3589</v>
      </c>
      <c r="H96" s="3485" t="s">
        <v>3395</v>
      </c>
      <c r="I96" s="3485">
        <v>18.399999999999999</v>
      </c>
      <c r="J96" s="3484" t="s">
        <v>3396</v>
      </c>
      <c r="K96" s="3473">
        <v>11</v>
      </c>
      <c r="L96" s="3473" t="s">
        <v>3846</v>
      </c>
    </row>
    <row r="97" spans="1:12" ht="20.100000000000001" customHeight="1">
      <c r="A97" s="3474">
        <v>96</v>
      </c>
      <c r="B97" s="3475" t="s">
        <v>3610</v>
      </c>
      <c r="C97" s="3476" t="s">
        <v>3611</v>
      </c>
      <c r="D97" s="3475">
        <v>87.15</v>
      </c>
      <c r="E97" s="3487">
        <v>69.3</v>
      </c>
      <c r="F97" s="3486">
        <v>17.84</v>
      </c>
      <c r="G97" s="3485" t="s">
        <v>3580</v>
      </c>
      <c r="H97" s="3485" t="s">
        <v>3402</v>
      </c>
      <c r="I97" s="3485">
        <v>17.850000000000001</v>
      </c>
      <c r="J97" s="3484" t="s">
        <v>3396</v>
      </c>
      <c r="K97" s="3473">
        <v>11</v>
      </c>
      <c r="L97" s="3473" t="s">
        <v>3847</v>
      </c>
    </row>
    <row r="98" spans="1:12" ht="20.100000000000001" customHeight="1">
      <c r="A98" s="3474">
        <v>97</v>
      </c>
      <c r="B98" s="3475" t="s">
        <v>3612</v>
      </c>
      <c r="C98" s="3476" t="s">
        <v>3613</v>
      </c>
      <c r="D98" s="3475">
        <v>89.82</v>
      </c>
      <c r="E98" s="3487">
        <v>71.42</v>
      </c>
      <c r="F98" s="3486">
        <v>18.39</v>
      </c>
      <c r="G98" s="3485" t="s">
        <v>3589</v>
      </c>
      <c r="H98" s="3485" t="s">
        <v>3395</v>
      </c>
      <c r="I98" s="3485">
        <v>18.399999999999999</v>
      </c>
      <c r="J98" s="3484" t="s">
        <v>3396</v>
      </c>
      <c r="K98" s="3473">
        <v>11</v>
      </c>
      <c r="L98" s="3473" t="s">
        <v>3847</v>
      </c>
    </row>
    <row r="99" spans="1:12" ht="20.100000000000001" customHeight="1">
      <c r="A99" s="3474">
        <v>98</v>
      </c>
      <c r="B99" s="3475" t="s">
        <v>3614</v>
      </c>
      <c r="C99" s="3476" t="s">
        <v>3615</v>
      </c>
      <c r="D99" s="3475">
        <v>87.15</v>
      </c>
      <c r="E99" s="3487">
        <v>69.3</v>
      </c>
      <c r="F99" s="3486">
        <v>17.84</v>
      </c>
      <c r="G99" s="3485" t="s">
        <v>3580</v>
      </c>
      <c r="H99" s="3485" t="s">
        <v>3402</v>
      </c>
      <c r="I99" s="3485">
        <v>17.850000000000001</v>
      </c>
      <c r="J99" s="3484" t="s">
        <v>3396</v>
      </c>
      <c r="K99" s="3473">
        <v>11</v>
      </c>
      <c r="L99" s="3473" t="s">
        <v>3847</v>
      </c>
    </row>
    <row r="100" spans="1:12" ht="20.100000000000001" customHeight="1">
      <c r="A100" s="3474">
        <v>99</v>
      </c>
      <c r="B100" s="3475" t="s">
        <v>3616</v>
      </c>
      <c r="C100" s="3476" t="s">
        <v>3617</v>
      </c>
      <c r="D100" s="3475">
        <v>89.82</v>
      </c>
      <c r="E100" s="3487">
        <v>71.42</v>
      </c>
      <c r="F100" s="3486">
        <v>18.39</v>
      </c>
      <c r="G100" s="3485" t="s">
        <v>3589</v>
      </c>
      <c r="H100" s="3485" t="s">
        <v>3395</v>
      </c>
      <c r="I100" s="3485">
        <v>18.399999999999999</v>
      </c>
      <c r="J100" s="3484" t="s">
        <v>3396</v>
      </c>
      <c r="K100" s="3473">
        <v>11</v>
      </c>
      <c r="L100" s="3473" t="s">
        <v>3847</v>
      </c>
    </row>
    <row r="101" spans="1:12" ht="20.100000000000001" customHeight="1">
      <c r="A101" s="3474">
        <v>100</v>
      </c>
      <c r="B101" s="3475" t="s">
        <v>3618</v>
      </c>
      <c r="C101" s="3476" t="s">
        <v>3619</v>
      </c>
      <c r="D101" s="3475">
        <v>87.15</v>
      </c>
      <c r="E101" s="3487">
        <v>69.3</v>
      </c>
      <c r="F101" s="3486">
        <v>17.84</v>
      </c>
      <c r="G101" s="3485" t="s">
        <v>3580</v>
      </c>
      <c r="H101" s="3485" t="s">
        <v>3402</v>
      </c>
      <c r="I101" s="3485">
        <v>17.850000000000001</v>
      </c>
      <c r="J101" s="3484" t="s">
        <v>3396</v>
      </c>
      <c r="K101" s="3473">
        <v>11</v>
      </c>
      <c r="L101" s="3473" t="s">
        <v>3847</v>
      </c>
    </row>
    <row r="102" spans="1:12" ht="20.100000000000001" customHeight="1">
      <c r="A102" s="3474">
        <v>101</v>
      </c>
      <c r="B102" s="3475" t="s">
        <v>3620</v>
      </c>
      <c r="C102" s="3476" t="s">
        <v>3621</v>
      </c>
      <c r="D102" s="3475">
        <v>89.82</v>
      </c>
      <c r="E102" s="3487">
        <v>71.42</v>
      </c>
      <c r="F102" s="3486">
        <v>18.39</v>
      </c>
      <c r="G102" s="3485" t="s">
        <v>3589</v>
      </c>
      <c r="H102" s="3485" t="s">
        <v>3395</v>
      </c>
      <c r="I102" s="3485">
        <v>18.399999999999999</v>
      </c>
      <c r="J102" s="3484" t="s">
        <v>3396</v>
      </c>
      <c r="K102" s="3473">
        <v>11</v>
      </c>
      <c r="L102" s="3473" t="s">
        <v>3847</v>
      </c>
    </row>
    <row r="103" spans="1:12" ht="20.100000000000001" customHeight="1">
      <c r="A103" s="3474">
        <v>102</v>
      </c>
      <c r="B103" s="3475" t="s">
        <v>3622</v>
      </c>
      <c r="C103" s="3476" t="s">
        <v>3623</v>
      </c>
      <c r="D103" s="3475">
        <v>87.15</v>
      </c>
      <c r="E103" s="3487">
        <v>69.3</v>
      </c>
      <c r="F103" s="3486">
        <v>17.84</v>
      </c>
      <c r="G103" s="3485" t="s">
        <v>3580</v>
      </c>
      <c r="H103" s="3485" t="s">
        <v>3402</v>
      </c>
      <c r="I103" s="3485">
        <v>17.850000000000001</v>
      </c>
      <c r="J103" s="3484" t="s">
        <v>3396</v>
      </c>
      <c r="K103" s="3473">
        <v>11</v>
      </c>
      <c r="L103" s="3473" t="s">
        <v>3848</v>
      </c>
    </row>
    <row r="104" spans="1:12" ht="20.100000000000001" customHeight="1">
      <c r="A104" s="3474">
        <v>103</v>
      </c>
      <c r="B104" s="3475" t="s">
        <v>3624</v>
      </c>
      <c r="C104" s="3476" t="s">
        <v>3625</v>
      </c>
      <c r="D104" s="3475">
        <v>89.82</v>
      </c>
      <c r="E104" s="3487">
        <v>71.42</v>
      </c>
      <c r="F104" s="3486">
        <v>18.39</v>
      </c>
      <c r="G104" s="3485" t="s">
        <v>3589</v>
      </c>
      <c r="H104" s="3485" t="s">
        <v>3395</v>
      </c>
      <c r="I104" s="3485">
        <v>18.399999999999999</v>
      </c>
      <c r="J104" s="3484" t="s">
        <v>3396</v>
      </c>
      <c r="K104" s="3473">
        <v>11</v>
      </c>
      <c r="L104" s="3473" t="s">
        <v>3848</v>
      </c>
    </row>
    <row r="105" spans="1:12" ht="20.100000000000001" customHeight="1">
      <c r="A105" s="3474">
        <v>104</v>
      </c>
      <c r="B105" s="3475" t="s">
        <v>3626</v>
      </c>
      <c r="C105" s="3476" t="s">
        <v>3627</v>
      </c>
      <c r="D105" s="3475">
        <v>89.82</v>
      </c>
      <c r="E105" s="3487">
        <v>71.42</v>
      </c>
      <c r="F105" s="3486">
        <v>18.39</v>
      </c>
      <c r="G105" s="3485" t="s">
        <v>3589</v>
      </c>
      <c r="H105" s="3485" t="s">
        <v>3395</v>
      </c>
      <c r="I105" s="3485">
        <v>18.399999999999999</v>
      </c>
      <c r="J105" s="3484" t="s">
        <v>3396</v>
      </c>
      <c r="K105" s="3473">
        <v>11</v>
      </c>
      <c r="L105" s="3480" t="s">
        <v>4105</v>
      </c>
    </row>
    <row r="106" spans="1:12" ht="20.100000000000001" customHeight="1">
      <c r="A106" s="3474">
        <v>105</v>
      </c>
      <c r="B106" s="3475" t="s">
        <v>3628</v>
      </c>
      <c r="C106" s="3476" t="s">
        <v>3629</v>
      </c>
      <c r="D106" s="3475">
        <v>73.41</v>
      </c>
      <c r="E106" s="3487">
        <v>58.37</v>
      </c>
      <c r="F106" s="3486">
        <v>15.03</v>
      </c>
      <c r="G106" s="3485" t="s">
        <v>3583</v>
      </c>
      <c r="H106" s="3485" t="s">
        <v>3584</v>
      </c>
      <c r="I106" s="3485">
        <v>15.04</v>
      </c>
      <c r="J106" s="3484" t="s">
        <v>3396</v>
      </c>
      <c r="K106" s="3473">
        <v>11</v>
      </c>
      <c r="L106" s="3480" t="s">
        <v>4105</v>
      </c>
    </row>
    <row r="107" spans="1:12" ht="20.100000000000001" customHeight="1">
      <c r="A107" s="3474">
        <v>106</v>
      </c>
      <c r="B107" s="3475" t="s">
        <v>3630</v>
      </c>
      <c r="C107" s="3476" t="s">
        <v>3631</v>
      </c>
      <c r="D107" s="3475">
        <v>89.82</v>
      </c>
      <c r="E107" s="3487">
        <v>71.42</v>
      </c>
      <c r="F107" s="3486">
        <v>18.39</v>
      </c>
      <c r="G107" s="3485" t="s">
        <v>3589</v>
      </c>
      <c r="H107" s="3485" t="s">
        <v>3395</v>
      </c>
      <c r="I107" s="3485">
        <v>18.399999999999999</v>
      </c>
      <c r="J107" s="3484" t="s">
        <v>3396</v>
      </c>
      <c r="K107" s="3473">
        <v>11</v>
      </c>
      <c r="L107" s="3473" t="s">
        <v>3844</v>
      </c>
    </row>
    <row r="108" spans="1:12" ht="20.100000000000001" customHeight="1">
      <c r="A108" s="3474">
        <v>107</v>
      </c>
      <c r="B108" s="3475" t="s">
        <v>3632</v>
      </c>
      <c r="C108" s="3476" t="s">
        <v>3633</v>
      </c>
      <c r="D108" s="3475">
        <v>89.82</v>
      </c>
      <c r="E108" s="3487">
        <v>71.42</v>
      </c>
      <c r="F108" s="3486">
        <v>18.39</v>
      </c>
      <c r="G108" s="3485" t="s">
        <v>3589</v>
      </c>
      <c r="H108" s="3485" t="s">
        <v>3395</v>
      </c>
      <c r="I108" s="3485">
        <v>18.399999999999999</v>
      </c>
      <c r="J108" s="3484" t="s">
        <v>3396</v>
      </c>
      <c r="K108" s="3473">
        <v>11</v>
      </c>
      <c r="L108" s="3473" t="s">
        <v>3844</v>
      </c>
    </row>
    <row r="109" spans="1:12" ht="20.100000000000001" customHeight="1">
      <c r="A109" s="3474">
        <v>108</v>
      </c>
      <c r="B109" s="3475" t="s">
        <v>3634</v>
      </c>
      <c r="C109" s="3476" t="s">
        <v>3635</v>
      </c>
      <c r="D109" s="3475">
        <v>89.82</v>
      </c>
      <c r="E109" s="3487">
        <v>71.42</v>
      </c>
      <c r="F109" s="3486">
        <v>18.39</v>
      </c>
      <c r="G109" s="3485" t="s">
        <v>3589</v>
      </c>
      <c r="H109" s="3485" t="s">
        <v>3395</v>
      </c>
      <c r="I109" s="3485">
        <v>18.399999999999999</v>
      </c>
      <c r="J109" s="3484" t="s">
        <v>3396</v>
      </c>
      <c r="K109" s="3473">
        <v>11</v>
      </c>
      <c r="L109" s="3473" t="s">
        <v>3844</v>
      </c>
    </row>
    <row r="110" spans="1:12" ht="20.100000000000001" customHeight="1">
      <c r="A110" s="3474">
        <v>109</v>
      </c>
      <c r="B110" s="3475" t="s">
        <v>3636</v>
      </c>
      <c r="C110" s="3476" t="s">
        <v>3637</v>
      </c>
      <c r="D110" s="3475">
        <v>89.82</v>
      </c>
      <c r="E110" s="3487">
        <v>71.42</v>
      </c>
      <c r="F110" s="3486">
        <v>18.39</v>
      </c>
      <c r="G110" s="3485" t="s">
        <v>3589</v>
      </c>
      <c r="H110" s="3485" t="s">
        <v>3395</v>
      </c>
      <c r="I110" s="3485">
        <v>18.399999999999999</v>
      </c>
      <c r="J110" s="3484" t="s">
        <v>3396</v>
      </c>
      <c r="K110" s="3473">
        <v>11</v>
      </c>
      <c r="L110" s="3473" t="s">
        <v>3844</v>
      </c>
    </row>
    <row r="111" spans="1:12" ht="20.100000000000001" customHeight="1">
      <c r="A111" s="3474">
        <v>110</v>
      </c>
      <c r="B111" s="3475" t="s">
        <v>3638</v>
      </c>
      <c r="C111" s="3476" t="s">
        <v>3639</v>
      </c>
      <c r="D111" s="3475">
        <v>89.82</v>
      </c>
      <c r="E111" s="3487">
        <v>71.42</v>
      </c>
      <c r="F111" s="3486">
        <v>18.39</v>
      </c>
      <c r="G111" s="3485" t="s">
        <v>3589</v>
      </c>
      <c r="H111" s="3485" t="s">
        <v>3395</v>
      </c>
      <c r="I111" s="3485">
        <v>18.399999999999999</v>
      </c>
      <c r="J111" s="3484" t="s">
        <v>3396</v>
      </c>
      <c r="K111" s="3473">
        <v>11</v>
      </c>
      <c r="L111" s="3473" t="s">
        <v>3844</v>
      </c>
    </row>
    <row r="112" spans="1:12" ht="20.100000000000001" customHeight="1">
      <c r="A112" s="3474">
        <v>111</v>
      </c>
      <c r="B112" s="3475" t="s">
        <v>3640</v>
      </c>
      <c r="C112" s="3476" t="s">
        <v>3641</v>
      </c>
      <c r="D112" s="3475">
        <v>89.82</v>
      </c>
      <c r="E112" s="3487">
        <v>71.42</v>
      </c>
      <c r="F112" s="3486">
        <v>18.39</v>
      </c>
      <c r="G112" s="3485" t="s">
        <v>3589</v>
      </c>
      <c r="H112" s="3485" t="s">
        <v>3395</v>
      </c>
      <c r="I112" s="3485">
        <v>18.399999999999999</v>
      </c>
      <c r="J112" s="3484" t="s">
        <v>3396</v>
      </c>
      <c r="K112" s="3473">
        <v>11</v>
      </c>
      <c r="L112" s="3473" t="s">
        <v>3844</v>
      </c>
    </row>
    <row r="113" spans="1:12" ht="20.100000000000001" customHeight="1">
      <c r="A113" s="3474">
        <v>112</v>
      </c>
      <c r="B113" s="3475" t="s">
        <v>3642</v>
      </c>
      <c r="C113" s="3476" t="s">
        <v>3643</v>
      </c>
      <c r="D113" s="3475">
        <v>89.82</v>
      </c>
      <c r="E113" s="3487">
        <v>71.42</v>
      </c>
      <c r="F113" s="3486">
        <v>18.39</v>
      </c>
      <c r="G113" s="3485" t="s">
        <v>3589</v>
      </c>
      <c r="H113" s="3485" t="s">
        <v>3395</v>
      </c>
      <c r="I113" s="3485">
        <v>18.399999999999999</v>
      </c>
      <c r="J113" s="3484" t="s">
        <v>3396</v>
      </c>
      <c r="K113" s="3473">
        <v>11</v>
      </c>
      <c r="L113" s="3473" t="s">
        <v>3846</v>
      </c>
    </row>
    <row r="114" spans="1:12" ht="20.100000000000001" customHeight="1">
      <c r="A114" s="3474">
        <v>113</v>
      </c>
      <c r="B114" s="3475" t="s">
        <v>3644</v>
      </c>
      <c r="C114" s="3476" t="s">
        <v>3645</v>
      </c>
      <c r="D114" s="3475">
        <v>89.82</v>
      </c>
      <c r="E114" s="3487">
        <v>71.42</v>
      </c>
      <c r="F114" s="3486">
        <v>18.39</v>
      </c>
      <c r="G114" s="3485" t="s">
        <v>3589</v>
      </c>
      <c r="H114" s="3485" t="s">
        <v>3395</v>
      </c>
      <c r="I114" s="3485">
        <v>18.399999999999999</v>
      </c>
      <c r="J114" s="3484" t="s">
        <v>3396</v>
      </c>
      <c r="K114" s="3473">
        <v>11</v>
      </c>
      <c r="L114" s="3473" t="s">
        <v>3846</v>
      </c>
    </row>
    <row r="115" spans="1:12" ht="20.100000000000001" customHeight="1">
      <c r="A115" s="3474">
        <v>114</v>
      </c>
      <c r="B115" s="3475" t="s">
        <v>3646</v>
      </c>
      <c r="C115" s="3476" t="s">
        <v>3647</v>
      </c>
      <c r="D115" s="3475">
        <v>89.82</v>
      </c>
      <c r="E115" s="3487">
        <v>71.42</v>
      </c>
      <c r="F115" s="3486">
        <v>18.39</v>
      </c>
      <c r="G115" s="3485" t="s">
        <v>3589</v>
      </c>
      <c r="H115" s="3485" t="s">
        <v>3395</v>
      </c>
      <c r="I115" s="3485">
        <v>18.399999999999999</v>
      </c>
      <c r="J115" s="3484" t="s">
        <v>3396</v>
      </c>
      <c r="K115" s="3473">
        <v>11</v>
      </c>
      <c r="L115" s="3473" t="s">
        <v>3846</v>
      </c>
    </row>
    <row r="116" spans="1:12" ht="20.100000000000001" customHeight="1">
      <c r="A116" s="3474">
        <v>115</v>
      </c>
      <c r="B116" s="3475" t="s">
        <v>3648</v>
      </c>
      <c r="C116" s="3476" t="s">
        <v>3649</v>
      </c>
      <c r="D116" s="3475">
        <v>89.82</v>
      </c>
      <c r="E116" s="3487">
        <v>71.42</v>
      </c>
      <c r="F116" s="3486">
        <v>18.39</v>
      </c>
      <c r="G116" s="3485" t="s">
        <v>3589</v>
      </c>
      <c r="H116" s="3485" t="s">
        <v>3395</v>
      </c>
      <c r="I116" s="3485">
        <v>18.399999999999999</v>
      </c>
      <c r="J116" s="3484" t="s">
        <v>3396</v>
      </c>
      <c r="K116" s="3473">
        <v>11</v>
      </c>
      <c r="L116" s="3473" t="s">
        <v>3846</v>
      </c>
    </row>
    <row r="117" spans="1:12" ht="20.100000000000001" customHeight="1">
      <c r="A117" s="3474">
        <v>116</v>
      </c>
      <c r="B117" s="3475" t="s">
        <v>3650</v>
      </c>
      <c r="C117" s="3476" t="s">
        <v>3651</v>
      </c>
      <c r="D117" s="3475">
        <v>89.82</v>
      </c>
      <c r="E117" s="3487">
        <v>71.42</v>
      </c>
      <c r="F117" s="3486">
        <v>18.39</v>
      </c>
      <c r="G117" s="3485" t="s">
        <v>3589</v>
      </c>
      <c r="H117" s="3485" t="s">
        <v>3395</v>
      </c>
      <c r="I117" s="3485">
        <v>18.399999999999999</v>
      </c>
      <c r="J117" s="3484" t="s">
        <v>3396</v>
      </c>
      <c r="K117" s="3473">
        <v>11</v>
      </c>
      <c r="L117" s="3473" t="s">
        <v>3846</v>
      </c>
    </row>
    <row r="118" spans="1:12" ht="20.100000000000001" customHeight="1">
      <c r="A118" s="3474">
        <v>117</v>
      </c>
      <c r="B118" s="3475" t="s">
        <v>3652</v>
      </c>
      <c r="C118" s="3476" t="s">
        <v>3653</v>
      </c>
      <c r="D118" s="3475">
        <v>89.82</v>
      </c>
      <c r="E118" s="3487">
        <v>71.42</v>
      </c>
      <c r="F118" s="3486">
        <v>18.39</v>
      </c>
      <c r="G118" s="3485" t="s">
        <v>3589</v>
      </c>
      <c r="H118" s="3485" t="s">
        <v>3395</v>
      </c>
      <c r="I118" s="3485">
        <v>18.399999999999999</v>
      </c>
      <c r="J118" s="3484" t="s">
        <v>3396</v>
      </c>
      <c r="K118" s="3473">
        <v>11</v>
      </c>
      <c r="L118" s="3473" t="s">
        <v>3847</v>
      </c>
    </row>
    <row r="119" spans="1:12" ht="20.100000000000001" customHeight="1">
      <c r="A119" s="3474">
        <v>118</v>
      </c>
      <c r="B119" s="3475" t="s">
        <v>3654</v>
      </c>
      <c r="C119" s="3476" t="s">
        <v>3655</v>
      </c>
      <c r="D119" s="3475">
        <v>89.82</v>
      </c>
      <c r="E119" s="3487">
        <v>71.42</v>
      </c>
      <c r="F119" s="3486">
        <v>18.39</v>
      </c>
      <c r="G119" s="3485" t="s">
        <v>3589</v>
      </c>
      <c r="H119" s="3485" t="s">
        <v>3395</v>
      </c>
      <c r="I119" s="3485">
        <v>18.399999999999999</v>
      </c>
      <c r="J119" s="3484" t="s">
        <v>3396</v>
      </c>
      <c r="K119" s="3473">
        <v>11</v>
      </c>
      <c r="L119" s="3473" t="s">
        <v>3847</v>
      </c>
    </row>
    <row r="120" spans="1:12" ht="20.100000000000001" customHeight="1">
      <c r="A120" s="3474">
        <v>119</v>
      </c>
      <c r="B120" s="3475" t="s">
        <v>3656</v>
      </c>
      <c r="C120" s="3476" t="s">
        <v>3657</v>
      </c>
      <c r="D120" s="3475">
        <v>89.82</v>
      </c>
      <c r="E120" s="3487">
        <v>71.42</v>
      </c>
      <c r="F120" s="3486">
        <v>18.39</v>
      </c>
      <c r="G120" s="3485" t="s">
        <v>3589</v>
      </c>
      <c r="H120" s="3485" t="s">
        <v>3395</v>
      </c>
      <c r="I120" s="3485">
        <v>18.399999999999999</v>
      </c>
      <c r="J120" s="3484" t="s">
        <v>3396</v>
      </c>
      <c r="K120" s="3473">
        <v>11</v>
      </c>
      <c r="L120" s="3473" t="s">
        <v>3847</v>
      </c>
    </row>
    <row r="121" spans="1:12" ht="20.100000000000001" customHeight="1">
      <c r="A121" s="3474">
        <v>120</v>
      </c>
      <c r="B121" s="3475" t="s">
        <v>3658</v>
      </c>
      <c r="C121" s="3476" t="s">
        <v>3659</v>
      </c>
      <c r="D121" s="3475">
        <v>89.82</v>
      </c>
      <c r="E121" s="3487">
        <v>71.42</v>
      </c>
      <c r="F121" s="3486">
        <v>18.39</v>
      </c>
      <c r="G121" s="3485" t="s">
        <v>3589</v>
      </c>
      <c r="H121" s="3485" t="s">
        <v>3395</v>
      </c>
      <c r="I121" s="3485">
        <v>18.399999999999999</v>
      </c>
      <c r="J121" s="3484" t="s">
        <v>3396</v>
      </c>
      <c r="K121" s="3473">
        <v>11</v>
      </c>
      <c r="L121" s="3473" t="s">
        <v>3847</v>
      </c>
    </row>
    <row r="122" spans="1:12" ht="20.100000000000001" customHeight="1">
      <c r="A122" s="3474">
        <v>121</v>
      </c>
      <c r="B122" s="3475" t="s">
        <v>3660</v>
      </c>
      <c r="C122" s="3476" t="s">
        <v>3661</v>
      </c>
      <c r="D122" s="3475">
        <v>89.82</v>
      </c>
      <c r="E122" s="3487">
        <v>71.42</v>
      </c>
      <c r="F122" s="3486">
        <v>18.39</v>
      </c>
      <c r="G122" s="3485" t="s">
        <v>3589</v>
      </c>
      <c r="H122" s="3485" t="s">
        <v>3395</v>
      </c>
      <c r="I122" s="3485">
        <v>18.399999999999999</v>
      </c>
      <c r="J122" s="3484" t="s">
        <v>3396</v>
      </c>
      <c r="K122" s="3473">
        <v>11</v>
      </c>
      <c r="L122" s="3473" t="s">
        <v>3847</v>
      </c>
    </row>
    <row r="123" spans="1:12" ht="20.100000000000001" customHeight="1">
      <c r="A123" s="3474">
        <v>122</v>
      </c>
      <c r="B123" s="3475" t="s">
        <v>3662</v>
      </c>
      <c r="C123" s="3476" t="s">
        <v>3663</v>
      </c>
      <c r="D123" s="3475">
        <v>89.82</v>
      </c>
      <c r="E123" s="3487">
        <v>71.42</v>
      </c>
      <c r="F123" s="3486">
        <v>18.39</v>
      </c>
      <c r="G123" s="3485" t="s">
        <v>3589</v>
      </c>
      <c r="H123" s="3485" t="s">
        <v>3395</v>
      </c>
      <c r="I123" s="3485">
        <v>18.399999999999999</v>
      </c>
      <c r="J123" s="3484" t="s">
        <v>3396</v>
      </c>
      <c r="K123" s="3473">
        <v>11</v>
      </c>
      <c r="L123" s="3473" t="s">
        <v>3847</v>
      </c>
    </row>
    <row r="124" spans="1:12" ht="20.100000000000001" customHeight="1">
      <c r="A124" s="3474">
        <v>123</v>
      </c>
      <c r="B124" s="3475" t="s">
        <v>3664</v>
      </c>
      <c r="C124" s="3476" t="s">
        <v>3665</v>
      </c>
      <c r="D124" s="3475">
        <v>89.82</v>
      </c>
      <c r="E124" s="3487">
        <v>71.42</v>
      </c>
      <c r="F124" s="3486">
        <v>18.39</v>
      </c>
      <c r="G124" s="3485" t="s">
        <v>3589</v>
      </c>
      <c r="H124" s="3485" t="s">
        <v>3395</v>
      </c>
      <c r="I124" s="3485">
        <v>18.399999999999999</v>
      </c>
      <c r="J124" s="3484" t="s">
        <v>3396</v>
      </c>
      <c r="K124" s="3473">
        <v>11</v>
      </c>
      <c r="L124" s="3473" t="s">
        <v>3848</v>
      </c>
    </row>
    <row r="125" spans="1:12" ht="20.100000000000001" customHeight="1">
      <c r="A125" s="3474">
        <v>124</v>
      </c>
      <c r="B125" s="3475" t="s">
        <v>3666</v>
      </c>
      <c r="C125" s="3476" t="s">
        <v>3667</v>
      </c>
      <c r="D125" s="3475">
        <v>73.41</v>
      </c>
      <c r="E125" s="3487">
        <v>58.37</v>
      </c>
      <c r="F125" s="3486">
        <v>15.03</v>
      </c>
      <c r="G125" s="3485" t="s">
        <v>3583</v>
      </c>
      <c r="H125" s="3485" t="s">
        <v>3584</v>
      </c>
      <c r="I125" s="3485">
        <v>15.04</v>
      </c>
      <c r="J125" s="3484" t="s">
        <v>3396</v>
      </c>
      <c r="K125" s="3473">
        <v>11</v>
      </c>
      <c r="L125" s="3480" t="s">
        <v>4105</v>
      </c>
    </row>
    <row r="126" spans="1:12" ht="20.100000000000001" customHeight="1">
      <c r="A126" s="3474">
        <v>125</v>
      </c>
      <c r="B126" s="3475" t="s">
        <v>3668</v>
      </c>
      <c r="C126" s="3476" t="s">
        <v>3669</v>
      </c>
      <c r="D126" s="3475">
        <v>89.82</v>
      </c>
      <c r="E126" s="3487">
        <v>71.42</v>
      </c>
      <c r="F126" s="3486">
        <v>18.39</v>
      </c>
      <c r="G126" s="3485" t="s">
        <v>3589</v>
      </c>
      <c r="H126" s="3485" t="s">
        <v>3395</v>
      </c>
      <c r="I126" s="3485">
        <v>18.399999999999999</v>
      </c>
      <c r="J126" s="3484" t="s">
        <v>3396</v>
      </c>
      <c r="K126" s="3473">
        <v>11</v>
      </c>
      <c r="L126" s="3480" t="s">
        <v>4105</v>
      </c>
    </row>
    <row r="127" spans="1:12" ht="20.100000000000001" customHeight="1">
      <c r="A127" s="3474">
        <v>126</v>
      </c>
      <c r="B127" s="3475" t="s">
        <v>3670</v>
      </c>
      <c r="C127" s="3476" t="s">
        <v>3671</v>
      </c>
      <c r="D127" s="3475">
        <v>89.82</v>
      </c>
      <c r="E127" s="3487">
        <v>71.42</v>
      </c>
      <c r="F127" s="3486">
        <v>18.39</v>
      </c>
      <c r="G127" s="3485" t="s">
        <v>3589</v>
      </c>
      <c r="H127" s="3485" t="s">
        <v>3395</v>
      </c>
      <c r="I127" s="3485">
        <v>18.399999999999999</v>
      </c>
      <c r="J127" s="3484" t="s">
        <v>3396</v>
      </c>
      <c r="K127" s="3473">
        <v>11</v>
      </c>
      <c r="L127" s="3473" t="s">
        <v>3844</v>
      </c>
    </row>
    <row r="128" spans="1:12" ht="20.100000000000001" customHeight="1">
      <c r="A128" s="3474">
        <v>127</v>
      </c>
      <c r="B128" s="3475" t="s">
        <v>3672</v>
      </c>
      <c r="C128" s="3476" t="s">
        <v>3673</v>
      </c>
      <c r="D128" s="3475">
        <v>89.82</v>
      </c>
      <c r="E128" s="3487">
        <v>71.42</v>
      </c>
      <c r="F128" s="3486">
        <v>18.39</v>
      </c>
      <c r="G128" s="3485" t="s">
        <v>3589</v>
      </c>
      <c r="H128" s="3485" t="s">
        <v>3395</v>
      </c>
      <c r="I128" s="3485">
        <v>18.399999999999999</v>
      </c>
      <c r="J128" s="3484" t="s">
        <v>3396</v>
      </c>
      <c r="K128" s="3473">
        <v>11</v>
      </c>
      <c r="L128" s="3473" t="s">
        <v>3844</v>
      </c>
    </row>
    <row r="129" spans="1:12" ht="20.100000000000001" customHeight="1">
      <c r="A129" s="3474">
        <v>128</v>
      </c>
      <c r="B129" s="3475" t="s">
        <v>3674</v>
      </c>
      <c r="C129" s="3476" t="s">
        <v>3675</v>
      </c>
      <c r="D129" s="3475">
        <v>89.82</v>
      </c>
      <c r="E129" s="3487">
        <v>71.42</v>
      </c>
      <c r="F129" s="3486">
        <v>18.39</v>
      </c>
      <c r="G129" s="3485" t="s">
        <v>3589</v>
      </c>
      <c r="H129" s="3485" t="s">
        <v>3395</v>
      </c>
      <c r="I129" s="3485">
        <v>18.399999999999999</v>
      </c>
      <c r="J129" s="3484" t="s">
        <v>3396</v>
      </c>
      <c r="K129" s="3473">
        <v>11</v>
      </c>
      <c r="L129" s="3473" t="s">
        <v>3844</v>
      </c>
    </row>
    <row r="130" spans="1:12" ht="20.100000000000001" customHeight="1">
      <c r="A130" s="3474">
        <v>129</v>
      </c>
      <c r="B130" s="3475" t="s">
        <v>3676</v>
      </c>
      <c r="C130" s="3476" t="s">
        <v>3677</v>
      </c>
      <c r="D130" s="3475">
        <v>89.82</v>
      </c>
      <c r="E130" s="3487">
        <v>71.42</v>
      </c>
      <c r="F130" s="3486">
        <v>18.39</v>
      </c>
      <c r="G130" s="3485" t="s">
        <v>3589</v>
      </c>
      <c r="H130" s="3485" t="s">
        <v>3395</v>
      </c>
      <c r="I130" s="3485">
        <v>18.399999999999999</v>
      </c>
      <c r="J130" s="3484" t="s">
        <v>3396</v>
      </c>
      <c r="K130" s="3473">
        <v>11</v>
      </c>
      <c r="L130" s="3473" t="s">
        <v>3844</v>
      </c>
    </row>
    <row r="131" spans="1:12" ht="20.100000000000001" customHeight="1">
      <c r="A131" s="3474">
        <v>130</v>
      </c>
      <c r="B131" s="3475" t="s">
        <v>3678</v>
      </c>
      <c r="C131" s="3476" t="s">
        <v>3679</v>
      </c>
      <c r="D131" s="3475">
        <v>89.82</v>
      </c>
      <c r="E131" s="3487">
        <v>71.42</v>
      </c>
      <c r="F131" s="3486">
        <v>18.39</v>
      </c>
      <c r="G131" s="3485" t="s">
        <v>3589</v>
      </c>
      <c r="H131" s="3485" t="s">
        <v>3395</v>
      </c>
      <c r="I131" s="3485">
        <v>18.399999999999999</v>
      </c>
      <c r="J131" s="3484" t="s">
        <v>3396</v>
      </c>
      <c r="K131" s="3473">
        <v>11</v>
      </c>
      <c r="L131" s="3473" t="s">
        <v>3844</v>
      </c>
    </row>
    <row r="132" spans="1:12" ht="20.100000000000001" customHeight="1">
      <c r="A132" s="3474">
        <v>131</v>
      </c>
      <c r="B132" s="3475" t="s">
        <v>3680</v>
      </c>
      <c r="C132" s="3476" t="s">
        <v>3681</v>
      </c>
      <c r="D132" s="3475">
        <v>89.82</v>
      </c>
      <c r="E132" s="3487">
        <v>71.42</v>
      </c>
      <c r="F132" s="3486">
        <v>18.39</v>
      </c>
      <c r="G132" s="3485" t="s">
        <v>3589</v>
      </c>
      <c r="H132" s="3485" t="s">
        <v>3395</v>
      </c>
      <c r="I132" s="3485">
        <v>18.399999999999999</v>
      </c>
      <c r="J132" s="3484" t="s">
        <v>3396</v>
      </c>
      <c r="K132" s="3473">
        <v>11</v>
      </c>
      <c r="L132" s="3473" t="s">
        <v>3846</v>
      </c>
    </row>
    <row r="133" spans="1:12" ht="20.100000000000001" customHeight="1">
      <c r="A133" s="3474">
        <v>132</v>
      </c>
      <c r="B133" s="3475" t="s">
        <v>3682</v>
      </c>
      <c r="C133" s="3476" t="s">
        <v>3683</v>
      </c>
      <c r="D133" s="3475">
        <v>89.82</v>
      </c>
      <c r="E133" s="3487">
        <v>71.42</v>
      </c>
      <c r="F133" s="3486">
        <v>18.39</v>
      </c>
      <c r="G133" s="3485" t="s">
        <v>3589</v>
      </c>
      <c r="H133" s="3485" t="s">
        <v>3395</v>
      </c>
      <c r="I133" s="3485">
        <v>18.399999999999999</v>
      </c>
      <c r="J133" s="3484" t="s">
        <v>3396</v>
      </c>
      <c r="K133" s="3473">
        <v>11</v>
      </c>
      <c r="L133" s="3473" t="s">
        <v>3846</v>
      </c>
    </row>
    <row r="134" spans="1:12" ht="20.100000000000001" customHeight="1">
      <c r="A134" s="3474">
        <v>133</v>
      </c>
      <c r="B134" s="3475" t="s">
        <v>3684</v>
      </c>
      <c r="C134" s="3476" t="s">
        <v>3685</v>
      </c>
      <c r="D134" s="3475">
        <v>89.82</v>
      </c>
      <c r="E134" s="3487">
        <v>71.42</v>
      </c>
      <c r="F134" s="3486">
        <v>18.39</v>
      </c>
      <c r="G134" s="3485" t="s">
        <v>3589</v>
      </c>
      <c r="H134" s="3485" t="s">
        <v>3395</v>
      </c>
      <c r="I134" s="3485">
        <v>18.399999999999999</v>
      </c>
      <c r="J134" s="3484" t="s">
        <v>3396</v>
      </c>
      <c r="K134" s="3473">
        <v>11</v>
      </c>
      <c r="L134" s="3473" t="s">
        <v>3846</v>
      </c>
    </row>
    <row r="135" spans="1:12" ht="20.100000000000001" customHeight="1">
      <c r="A135" s="3474">
        <v>134</v>
      </c>
      <c r="B135" s="3475" t="s">
        <v>3686</v>
      </c>
      <c r="C135" s="3476" t="s">
        <v>3687</v>
      </c>
      <c r="D135" s="3475">
        <v>89.82</v>
      </c>
      <c r="E135" s="3487">
        <v>71.42</v>
      </c>
      <c r="F135" s="3486">
        <v>18.39</v>
      </c>
      <c r="G135" s="3485" t="s">
        <v>3589</v>
      </c>
      <c r="H135" s="3485" t="s">
        <v>3395</v>
      </c>
      <c r="I135" s="3485">
        <v>18.399999999999999</v>
      </c>
      <c r="J135" s="3484" t="s">
        <v>3396</v>
      </c>
      <c r="K135" s="3473">
        <v>11</v>
      </c>
      <c r="L135" s="3473" t="s">
        <v>3847</v>
      </c>
    </row>
    <row r="136" spans="1:12" ht="20.100000000000001" customHeight="1">
      <c r="A136" s="3474">
        <v>135</v>
      </c>
      <c r="B136" s="3475" t="s">
        <v>3688</v>
      </c>
      <c r="C136" s="3476" t="s">
        <v>3689</v>
      </c>
      <c r="D136" s="3475">
        <v>89.82</v>
      </c>
      <c r="E136" s="3487">
        <v>71.42</v>
      </c>
      <c r="F136" s="3486">
        <v>18.39</v>
      </c>
      <c r="G136" s="3485" t="s">
        <v>3589</v>
      </c>
      <c r="H136" s="3485" t="s">
        <v>3395</v>
      </c>
      <c r="I136" s="3485">
        <v>18.399999999999999</v>
      </c>
      <c r="J136" s="3484" t="s">
        <v>3396</v>
      </c>
      <c r="K136" s="3473">
        <v>11</v>
      </c>
      <c r="L136" s="3473" t="s">
        <v>3847</v>
      </c>
    </row>
    <row r="137" spans="1:12" ht="20.100000000000001" customHeight="1">
      <c r="A137" s="3474">
        <v>136</v>
      </c>
      <c r="B137" s="3475" t="s">
        <v>3690</v>
      </c>
      <c r="C137" s="3476" t="s">
        <v>3691</v>
      </c>
      <c r="D137" s="3475">
        <v>89.82</v>
      </c>
      <c r="E137" s="3487">
        <v>71.42</v>
      </c>
      <c r="F137" s="3486">
        <v>18.39</v>
      </c>
      <c r="G137" s="3485" t="s">
        <v>3589</v>
      </c>
      <c r="H137" s="3485" t="s">
        <v>3395</v>
      </c>
      <c r="I137" s="3485">
        <v>18.399999999999999</v>
      </c>
      <c r="J137" s="3484" t="s">
        <v>3396</v>
      </c>
      <c r="K137" s="3473">
        <v>11</v>
      </c>
      <c r="L137" s="3473" t="s">
        <v>3847</v>
      </c>
    </row>
    <row r="138" spans="1:12" ht="20.100000000000001" customHeight="1">
      <c r="A138" s="3474">
        <v>137</v>
      </c>
      <c r="B138" s="3475" t="s">
        <v>3692</v>
      </c>
      <c r="C138" s="3476" t="s">
        <v>3693</v>
      </c>
      <c r="D138" s="3475">
        <v>89.82</v>
      </c>
      <c r="E138" s="3487">
        <v>71.42</v>
      </c>
      <c r="F138" s="3486">
        <v>18.39</v>
      </c>
      <c r="G138" s="3485" t="s">
        <v>3589</v>
      </c>
      <c r="H138" s="3485" t="s">
        <v>3395</v>
      </c>
      <c r="I138" s="3485">
        <v>18.399999999999999</v>
      </c>
      <c r="J138" s="3484" t="s">
        <v>3396</v>
      </c>
      <c r="K138" s="3473">
        <v>11</v>
      </c>
      <c r="L138" s="3473" t="s">
        <v>3848</v>
      </c>
    </row>
    <row r="139" spans="1:12" ht="20.100000000000001" customHeight="1">
      <c r="A139" s="3474">
        <v>138</v>
      </c>
      <c r="B139" s="3475" t="s">
        <v>3694</v>
      </c>
      <c r="C139" s="3476" t="s">
        <v>3695</v>
      </c>
      <c r="D139" s="3475">
        <v>89.82</v>
      </c>
      <c r="E139" s="3487">
        <v>71.42</v>
      </c>
      <c r="F139" s="3486">
        <v>18.39</v>
      </c>
      <c r="G139" s="3485" t="s">
        <v>3589</v>
      </c>
      <c r="H139" s="3485" t="s">
        <v>3395</v>
      </c>
      <c r="I139" s="3485">
        <v>18.399999999999999</v>
      </c>
      <c r="J139" s="3484" t="s">
        <v>3396</v>
      </c>
      <c r="K139" s="3473">
        <v>11</v>
      </c>
      <c r="L139" s="3473" t="s">
        <v>3848</v>
      </c>
    </row>
    <row r="140" spans="1:12" ht="20.100000000000001" customHeight="1">
      <c r="A140" s="3474">
        <v>139</v>
      </c>
      <c r="B140" s="3475" t="s">
        <v>3696</v>
      </c>
      <c r="C140" s="3476" t="s">
        <v>3697</v>
      </c>
      <c r="D140" s="3475">
        <v>73.400000000000006</v>
      </c>
      <c r="E140" s="3487">
        <v>58.37</v>
      </c>
      <c r="F140" s="3486">
        <v>15.03</v>
      </c>
      <c r="G140" s="3485" t="s">
        <v>3583</v>
      </c>
      <c r="H140" s="3485" t="s">
        <v>3584</v>
      </c>
      <c r="I140" s="3485">
        <v>15.04</v>
      </c>
      <c r="J140" s="3484" t="s">
        <v>3396</v>
      </c>
      <c r="K140" s="3473">
        <v>11</v>
      </c>
      <c r="L140" s="3480" t="s">
        <v>4105</v>
      </c>
    </row>
    <row r="141" spans="1:12" ht="20.100000000000001" customHeight="1">
      <c r="A141" s="3474">
        <v>140</v>
      </c>
      <c r="B141" s="3475" t="s">
        <v>3698</v>
      </c>
      <c r="C141" s="3476" t="s">
        <v>3699</v>
      </c>
      <c r="D141" s="3475">
        <v>174.31</v>
      </c>
      <c r="E141" s="3487">
        <v>138.6</v>
      </c>
      <c r="F141" s="3486">
        <v>35.69</v>
      </c>
      <c r="G141" s="3485" t="s">
        <v>3700</v>
      </c>
      <c r="H141" s="3485" t="s">
        <v>3701</v>
      </c>
      <c r="I141" s="3485">
        <v>35.71</v>
      </c>
      <c r="J141" s="3484" t="s">
        <v>3396</v>
      </c>
      <c r="K141" s="3473">
        <v>11</v>
      </c>
      <c r="L141" s="3473" t="s">
        <v>3844</v>
      </c>
    </row>
    <row r="142" spans="1:12" ht="20.100000000000001" customHeight="1">
      <c r="A142" s="3474">
        <v>141</v>
      </c>
      <c r="B142" s="3475" t="s">
        <v>3702</v>
      </c>
      <c r="C142" s="3476" t="s">
        <v>3703</v>
      </c>
      <c r="D142" s="3475">
        <v>89.82</v>
      </c>
      <c r="E142" s="3487">
        <v>71.42</v>
      </c>
      <c r="F142" s="3486">
        <v>18.39</v>
      </c>
      <c r="G142" s="3485" t="s">
        <v>3589</v>
      </c>
      <c r="H142" s="3485" t="s">
        <v>3395</v>
      </c>
      <c r="I142" s="3485">
        <v>18.399999999999999</v>
      </c>
      <c r="J142" s="3484" t="s">
        <v>3396</v>
      </c>
      <c r="K142" s="3473">
        <v>11</v>
      </c>
      <c r="L142" s="3473" t="s">
        <v>3844</v>
      </c>
    </row>
    <row r="143" spans="1:12" ht="20.100000000000001" customHeight="1">
      <c r="A143" s="3474">
        <v>142</v>
      </c>
      <c r="B143" s="3475" t="s">
        <v>3704</v>
      </c>
      <c r="C143" s="3476" t="s">
        <v>3705</v>
      </c>
      <c r="D143" s="3475">
        <v>89.82</v>
      </c>
      <c r="E143" s="3487">
        <v>71.42</v>
      </c>
      <c r="F143" s="3486">
        <v>18.39</v>
      </c>
      <c r="G143" s="3485" t="s">
        <v>3589</v>
      </c>
      <c r="H143" s="3485" t="s">
        <v>3395</v>
      </c>
      <c r="I143" s="3485">
        <v>18.399999999999999</v>
      </c>
      <c r="J143" s="3484" t="s">
        <v>3396</v>
      </c>
      <c r="K143" s="3473">
        <v>11</v>
      </c>
      <c r="L143" s="3473" t="s">
        <v>3844</v>
      </c>
    </row>
    <row r="144" spans="1:12" ht="20.100000000000001" customHeight="1">
      <c r="A144" s="3474">
        <v>143</v>
      </c>
      <c r="B144" s="3475" t="s">
        <v>3706</v>
      </c>
      <c r="C144" s="3476" t="s">
        <v>3707</v>
      </c>
      <c r="D144" s="3475">
        <v>87.15</v>
      </c>
      <c r="E144" s="3487">
        <v>69.3</v>
      </c>
      <c r="F144" s="3486">
        <v>17.84</v>
      </c>
      <c r="G144" s="3485" t="s">
        <v>3580</v>
      </c>
      <c r="H144" s="3485" t="s">
        <v>3402</v>
      </c>
      <c r="I144" s="3485">
        <v>17.850000000000001</v>
      </c>
      <c r="J144" s="3484" t="s">
        <v>3396</v>
      </c>
      <c r="K144" s="3473">
        <v>11</v>
      </c>
      <c r="L144" s="3473" t="s">
        <v>3844</v>
      </c>
    </row>
    <row r="145" spans="1:12" ht="20.100000000000001" customHeight="1">
      <c r="A145" s="3474">
        <v>144</v>
      </c>
      <c r="B145" s="3475" t="s">
        <v>3708</v>
      </c>
      <c r="C145" s="3476" t="s">
        <v>3709</v>
      </c>
      <c r="D145" s="3475">
        <v>87.15</v>
      </c>
      <c r="E145" s="3487">
        <v>69.3</v>
      </c>
      <c r="F145" s="3486">
        <v>17.84</v>
      </c>
      <c r="G145" s="3485" t="s">
        <v>3580</v>
      </c>
      <c r="H145" s="3485" t="s">
        <v>3402</v>
      </c>
      <c r="I145" s="3485">
        <v>17.850000000000001</v>
      </c>
      <c r="J145" s="3484" t="s">
        <v>3396</v>
      </c>
      <c r="K145" s="3473">
        <v>11</v>
      </c>
      <c r="L145" s="3473" t="s">
        <v>3844</v>
      </c>
    </row>
    <row r="146" spans="1:12" ht="20.100000000000001" customHeight="1">
      <c r="A146" s="3474">
        <v>145</v>
      </c>
      <c r="B146" s="3475" t="s">
        <v>3710</v>
      </c>
      <c r="C146" s="3476" t="s">
        <v>3711</v>
      </c>
      <c r="D146" s="3475">
        <v>89.82</v>
      </c>
      <c r="E146" s="3487">
        <v>71.42</v>
      </c>
      <c r="F146" s="3486">
        <v>18.39</v>
      </c>
      <c r="G146" s="3485" t="s">
        <v>3589</v>
      </c>
      <c r="H146" s="3485" t="s">
        <v>3395</v>
      </c>
      <c r="I146" s="3485">
        <v>18.399999999999999</v>
      </c>
      <c r="J146" s="3484" t="s">
        <v>3396</v>
      </c>
      <c r="K146" s="3473">
        <v>11</v>
      </c>
      <c r="L146" s="3473" t="s">
        <v>3846</v>
      </c>
    </row>
    <row r="147" spans="1:12" ht="20.100000000000001" customHeight="1">
      <c r="A147" s="3474">
        <v>146</v>
      </c>
      <c r="B147" s="3475" t="s">
        <v>3712</v>
      </c>
      <c r="C147" s="3476" t="s">
        <v>3713</v>
      </c>
      <c r="D147" s="3475">
        <v>87.15</v>
      </c>
      <c r="E147" s="3487">
        <v>69.3</v>
      </c>
      <c r="F147" s="3486">
        <v>17.84</v>
      </c>
      <c r="G147" s="3485" t="s">
        <v>3580</v>
      </c>
      <c r="H147" s="3485" t="s">
        <v>3402</v>
      </c>
      <c r="I147" s="3485">
        <v>17.850000000000001</v>
      </c>
      <c r="J147" s="3484" t="s">
        <v>3396</v>
      </c>
      <c r="K147" s="3473">
        <v>11</v>
      </c>
      <c r="L147" s="3473" t="s">
        <v>3846</v>
      </c>
    </row>
    <row r="148" spans="1:12" ht="20.100000000000001" customHeight="1">
      <c r="A148" s="3474">
        <v>147</v>
      </c>
      <c r="B148" s="3475" t="s">
        <v>3714</v>
      </c>
      <c r="C148" s="3476" t="s">
        <v>3715</v>
      </c>
      <c r="D148" s="3475">
        <v>89.82</v>
      </c>
      <c r="E148" s="3487">
        <v>71.42</v>
      </c>
      <c r="F148" s="3486">
        <v>18.39</v>
      </c>
      <c r="G148" s="3485" t="s">
        <v>3589</v>
      </c>
      <c r="H148" s="3485" t="s">
        <v>3395</v>
      </c>
      <c r="I148" s="3485">
        <v>18.399999999999999</v>
      </c>
      <c r="J148" s="3484" t="s">
        <v>3396</v>
      </c>
      <c r="K148" s="3473">
        <v>11</v>
      </c>
      <c r="L148" s="3473" t="s">
        <v>3846</v>
      </c>
    </row>
    <row r="149" spans="1:12" ht="20.100000000000001" customHeight="1">
      <c r="A149" s="3474">
        <v>148</v>
      </c>
      <c r="B149" s="3475" t="s">
        <v>3716</v>
      </c>
      <c r="C149" s="3476" t="s">
        <v>3717</v>
      </c>
      <c r="D149" s="3475">
        <v>87.15</v>
      </c>
      <c r="E149" s="3487">
        <v>69.3</v>
      </c>
      <c r="F149" s="3486">
        <v>17.84</v>
      </c>
      <c r="G149" s="3485" t="s">
        <v>3580</v>
      </c>
      <c r="H149" s="3485" t="s">
        <v>3402</v>
      </c>
      <c r="I149" s="3485">
        <v>17.850000000000001</v>
      </c>
      <c r="J149" s="3484" t="s">
        <v>3396</v>
      </c>
      <c r="K149" s="3473">
        <v>11</v>
      </c>
      <c r="L149" s="3473" t="s">
        <v>3846</v>
      </c>
    </row>
    <row r="150" spans="1:12" ht="20.100000000000001" customHeight="1">
      <c r="A150" s="3474">
        <v>149</v>
      </c>
      <c r="B150" s="3475" t="s">
        <v>3718</v>
      </c>
      <c r="C150" s="3476" t="s">
        <v>3719</v>
      </c>
      <c r="D150" s="3475">
        <v>89.82</v>
      </c>
      <c r="E150" s="3487">
        <v>71.42</v>
      </c>
      <c r="F150" s="3486">
        <v>18.39</v>
      </c>
      <c r="G150" s="3485" t="s">
        <v>3589</v>
      </c>
      <c r="H150" s="3485" t="s">
        <v>3395</v>
      </c>
      <c r="I150" s="3485">
        <v>18.399999999999999</v>
      </c>
      <c r="J150" s="3484" t="s">
        <v>3396</v>
      </c>
      <c r="K150" s="3473">
        <v>11</v>
      </c>
      <c r="L150" s="3473" t="s">
        <v>3846</v>
      </c>
    </row>
    <row r="151" spans="1:12" ht="20.100000000000001" customHeight="1">
      <c r="A151" s="3474">
        <v>150</v>
      </c>
      <c r="B151" s="3475" t="s">
        <v>3720</v>
      </c>
      <c r="C151" s="3476" t="s">
        <v>3721</v>
      </c>
      <c r="D151" s="3475">
        <v>87.15</v>
      </c>
      <c r="E151" s="3487">
        <v>69.3</v>
      </c>
      <c r="F151" s="3486">
        <v>17.84</v>
      </c>
      <c r="G151" s="3485" t="s">
        <v>3580</v>
      </c>
      <c r="H151" s="3485" t="s">
        <v>3402</v>
      </c>
      <c r="I151" s="3485">
        <v>17.850000000000001</v>
      </c>
      <c r="J151" s="3484" t="s">
        <v>3396</v>
      </c>
      <c r="K151" s="3473">
        <v>11</v>
      </c>
      <c r="L151" s="3473" t="s">
        <v>3846</v>
      </c>
    </row>
    <row r="152" spans="1:12" ht="20.100000000000001" customHeight="1">
      <c r="A152" s="3474">
        <v>151</v>
      </c>
      <c r="B152" s="3475" t="s">
        <v>3722</v>
      </c>
      <c r="C152" s="3476" t="s">
        <v>3723</v>
      </c>
      <c r="D152" s="3475">
        <v>89.82</v>
      </c>
      <c r="E152" s="3487">
        <v>71.42</v>
      </c>
      <c r="F152" s="3486">
        <v>18.39</v>
      </c>
      <c r="G152" s="3485" t="s">
        <v>3589</v>
      </c>
      <c r="H152" s="3485" t="s">
        <v>3395</v>
      </c>
      <c r="I152" s="3485">
        <v>18.399999999999999</v>
      </c>
      <c r="J152" s="3484" t="s">
        <v>3396</v>
      </c>
      <c r="K152" s="3473">
        <v>11</v>
      </c>
      <c r="L152" s="3473" t="s">
        <v>3847</v>
      </c>
    </row>
    <row r="153" spans="1:12" ht="20.100000000000001" customHeight="1">
      <c r="A153" s="3474">
        <v>152</v>
      </c>
      <c r="B153" s="3475" t="s">
        <v>3724</v>
      </c>
      <c r="C153" s="3476" t="s">
        <v>3725</v>
      </c>
      <c r="D153" s="3475">
        <v>87.15</v>
      </c>
      <c r="E153" s="3487">
        <v>69.3</v>
      </c>
      <c r="F153" s="3486">
        <v>17.84</v>
      </c>
      <c r="G153" s="3485" t="s">
        <v>3580</v>
      </c>
      <c r="H153" s="3485" t="s">
        <v>3402</v>
      </c>
      <c r="I153" s="3485">
        <v>17.850000000000001</v>
      </c>
      <c r="J153" s="3484" t="s">
        <v>3396</v>
      </c>
      <c r="K153" s="3473">
        <v>11</v>
      </c>
      <c r="L153" s="3473" t="s">
        <v>3847</v>
      </c>
    </row>
    <row r="154" spans="1:12" ht="20.100000000000001" customHeight="1">
      <c r="A154" s="3474">
        <v>153</v>
      </c>
      <c r="B154" s="3475" t="s">
        <v>3726</v>
      </c>
      <c r="C154" s="3476" t="s">
        <v>3727</v>
      </c>
      <c r="D154" s="3475">
        <v>89.82</v>
      </c>
      <c r="E154" s="3487">
        <v>71.42</v>
      </c>
      <c r="F154" s="3486">
        <v>18.39</v>
      </c>
      <c r="G154" s="3485" t="s">
        <v>3589</v>
      </c>
      <c r="H154" s="3485" t="s">
        <v>3395</v>
      </c>
      <c r="I154" s="3485">
        <v>18.399999999999999</v>
      </c>
      <c r="J154" s="3484" t="s">
        <v>3396</v>
      </c>
      <c r="K154" s="3473">
        <v>11</v>
      </c>
      <c r="L154" s="3473" t="s">
        <v>3847</v>
      </c>
    </row>
    <row r="155" spans="1:12" ht="20.100000000000001" customHeight="1">
      <c r="A155" s="3474">
        <v>154</v>
      </c>
      <c r="B155" s="3475" t="s">
        <v>3728</v>
      </c>
      <c r="C155" s="3476" t="s">
        <v>3729</v>
      </c>
      <c r="D155" s="3475">
        <v>87.15</v>
      </c>
      <c r="E155" s="3487">
        <v>69.3</v>
      </c>
      <c r="F155" s="3486">
        <v>17.84</v>
      </c>
      <c r="G155" s="3485" t="s">
        <v>3580</v>
      </c>
      <c r="H155" s="3485" t="s">
        <v>3402</v>
      </c>
      <c r="I155" s="3485">
        <v>17.850000000000001</v>
      </c>
      <c r="J155" s="3484" t="s">
        <v>3396</v>
      </c>
      <c r="K155" s="3473">
        <v>11</v>
      </c>
      <c r="L155" s="3473" t="s">
        <v>3847</v>
      </c>
    </row>
    <row r="156" spans="1:12" ht="20.100000000000001" customHeight="1">
      <c r="A156" s="3474">
        <v>155</v>
      </c>
      <c r="B156" s="3475" t="s">
        <v>3730</v>
      </c>
      <c r="C156" s="3476" t="s">
        <v>3731</v>
      </c>
      <c r="D156" s="3475">
        <v>89.82</v>
      </c>
      <c r="E156" s="3487">
        <v>71.42</v>
      </c>
      <c r="F156" s="3486">
        <v>18.39</v>
      </c>
      <c r="G156" s="3485" t="s">
        <v>3589</v>
      </c>
      <c r="H156" s="3485" t="s">
        <v>3395</v>
      </c>
      <c r="I156" s="3485">
        <v>18.399999999999999</v>
      </c>
      <c r="J156" s="3484" t="s">
        <v>3396</v>
      </c>
      <c r="K156" s="3473">
        <v>11</v>
      </c>
      <c r="L156" s="3473" t="s">
        <v>3847</v>
      </c>
    </row>
    <row r="157" spans="1:12" ht="20.100000000000001" customHeight="1">
      <c r="A157" s="3474">
        <v>156</v>
      </c>
      <c r="B157" s="3475" t="s">
        <v>3732</v>
      </c>
      <c r="C157" s="3476" t="s">
        <v>3733</v>
      </c>
      <c r="D157" s="3475">
        <v>89.82</v>
      </c>
      <c r="E157" s="3487">
        <v>71.42</v>
      </c>
      <c r="F157" s="3486">
        <v>18.39</v>
      </c>
      <c r="G157" s="3485" t="s">
        <v>3589</v>
      </c>
      <c r="H157" s="3485" t="s">
        <v>3395</v>
      </c>
      <c r="I157" s="3485">
        <v>18.399999999999999</v>
      </c>
      <c r="J157" s="3484" t="s">
        <v>3396</v>
      </c>
      <c r="K157" s="3473">
        <v>11</v>
      </c>
      <c r="L157" s="3473" t="s">
        <v>3848</v>
      </c>
    </row>
    <row r="158" spans="1:12" ht="20.100000000000001" customHeight="1">
      <c r="A158" s="3474">
        <v>157</v>
      </c>
      <c r="B158" s="3475" t="s">
        <v>3734</v>
      </c>
      <c r="C158" s="3476" t="s">
        <v>3735</v>
      </c>
      <c r="D158" s="3475">
        <v>87.15</v>
      </c>
      <c r="E158" s="3487">
        <v>69.3</v>
      </c>
      <c r="F158" s="3486">
        <v>17.84</v>
      </c>
      <c r="G158" s="3485" t="s">
        <v>3580</v>
      </c>
      <c r="H158" s="3485" t="s">
        <v>3402</v>
      </c>
      <c r="I158" s="3485">
        <v>17.850000000000001</v>
      </c>
      <c r="J158" s="3484" t="s">
        <v>3396</v>
      </c>
      <c r="K158" s="3473">
        <v>11</v>
      </c>
      <c r="L158" s="3473" t="s">
        <v>3848</v>
      </c>
    </row>
    <row r="159" spans="1:12" ht="20.100000000000001" customHeight="1">
      <c r="A159" s="3474">
        <v>158</v>
      </c>
      <c r="B159" s="3476" t="s">
        <v>3736</v>
      </c>
      <c r="C159" s="3476" t="s">
        <v>3737</v>
      </c>
      <c r="D159" s="3479">
        <v>77.38</v>
      </c>
      <c r="E159" s="3485">
        <v>62.19</v>
      </c>
      <c r="F159" s="3486">
        <v>15.14</v>
      </c>
      <c r="G159" s="3485" t="s">
        <v>3738</v>
      </c>
      <c r="H159" s="3485" t="s">
        <v>3739</v>
      </c>
      <c r="I159" s="3485">
        <v>15.16</v>
      </c>
      <c r="J159" s="3484" t="s">
        <v>3396</v>
      </c>
      <c r="K159" s="3473">
        <v>6</v>
      </c>
      <c r="L159" s="3480" t="s">
        <v>4105</v>
      </c>
    </row>
    <row r="160" spans="1:12" ht="20.100000000000001" customHeight="1">
      <c r="A160" s="3474">
        <v>159</v>
      </c>
      <c r="B160" s="3476" t="s">
        <v>3740</v>
      </c>
      <c r="C160" s="3476" t="s">
        <v>3741</v>
      </c>
      <c r="D160" s="3479">
        <v>76.819999999999993</v>
      </c>
      <c r="E160" s="3485">
        <v>61.74</v>
      </c>
      <c r="F160" s="3486">
        <v>15.04</v>
      </c>
      <c r="G160" s="3485" t="s">
        <v>3742</v>
      </c>
      <c r="H160" s="3485" t="s">
        <v>3743</v>
      </c>
      <c r="I160" s="3485">
        <v>15.05</v>
      </c>
      <c r="J160" s="3484" t="s">
        <v>3396</v>
      </c>
      <c r="K160" s="3473">
        <v>6</v>
      </c>
      <c r="L160" s="3473" t="s">
        <v>3847</v>
      </c>
    </row>
    <row r="161" spans="1:12" ht="20.100000000000001" customHeight="1">
      <c r="A161" s="3474">
        <v>160</v>
      </c>
      <c r="B161" s="3476" t="s">
        <v>3744</v>
      </c>
      <c r="C161" s="3476" t="s">
        <v>3745</v>
      </c>
      <c r="D161" s="3479">
        <v>76.819999999999993</v>
      </c>
      <c r="E161" s="3485">
        <v>61.74</v>
      </c>
      <c r="F161" s="3486">
        <v>15.04</v>
      </c>
      <c r="G161" s="3485" t="s">
        <v>3742</v>
      </c>
      <c r="H161" s="3485" t="s">
        <v>3743</v>
      </c>
      <c r="I161" s="3485">
        <v>15.05</v>
      </c>
      <c r="J161" s="3484" t="s">
        <v>3396</v>
      </c>
      <c r="K161" s="3473">
        <v>6</v>
      </c>
      <c r="L161" s="3473" t="s">
        <v>3847</v>
      </c>
    </row>
    <row r="162" spans="1:12" ht="20.100000000000001" customHeight="1">
      <c r="A162" s="3474">
        <v>161</v>
      </c>
      <c r="B162" s="3476" t="s">
        <v>3746</v>
      </c>
      <c r="C162" s="3476" t="s">
        <v>3747</v>
      </c>
      <c r="D162" s="3479">
        <v>77.47</v>
      </c>
      <c r="E162" s="3485">
        <v>62.19</v>
      </c>
      <c r="F162" s="3486">
        <v>15.23</v>
      </c>
      <c r="G162" s="3485" t="s">
        <v>3748</v>
      </c>
      <c r="H162" s="3485" t="s">
        <v>3739</v>
      </c>
      <c r="I162" s="3485">
        <v>15.25</v>
      </c>
      <c r="J162" s="3484" t="s">
        <v>3396</v>
      </c>
      <c r="K162" s="3473">
        <v>6</v>
      </c>
      <c r="L162" s="3480" t="s">
        <v>4105</v>
      </c>
    </row>
    <row r="163" spans="1:12" ht="20.100000000000001" customHeight="1">
      <c r="A163" s="3474">
        <v>162</v>
      </c>
      <c r="B163" s="3476" t="s">
        <v>3749</v>
      </c>
      <c r="C163" s="3476" t="s">
        <v>3750</v>
      </c>
      <c r="D163" s="3479">
        <v>76.91</v>
      </c>
      <c r="E163" s="3485">
        <v>61.74</v>
      </c>
      <c r="F163" s="3486">
        <v>15.12</v>
      </c>
      <c r="G163" s="3485" t="s">
        <v>3751</v>
      </c>
      <c r="H163" s="3485" t="s">
        <v>3743</v>
      </c>
      <c r="I163" s="3485">
        <v>15.14</v>
      </c>
      <c r="J163" s="3484" t="s">
        <v>3396</v>
      </c>
      <c r="K163" s="3473">
        <v>6</v>
      </c>
      <c r="L163" s="3473" t="s">
        <v>3847</v>
      </c>
    </row>
    <row r="164" spans="1:12" ht="20.100000000000001" customHeight="1">
      <c r="A164" s="3474">
        <v>163</v>
      </c>
      <c r="B164" s="3476" t="s">
        <v>3752</v>
      </c>
      <c r="C164" s="3476" t="s">
        <v>3753</v>
      </c>
      <c r="D164" s="3479">
        <v>76.91</v>
      </c>
      <c r="E164" s="3485">
        <v>61.74</v>
      </c>
      <c r="F164" s="3486">
        <v>15.12</v>
      </c>
      <c r="G164" s="3485" t="s">
        <v>3751</v>
      </c>
      <c r="H164" s="3485" t="s">
        <v>3743</v>
      </c>
      <c r="I164" s="3485">
        <v>15.14</v>
      </c>
      <c r="J164" s="3484" t="s">
        <v>3396</v>
      </c>
      <c r="K164" s="3473">
        <v>6</v>
      </c>
      <c r="L164" s="3473" t="s">
        <v>3847</v>
      </c>
    </row>
    <row r="165" spans="1:12" ht="20.100000000000001" customHeight="1">
      <c r="A165" s="3488"/>
      <c r="B165" s="3489"/>
      <c r="C165" s="3489"/>
      <c r="D165" s="3490">
        <f>SUM(D2:D164)</f>
        <v>14328.91999999998</v>
      </c>
      <c r="E165" s="3488"/>
      <c r="F165" s="3488"/>
      <c r="G165" s="3488"/>
      <c r="H165" s="3488"/>
      <c r="I165" s="3488"/>
      <c r="J165" s="3489"/>
    </row>
    <row r="166" spans="1:12" ht="20.100000000000001" customHeight="1">
      <c r="A166" s="3488"/>
      <c r="B166" s="3489"/>
      <c r="C166" s="3489"/>
      <c r="D166" s="3488" t="s">
        <v>3841</v>
      </c>
      <c r="E166" s="3488"/>
      <c r="F166" s="3488"/>
      <c r="G166" s="3488"/>
      <c r="H166" s="3488"/>
      <c r="I166" s="3488"/>
      <c r="J166" s="3489"/>
    </row>
    <row r="167" spans="1:12" ht="20.100000000000001" customHeight="1">
      <c r="D167" s="3491">
        <f>D165*D166/10000</f>
        <v>50151.219999999928</v>
      </c>
    </row>
  </sheetData>
  <phoneticPr fontId="134" type="noConversion"/>
  <conditionalFormatting sqref="C165:C166">
    <cfRule type="duplicateValues" dxfId="254" priority="6"/>
    <cfRule type="duplicateValues" dxfId="253" priority="7"/>
    <cfRule type="duplicateValues" dxfId="252" priority="8"/>
    <cfRule type="duplicateValues" dxfId="251" priority="9"/>
    <cfRule type="duplicateValues" dxfId="250" priority="10"/>
    <cfRule type="duplicateValues" dxfId="249" priority="11"/>
    <cfRule type="duplicateValues" dxfId="248" priority="12"/>
    <cfRule type="duplicateValues" dxfId="247" priority="13"/>
    <cfRule type="duplicateValues" dxfId="246" priority="14"/>
    <cfRule type="duplicateValues" dxfId="245" priority="15"/>
    <cfRule type="duplicateValues" dxfId="244" priority="16"/>
    <cfRule type="duplicateValues" dxfId="243" priority="17"/>
    <cfRule type="duplicateValues" dxfId="242" priority="18"/>
    <cfRule type="duplicateValues" dxfId="241" priority="19"/>
    <cfRule type="duplicateValues" dxfId="240" priority="20"/>
    <cfRule type="duplicateValues" dxfId="239" priority="21"/>
    <cfRule type="duplicateValues" dxfId="238" priority="22"/>
    <cfRule type="duplicateValues" dxfId="237" priority="23"/>
    <cfRule type="duplicateValues" dxfId="236" priority="24"/>
    <cfRule type="duplicateValues" dxfId="235" priority="25"/>
    <cfRule type="duplicateValues" dxfId="234" priority="26"/>
    <cfRule type="duplicateValues" dxfId="233" priority="27"/>
    <cfRule type="duplicateValues" dxfId="232" priority="28"/>
    <cfRule type="duplicateValues" dxfId="231" priority="29"/>
    <cfRule type="duplicateValues" dxfId="230" priority="30"/>
    <cfRule type="duplicateValues" dxfId="229" priority="31"/>
    <cfRule type="duplicateValues" dxfId="228" priority="32"/>
    <cfRule type="duplicateValues" dxfId="227" priority="33"/>
    <cfRule type="duplicateValues" dxfId="226" priority="34"/>
    <cfRule type="duplicateValues" dxfId="225" priority="35"/>
    <cfRule type="duplicateValues" dxfId="224" priority="36"/>
    <cfRule type="duplicateValues" dxfId="223" priority="37"/>
    <cfRule type="duplicateValues" dxfId="222" priority="38"/>
    <cfRule type="duplicateValues" dxfId="221" priority="39"/>
    <cfRule type="duplicateValues" dxfId="220" priority="40"/>
    <cfRule type="duplicateValues" dxfId="219" priority="41"/>
    <cfRule type="duplicateValues" dxfId="218" priority="42"/>
    <cfRule type="duplicateValues" dxfId="217" priority="43"/>
    <cfRule type="duplicateValues" dxfId="216" priority="44"/>
    <cfRule type="duplicateValues" dxfId="215" priority="46"/>
    <cfRule type="duplicateValues" dxfId="214" priority="47"/>
    <cfRule type="duplicateValues" dxfId="213" priority="49"/>
    <cfRule type="duplicateValues" dxfId="212" priority="51"/>
    <cfRule type="duplicateValues" dxfId="211" priority="54"/>
    <cfRule type="duplicateValues" dxfId="210" priority="56"/>
    <cfRule type="duplicateValues" dxfId="209" priority="58"/>
    <cfRule type="duplicateValues" dxfId="208" priority="59"/>
    <cfRule type="duplicateValues" dxfId="207" priority="61"/>
    <cfRule type="duplicateValues" dxfId="206" priority="62"/>
    <cfRule type="duplicateValues" dxfId="205" priority="63"/>
    <cfRule type="duplicateValues" dxfId="204" priority="65"/>
  </conditionalFormatting>
  <conditionalFormatting sqref="C165:C166 A1:A166">
    <cfRule type="duplicateValues" dxfId="203" priority="53"/>
    <cfRule type="duplicateValues" dxfId="202" priority="55"/>
  </conditionalFormatting>
  <conditionalFormatting sqref="C1:C164">
    <cfRule type="duplicateValues" dxfId="201" priority="66"/>
  </conditionalFormatting>
  <conditionalFormatting sqref="B2:B164">
    <cfRule type="duplicateValues" dxfId="200" priority="67"/>
  </conditionalFormatting>
  <conditionalFormatting sqref="C2:C164">
    <cfRule type="duplicateValues" dxfId="199" priority="3"/>
    <cfRule type="duplicateValues" dxfId="198" priority="4"/>
    <cfRule type="duplicateValues" dxfId="197" priority="5"/>
  </conditionalFormatting>
  <conditionalFormatting sqref="A1:A166">
    <cfRule type="duplicateValues" dxfId="196" priority="68"/>
    <cfRule type="duplicateValues" dxfId="195" priority="69"/>
    <cfRule type="duplicateValues" dxfId="194" priority="70"/>
    <cfRule type="duplicateValues" dxfId="193" priority="71"/>
    <cfRule type="duplicateValues" dxfId="192" priority="72"/>
    <cfRule type="duplicateValues" dxfId="191" priority="73"/>
    <cfRule type="duplicateValues" dxfId="190" priority="74"/>
  </conditionalFormatting>
  <conditionalFormatting sqref="B1:B166">
    <cfRule type="duplicateValues" dxfId="189" priority="86"/>
    <cfRule type="duplicateValues" dxfId="188" priority="87"/>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59999389629810485"/>
  </sheetPr>
  <dimension ref="A1:V81"/>
  <sheetViews>
    <sheetView workbookViewId="0">
      <pane xSplit="7" ySplit="1" topLeftCell="H2" activePane="bottomRight" state="frozen"/>
      <selection pane="topRight"/>
      <selection pane="bottomLeft"/>
      <selection pane="bottomRight" activeCell="P56" sqref="P56"/>
    </sheetView>
  </sheetViews>
  <sheetFormatPr defaultColWidth="9" defaultRowHeight="13.5"/>
  <cols>
    <col min="1" max="1" width="9" style="3472"/>
    <col min="2" max="2" width="8.625" style="3472" hidden="1" customWidth="1"/>
    <col min="3" max="3" width="9" style="3472"/>
    <col min="4" max="4" width="10" style="3472" hidden="1" customWidth="1"/>
    <col min="5" max="5" width="10.625" style="3472" customWidth="1"/>
    <col min="6" max="7" width="11.125" style="3472" hidden="1" customWidth="1"/>
    <col min="8" max="15" width="9" style="3471"/>
    <col min="16" max="16" width="14.625" style="3471" bestFit="1" customWidth="1"/>
    <col min="17" max="16384" width="9" style="3471"/>
  </cols>
  <sheetData>
    <row r="1" spans="1:7" s="3465" customFormat="1" ht="26.1" customHeight="1">
      <c r="A1" s="3522" t="s">
        <v>3382</v>
      </c>
      <c r="B1" s="3522" t="s">
        <v>3758</v>
      </c>
      <c r="C1" s="3522" t="s">
        <v>3759</v>
      </c>
      <c r="D1" s="3522" t="s">
        <v>3760</v>
      </c>
      <c r="E1" s="3522" t="s">
        <v>3388</v>
      </c>
      <c r="F1" s="3521" t="s">
        <v>3389</v>
      </c>
      <c r="G1" s="3521" t="s">
        <v>3390</v>
      </c>
    </row>
    <row r="2" spans="1:7" ht="18.95" customHeight="1">
      <c r="A2" s="3466">
        <v>1</v>
      </c>
      <c r="B2" s="3467">
        <v>2</v>
      </c>
      <c r="C2" s="3468" t="s">
        <v>3761</v>
      </c>
      <c r="D2" s="3469">
        <v>27.66</v>
      </c>
      <c r="E2" s="3469">
        <v>29.05</v>
      </c>
      <c r="F2" s="3470">
        <v>12.72</v>
      </c>
      <c r="G2" s="3470">
        <v>16.329999999999998</v>
      </c>
    </row>
    <row r="3" spans="1:7" ht="18.95" customHeight="1">
      <c r="A3" s="3466">
        <v>2</v>
      </c>
      <c r="B3" s="3467">
        <v>11</v>
      </c>
      <c r="C3" s="3468" t="s">
        <v>3762</v>
      </c>
      <c r="D3" s="3469">
        <v>27.66</v>
      </c>
      <c r="E3" s="3469">
        <v>29.05</v>
      </c>
      <c r="F3" s="3470">
        <v>12.72</v>
      </c>
      <c r="G3" s="3470">
        <v>16.329999999999998</v>
      </c>
    </row>
    <row r="4" spans="1:7" ht="18.95" customHeight="1">
      <c r="A4" s="3466">
        <v>3</v>
      </c>
      <c r="B4" s="3467">
        <v>12</v>
      </c>
      <c r="C4" s="3468" t="s">
        <v>3763</v>
      </c>
      <c r="D4" s="3469">
        <v>27.66</v>
      </c>
      <c r="E4" s="3469">
        <v>29.05</v>
      </c>
      <c r="F4" s="3470">
        <v>12.72</v>
      </c>
      <c r="G4" s="3470">
        <v>16.329999999999998</v>
      </c>
    </row>
    <row r="5" spans="1:7" ht="18.95" customHeight="1">
      <c r="A5" s="3466">
        <v>4</v>
      </c>
      <c r="B5" s="3467">
        <v>15</v>
      </c>
      <c r="C5" s="3468" t="s">
        <v>3764</v>
      </c>
      <c r="D5" s="3469">
        <v>27.66</v>
      </c>
      <c r="E5" s="3469">
        <v>29.05</v>
      </c>
      <c r="F5" s="3470">
        <v>12.72</v>
      </c>
      <c r="G5" s="3470">
        <v>16.329999999999998</v>
      </c>
    </row>
    <row r="6" spans="1:7" ht="18.95" customHeight="1">
      <c r="A6" s="3466">
        <v>5</v>
      </c>
      <c r="B6" s="3467">
        <v>17</v>
      </c>
      <c r="C6" s="3468" t="s">
        <v>3765</v>
      </c>
      <c r="D6" s="3469">
        <v>27.66</v>
      </c>
      <c r="E6" s="3469">
        <v>29.05</v>
      </c>
      <c r="F6" s="3470">
        <v>12.72</v>
      </c>
      <c r="G6" s="3470">
        <v>16.329999999999998</v>
      </c>
    </row>
    <row r="7" spans="1:7" ht="18.95" customHeight="1">
      <c r="A7" s="3466">
        <v>6</v>
      </c>
      <c r="B7" s="3467">
        <v>20</v>
      </c>
      <c r="C7" s="3468" t="s">
        <v>3766</v>
      </c>
      <c r="D7" s="3469">
        <v>27.66</v>
      </c>
      <c r="E7" s="3469">
        <v>29.05</v>
      </c>
      <c r="F7" s="3470">
        <v>12.72</v>
      </c>
      <c r="G7" s="3470">
        <v>16.329999999999998</v>
      </c>
    </row>
    <row r="8" spans="1:7" ht="18.95" customHeight="1">
      <c r="A8" s="3466">
        <v>7</v>
      </c>
      <c r="B8" s="3467">
        <v>24</v>
      </c>
      <c r="C8" s="3468" t="s">
        <v>3767</v>
      </c>
      <c r="D8" s="3469">
        <v>27.66</v>
      </c>
      <c r="E8" s="3469">
        <v>29.05</v>
      </c>
      <c r="F8" s="3470">
        <v>12.72</v>
      </c>
      <c r="G8" s="3470">
        <v>16.329999999999998</v>
      </c>
    </row>
    <row r="9" spans="1:7" ht="18.95" customHeight="1">
      <c r="A9" s="3466">
        <v>8</v>
      </c>
      <c r="B9" s="3467">
        <v>27</v>
      </c>
      <c r="C9" s="3468" t="s">
        <v>3768</v>
      </c>
      <c r="D9" s="3469">
        <v>27.66</v>
      </c>
      <c r="E9" s="3469">
        <v>29.05</v>
      </c>
      <c r="F9" s="3470">
        <v>12.72</v>
      </c>
      <c r="G9" s="3470">
        <v>16.329999999999998</v>
      </c>
    </row>
    <row r="10" spans="1:7" ht="18.95" customHeight="1">
      <c r="A10" s="3466">
        <v>9</v>
      </c>
      <c r="B10" s="3467">
        <v>31</v>
      </c>
      <c r="C10" s="3468" t="s">
        <v>3769</v>
      </c>
      <c r="D10" s="3469">
        <v>27.66</v>
      </c>
      <c r="E10" s="3469">
        <v>29.05</v>
      </c>
      <c r="F10" s="3470">
        <v>12.72</v>
      </c>
      <c r="G10" s="3470">
        <v>16.329999999999998</v>
      </c>
    </row>
    <row r="11" spans="1:7" ht="18.95" customHeight="1">
      <c r="A11" s="3466">
        <v>10</v>
      </c>
      <c r="B11" s="3467">
        <v>32</v>
      </c>
      <c r="C11" s="3468" t="s">
        <v>3770</v>
      </c>
      <c r="D11" s="3469">
        <v>27.66</v>
      </c>
      <c r="E11" s="3469">
        <v>29.05</v>
      </c>
      <c r="F11" s="3470">
        <v>12.72</v>
      </c>
      <c r="G11" s="3470">
        <v>16.329999999999998</v>
      </c>
    </row>
    <row r="12" spans="1:7" ht="18.95" customHeight="1">
      <c r="A12" s="3466">
        <v>11</v>
      </c>
      <c r="B12" s="3467">
        <v>36</v>
      </c>
      <c r="C12" s="3468" t="s">
        <v>3771</v>
      </c>
      <c r="D12" s="3469">
        <v>26.62</v>
      </c>
      <c r="E12" s="3469">
        <v>29.05</v>
      </c>
      <c r="F12" s="3470">
        <v>12.72</v>
      </c>
      <c r="G12" s="3470">
        <v>16.329999999999998</v>
      </c>
    </row>
    <row r="13" spans="1:7" ht="18.95" customHeight="1">
      <c r="A13" s="3466">
        <v>12</v>
      </c>
      <c r="B13" s="3467">
        <v>37</v>
      </c>
      <c r="C13" s="3468" t="s">
        <v>3772</v>
      </c>
      <c r="D13" s="3469">
        <v>26.62</v>
      </c>
      <c r="E13" s="3469">
        <v>29.05</v>
      </c>
      <c r="F13" s="3470">
        <v>12.72</v>
      </c>
      <c r="G13" s="3470">
        <v>16.329999999999998</v>
      </c>
    </row>
    <row r="14" spans="1:7" ht="18.95" customHeight="1">
      <c r="A14" s="3466">
        <v>13</v>
      </c>
      <c r="B14" s="3467">
        <v>38</v>
      </c>
      <c r="C14" s="3468" t="s">
        <v>3773</v>
      </c>
      <c r="D14" s="3469">
        <v>26.62</v>
      </c>
      <c r="E14" s="3469">
        <v>29.05</v>
      </c>
      <c r="F14" s="3470">
        <v>12.72</v>
      </c>
      <c r="G14" s="3470">
        <v>16.329999999999998</v>
      </c>
    </row>
    <row r="15" spans="1:7" ht="18.95" customHeight="1">
      <c r="A15" s="3466">
        <v>14</v>
      </c>
      <c r="B15" s="3467">
        <v>41</v>
      </c>
      <c r="C15" s="3468" t="s">
        <v>3774</v>
      </c>
      <c r="D15" s="3469">
        <v>26.62</v>
      </c>
      <c r="E15" s="3469">
        <v>29.05</v>
      </c>
      <c r="F15" s="3470">
        <v>12.72</v>
      </c>
      <c r="G15" s="3470">
        <v>16.329999999999998</v>
      </c>
    </row>
    <row r="16" spans="1:7" ht="18.95" customHeight="1">
      <c r="A16" s="3466">
        <v>15</v>
      </c>
      <c r="B16" s="3467">
        <v>43</v>
      </c>
      <c r="C16" s="3468" t="s">
        <v>3775</v>
      </c>
      <c r="D16" s="3469">
        <v>26.62</v>
      </c>
      <c r="E16" s="3469">
        <v>29.05</v>
      </c>
      <c r="F16" s="3470">
        <v>12.72</v>
      </c>
      <c r="G16" s="3470">
        <v>16.329999999999998</v>
      </c>
    </row>
    <row r="17" spans="1:7" ht="18.95" customHeight="1">
      <c r="A17" s="3466">
        <v>16</v>
      </c>
      <c r="B17" s="3467">
        <v>44</v>
      </c>
      <c r="C17" s="3468" t="s">
        <v>3776</v>
      </c>
      <c r="D17" s="3469">
        <v>26.62</v>
      </c>
      <c r="E17" s="3469">
        <v>29.05</v>
      </c>
      <c r="F17" s="3470">
        <v>12.72</v>
      </c>
      <c r="G17" s="3470">
        <v>16.329999999999998</v>
      </c>
    </row>
    <row r="18" spans="1:7" ht="18.95" customHeight="1">
      <c r="A18" s="3466">
        <v>17</v>
      </c>
      <c r="B18" s="3467">
        <v>46</v>
      </c>
      <c r="C18" s="3468" t="s">
        <v>3777</v>
      </c>
      <c r="D18" s="3469">
        <v>26.62</v>
      </c>
      <c r="E18" s="3469">
        <v>29.05</v>
      </c>
      <c r="F18" s="3470">
        <v>12.72</v>
      </c>
      <c r="G18" s="3470">
        <v>16.329999999999998</v>
      </c>
    </row>
    <row r="19" spans="1:7" ht="18.95" customHeight="1">
      <c r="A19" s="3466">
        <v>18</v>
      </c>
      <c r="B19" s="3467">
        <v>47</v>
      </c>
      <c r="C19" s="3468" t="s">
        <v>3778</v>
      </c>
      <c r="D19" s="3469">
        <v>26.62</v>
      </c>
      <c r="E19" s="3469">
        <v>29.05</v>
      </c>
      <c r="F19" s="3470">
        <v>12.72</v>
      </c>
      <c r="G19" s="3470">
        <v>16.329999999999998</v>
      </c>
    </row>
    <row r="20" spans="1:7" ht="18.95" customHeight="1">
      <c r="A20" s="3466">
        <v>19</v>
      </c>
      <c r="B20" s="3467">
        <v>50</v>
      </c>
      <c r="C20" s="3468" t="s">
        <v>3779</v>
      </c>
      <c r="D20" s="3469">
        <v>26.62</v>
      </c>
      <c r="E20" s="3469">
        <v>29.05</v>
      </c>
      <c r="F20" s="3470">
        <v>12.72</v>
      </c>
      <c r="G20" s="3470">
        <v>16.329999999999998</v>
      </c>
    </row>
    <row r="21" spans="1:7" ht="18.95" customHeight="1">
      <c r="A21" s="3466">
        <v>20</v>
      </c>
      <c r="B21" s="3467">
        <v>52</v>
      </c>
      <c r="C21" s="3468" t="s">
        <v>3780</v>
      </c>
      <c r="D21" s="3469">
        <v>26.62</v>
      </c>
      <c r="E21" s="3469">
        <v>29.05</v>
      </c>
      <c r="F21" s="3470">
        <v>12.72</v>
      </c>
      <c r="G21" s="3470">
        <v>16.329999999999998</v>
      </c>
    </row>
    <row r="22" spans="1:7" ht="18.95" customHeight="1">
      <c r="A22" s="3466">
        <v>21</v>
      </c>
      <c r="B22" s="3467">
        <v>53</v>
      </c>
      <c r="C22" s="3468" t="s">
        <v>3781</v>
      </c>
      <c r="D22" s="3469">
        <v>26.62</v>
      </c>
      <c r="E22" s="3469">
        <v>29.05</v>
      </c>
      <c r="F22" s="3470">
        <v>12.72</v>
      </c>
      <c r="G22" s="3470">
        <v>16.329999999999998</v>
      </c>
    </row>
    <row r="23" spans="1:7" ht="18.95" customHeight="1">
      <c r="A23" s="3466">
        <v>22</v>
      </c>
      <c r="B23" s="3467">
        <v>55</v>
      </c>
      <c r="C23" s="3468" t="s">
        <v>3782</v>
      </c>
      <c r="D23" s="3469">
        <v>26.62</v>
      </c>
      <c r="E23" s="3469">
        <v>29.05</v>
      </c>
      <c r="F23" s="3470">
        <v>12.72</v>
      </c>
      <c r="G23" s="3470">
        <v>16.329999999999998</v>
      </c>
    </row>
    <row r="24" spans="1:7" ht="18.95" customHeight="1">
      <c r="A24" s="3466">
        <v>23</v>
      </c>
      <c r="B24" s="3467">
        <v>56</v>
      </c>
      <c r="C24" s="3468" t="s">
        <v>3783</v>
      </c>
      <c r="D24" s="3469">
        <v>26.62</v>
      </c>
      <c r="E24" s="3469">
        <v>29.05</v>
      </c>
      <c r="F24" s="3470">
        <v>12.72</v>
      </c>
      <c r="G24" s="3470">
        <v>16.329999999999998</v>
      </c>
    </row>
    <row r="25" spans="1:7" ht="18.95" customHeight="1">
      <c r="A25" s="3466">
        <v>24</v>
      </c>
      <c r="B25" s="3467">
        <v>58</v>
      </c>
      <c r="C25" s="3468" t="s">
        <v>3784</v>
      </c>
      <c r="D25" s="3469">
        <v>26.62</v>
      </c>
      <c r="E25" s="3469">
        <v>29.05</v>
      </c>
      <c r="F25" s="3470">
        <v>12.72</v>
      </c>
      <c r="G25" s="3470">
        <v>16.329999999999998</v>
      </c>
    </row>
    <row r="26" spans="1:7" ht="18.95" customHeight="1">
      <c r="A26" s="3466">
        <v>25</v>
      </c>
      <c r="B26" s="3467">
        <v>59</v>
      </c>
      <c r="C26" s="3468" t="s">
        <v>3785</v>
      </c>
      <c r="D26" s="3469">
        <v>26.62</v>
      </c>
      <c r="E26" s="3469">
        <v>29.05</v>
      </c>
      <c r="F26" s="3470">
        <v>12.72</v>
      </c>
      <c r="G26" s="3470">
        <v>16.329999999999998</v>
      </c>
    </row>
    <row r="27" spans="1:7" ht="18.95" customHeight="1">
      <c r="A27" s="3466">
        <v>26</v>
      </c>
      <c r="B27" s="3467">
        <v>60</v>
      </c>
      <c r="C27" s="3468" t="s">
        <v>3786</v>
      </c>
      <c r="D27" s="3469">
        <v>26.62</v>
      </c>
      <c r="E27" s="3469">
        <v>29.05</v>
      </c>
      <c r="F27" s="3470">
        <v>12.72</v>
      </c>
      <c r="G27" s="3470">
        <v>16.329999999999998</v>
      </c>
    </row>
    <row r="28" spans="1:7" ht="18.95" customHeight="1">
      <c r="A28" s="3466">
        <v>27</v>
      </c>
      <c r="B28" s="3467">
        <v>61</v>
      </c>
      <c r="C28" s="3468" t="s">
        <v>3787</v>
      </c>
      <c r="D28" s="3469">
        <v>26.62</v>
      </c>
      <c r="E28" s="3469">
        <v>29.05</v>
      </c>
      <c r="F28" s="3470">
        <v>12.72</v>
      </c>
      <c r="G28" s="3470">
        <v>16.329999999999998</v>
      </c>
    </row>
    <row r="29" spans="1:7" ht="18.95" customHeight="1">
      <c r="A29" s="3466">
        <v>28</v>
      </c>
      <c r="B29" s="3467">
        <v>62</v>
      </c>
      <c r="C29" s="3468" t="s">
        <v>3788</v>
      </c>
      <c r="D29" s="3469">
        <v>26.62</v>
      </c>
      <c r="E29" s="3469">
        <v>29.05</v>
      </c>
      <c r="F29" s="3470">
        <v>12.72</v>
      </c>
      <c r="G29" s="3470">
        <v>16.329999999999998</v>
      </c>
    </row>
    <row r="30" spans="1:7" ht="18.95" customHeight="1">
      <c r="A30" s="3466">
        <v>29</v>
      </c>
      <c r="B30" s="3467">
        <v>65</v>
      </c>
      <c r="C30" s="3468" t="s">
        <v>3789</v>
      </c>
      <c r="D30" s="3469">
        <v>26.62</v>
      </c>
      <c r="E30" s="3469">
        <v>29.05</v>
      </c>
      <c r="F30" s="3470">
        <v>12.72</v>
      </c>
      <c r="G30" s="3470">
        <v>16.329999999999998</v>
      </c>
    </row>
    <row r="31" spans="1:7" ht="18.95" customHeight="1">
      <c r="A31" s="3466">
        <v>30</v>
      </c>
      <c r="B31" s="3467">
        <v>66</v>
      </c>
      <c r="C31" s="3468" t="s">
        <v>3790</v>
      </c>
      <c r="D31" s="3469">
        <v>26.62</v>
      </c>
      <c r="E31" s="3469">
        <v>29.05</v>
      </c>
      <c r="F31" s="3470">
        <v>12.72</v>
      </c>
      <c r="G31" s="3470">
        <v>16.329999999999998</v>
      </c>
    </row>
    <row r="32" spans="1:7" ht="18.95" customHeight="1">
      <c r="A32" s="3466">
        <v>31</v>
      </c>
      <c r="B32" s="3467">
        <v>67</v>
      </c>
      <c r="C32" s="3468" t="s">
        <v>3791</v>
      </c>
      <c r="D32" s="3469">
        <v>26.62</v>
      </c>
      <c r="E32" s="3469">
        <v>29.05</v>
      </c>
      <c r="F32" s="3470">
        <v>12.72</v>
      </c>
      <c r="G32" s="3470">
        <v>16.329999999999998</v>
      </c>
    </row>
    <row r="33" spans="1:7" ht="18.95" customHeight="1">
      <c r="A33" s="3466">
        <v>32</v>
      </c>
      <c r="B33" s="3467">
        <v>68</v>
      </c>
      <c r="C33" s="3468" t="s">
        <v>3792</v>
      </c>
      <c r="D33" s="3469">
        <v>26.62</v>
      </c>
      <c r="E33" s="3469">
        <v>29.05</v>
      </c>
      <c r="F33" s="3470">
        <v>12.72</v>
      </c>
      <c r="G33" s="3470">
        <v>16.329999999999998</v>
      </c>
    </row>
    <row r="34" spans="1:7" ht="18.95" customHeight="1">
      <c r="A34" s="3466">
        <v>33</v>
      </c>
      <c r="B34" s="3467">
        <v>69</v>
      </c>
      <c r="C34" s="3468" t="s">
        <v>3793</v>
      </c>
      <c r="D34" s="3469">
        <v>26.62</v>
      </c>
      <c r="E34" s="3469">
        <v>29.05</v>
      </c>
      <c r="F34" s="3470">
        <v>12.72</v>
      </c>
      <c r="G34" s="3470">
        <v>16.329999999999998</v>
      </c>
    </row>
    <row r="35" spans="1:7" ht="18.95" customHeight="1">
      <c r="A35" s="3466">
        <v>34</v>
      </c>
      <c r="B35" s="3467">
        <v>70</v>
      </c>
      <c r="C35" s="3468" t="s">
        <v>3794</v>
      </c>
      <c r="D35" s="3469">
        <v>26.62</v>
      </c>
      <c r="E35" s="3469">
        <v>29.05</v>
      </c>
      <c r="F35" s="3470">
        <v>12.72</v>
      </c>
      <c r="G35" s="3470">
        <v>16.329999999999998</v>
      </c>
    </row>
    <row r="36" spans="1:7" ht="18.95" customHeight="1">
      <c r="A36" s="3466">
        <v>35</v>
      </c>
      <c r="B36" s="3467">
        <v>71</v>
      </c>
      <c r="C36" s="3468" t="s">
        <v>3795</v>
      </c>
      <c r="D36" s="3469">
        <v>26.62</v>
      </c>
      <c r="E36" s="3469">
        <v>29.05</v>
      </c>
      <c r="F36" s="3470">
        <v>12.72</v>
      </c>
      <c r="G36" s="3470">
        <v>16.329999999999998</v>
      </c>
    </row>
    <row r="37" spans="1:7" ht="18.95" customHeight="1">
      <c r="A37" s="3466">
        <v>36</v>
      </c>
      <c r="B37" s="3467">
        <v>72</v>
      </c>
      <c r="C37" s="3468" t="s">
        <v>3796</v>
      </c>
      <c r="D37" s="3469">
        <v>26.62</v>
      </c>
      <c r="E37" s="3469">
        <v>29.05</v>
      </c>
      <c r="F37" s="3470">
        <v>12.72</v>
      </c>
      <c r="G37" s="3470">
        <v>16.329999999999998</v>
      </c>
    </row>
    <row r="38" spans="1:7" ht="18.95" customHeight="1">
      <c r="A38" s="3466">
        <v>37</v>
      </c>
      <c r="B38" s="3467">
        <v>73</v>
      </c>
      <c r="C38" s="3468" t="s">
        <v>3797</v>
      </c>
      <c r="D38" s="3469">
        <v>26.62</v>
      </c>
      <c r="E38" s="3469">
        <v>29.05</v>
      </c>
      <c r="F38" s="3470">
        <v>12.72</v>
      </c>
      <c r="G38" s="3470">
        <v>16.329999999999998</v>
      </c>
    </row>
    <row r="39" spans="1:7" ht="18.95" customHeight="1">
      <c r="A39" s="3466">
        <v>38</v>
      </c>
      <c r="B39" s="3467">
        <v>74</v>
      </c>
      <c r="C39" s="3468" t="s">
        <v>3798</v>
      </c>
      <c r="D39" s="3469">
        <v>26.62</v>
      </c>
      <c r="E39" s="3469">
        <v>29.05</v>
      </c>
      <c r="F39" s="3470">
        <v>12.72</v>
      </c>
      <c r="G39" s="3470">
        <v>16.329999999999998</v>
      </c>
    </row>
    <row r="40" spans="1:7" ht="18.95" customHeight="1">
      <c r="A40" s="3466">
        <v>39</v>
      </c>
      <c r="B40" s="3467">
        <v>75</v>
      </c>
      <c r="C40" s="3468" t="s">
        <v>3799</v>
      </c>
      <c r="D40" s="3469">
        <v>26.62</v>
      </c>
      <c r="E40" s="3469">
        <v>29.05</v>
      </c>
      <c r="F40" s="3470">
        <v>12.72</v>
      </c>
      <c r="G40" s="3470">
        <v>16.329999999999998</v>
      </c>
    </row>
    <row r="41" spans="1:7" ht="18.95" customHeight="1">
      <c r="A41" s="3466">
        <v>40</v>
      </c>
      <c r="B41" s="3467">
        <v>76</v>
      </c>
      <c r="C41" s="3468" t="s">
        <v>3800</v>
      </c>
      <c r="D41" s="3469">
        <v>26.62</v>
      </c>
      <c r="E41" s="3469">
        <v>29.05</v>
      </c>
      <c r="F41" s="3470">
        <v>12.72</v>
      </c>
      <c r="G41" s="3470">
        <v>16.329999999999998</v>
      </c>
    </row>
    <row r="42" spans="1:7" ht="18.95" customHeight="1">
      <c r="A42" s="3466">
        <v>41</v>
      </c>
      <c r="B42" s="3467">
        <v>77</v>
      </c>
      <c r="C42" s="3468" t="s">
        <v>3801</v>
      </c>
      <c r="D42" s="3469">
        <v>26.62</v>
      </c>
      <c r="E42" s="3469">
        <v>29.05</v>
      </c>
      <c r="F42" s="3470">
        <v>12.72</v>
      </c>
      <c r="G42" s="3470">
        <v>16.329999999999998</v>
      </c>
    </row>
    <row r="43" spans="1:7" ht="18.95" customHeight="1">
      <c r="A43" s="3466">
        <v>42</v>
      </c>
      <c r="B43" s="3467">
        <v>80</v>
      </c>
      <c r="C43" s="3468" t="s">
        <v>3802</v>
      </c>
      <c r="D43" s="3469">
        <v>26.62</v>
      </c>
      <c r="E43" s="3469">
        <v>29.05</v>
      </c>
      <c r="F43" s="3470">
        <v>12.72</v>
      </c>
      <c r="G43" s="3470">
        <v>16.329999999999998</v>
      </c>
    </row>
    <row r="44" spans="1:7" ht="18.95" customHeight="1">
      <c r="A44" s="3466">
        <v>43</v>
      </c>
      <c r="B44" s="3467">
        <v>82</v>
      </c>
      <c r="C44" s="3468" t="s">
        <v>3803</v>
      </c>
      <c r="D44" s="3469">
        <v>26.62</v>
      </c>
      <c r="E44" s="3469">
        <v>29.05</v>
      </c>
      <c r="F44" s="3470">
        <v>12.72</v>
      </c>
      <c r="G44" s="3470">
        <v>16.329999999999998</v>
      </c>
    </row>
    <row r="45" spans="1:7" ht="18.95" customHeight="1">
      <c r="A45" s="3466">
        <v>44</v>
      </c>
      <c r="B45" s="3467">
        <v>83</v>
      </c>
      <c r="C45" s="3468" t="s">
        <v>3804</v>
      </c>
      <c r="D45" s="3469">
        <v>26.62</v>
      </c>
      <c r="E45" s="3469">
        <v>29.05</v>
      </c>
      <c r="F45" s="3470">
        <v>12.72</v>
      </c>
      <c r="G45" s="3470">
        <v>16.329999999999998</v>
      </c>
    </row>
    <row r="46" spans="1:7" ht="18.95" customHeight="1">
      <c r="A46" s="3466">
        <v>45</v>
      </c>
      <c r="B46" s="3467">
        <v>86</v>
      </c>
      <c r="C46" s="3468" t="s">
        <v>3805</v>
      </c>
      <c r="D46" s="3469">
        <v>26.62</v>
      </c>
      <c r="E46" s="3469">
        <v>29.05</v>
      </c>
      <c r="F46" s="3470">
        <v>12.72</v>
      </c>
      <c r="G46" s="3470">
        <v>16.329999999999998</v>
      </c>
    </row>
    <row r="47" spans="1:7" ht="18.95" customHeight="1">
      <c r="A47" s="3466">
        <v>46</v>
      </c>
      <c r="B47" s="3467">
        <v>89</v>
      </c>
      <c r="C47" s="3468" t="s">
        <v>3806</v>
      </c>
      <c r="D47" s="3469">
        <v>26.62</v>
      </c>
      <c r="E47" s="3469">
        <v>29.05</v>
      </c>
      <c r="F47" s="3470">
        <v>12.72</v>
      </c>
      <c r="G47" s="3470">
        <v>16.329999999999998</v>
      </c>
    </row>
    <row r="48" spans="1:7" ht="18.95" customHeight="1">
      <c r="A48" s="3466">
        <v>47</v>
      </c>
      <c r="B48" s="3467">
        <v>91</v>
      </c>
      <c r="C48" s="3468" t="s">
        <v>3807</v>
      </c>
      <c r="D48" s="3469">
        <v>26.62</v>
      </c>
      <c r="E48" s="3469">
        <v>29.05</v>
      </c>
      <c r="F48" s="3470">
        <v>12.72</v>
      </c>
      <c r="G48" s="3470">
        <v>16.329999999999998</v>
      </c>
    </row>
    <row r="49" spans="1:22" ht="18.95" customHeight="1">
      <c r="A49" s="3466">
        <v>48</v>
      </c>
      <c r="B49" s="3467">
        <v>92</v>
      </c>
      <c r="C49" s="3468" t="s">
        <v>3808</v>
      </c>
      <c r="D49" s="3469">
        <v>26.62</v>
      </c>
      <c r="E49" s="3469">
        <v>29.05</v>
      </c>
      <c r="F49" s="3470">
        <v>12.72</v>
      </c>
      <c r="G49" s="3470">
        <v>16.329999999999998</v>
      </c>
    </row>
    <row r="50" spans="1:22" ht="18.95" customHeight="1">
      <c r="A50" s="3466">
        <v>49</v>
      </c>
      <c r="B50" s="3467">
        <v>94</v>
      </c>
      <c r="C50" s="3468" t="s">
        <v>3809</v>
      </c>
      <c r="D50" s="3469">
        <v>42.64</v>
      </c>
      <c r="E50" s="3520">
        <v>44.78</v>
      </c>
      <c r="F50" s="3470">
        <v>19.61</v>
      </c>
      <c r="G50" s="3470">
        <v>25.17</v>
      </c>
    </row>
    <row r="51" spans="1:22" ht="18.95" customHeight="1">
      <c r="A51" s="3466">
        <v>50</v>
      </c>
      <c r="B51" s="3467">
        <v>96</v>
      </c>
      <c r="C51" s="3468" t="s">
        <v>3810</v>
      </c>
      <c r="D51" s="3469">
        <v>27.66</v>
      </c>
      <c r="E51" s="3469">
        <v>29.05</v>
      </c>
      <c r="F51" s="3470">
        <v>12.72</v>
      </c>
      <c r="G51" s="3470">
        <v>16.329999999999998</v>
      </c>
    </row>
    <row r="52" spans="1:22" ht="18.95" customHeight="1">
      <c r="A52" s="3466">
        <v>51</v>
      </c>
      <c r="B52" s="3467">
        <v>99</v>
      </c>
      <c r="C52" s="3468" t="s">
        <v>3811</v>
      </c>
      <c r="D52" s="3469">
        <v>20.57</v>
      </c>
      <c r="E52" s="3469">
        <v>21.6</v>
      </c>
      <c r="F52" s="3470">
        <v>9.4600000000000009</v>
      </c>
      <c r="G52" s="3470">
        <v>12.14</v>
      </c>
      <c r="P52" s="3526"/>
      <c r="Q52" s="3526"/>
      <c r="R52" s="3526"/>
      <c r="S52" s="3526"/>
      <c r="T52" s="3526"/>
      <c r="U52" s="3526"/>
      <c r="V52" s="3526"/>
    </row>
    <row r="53" spans="1:22" ht="18.95" customHeight="1">
      <c r="A53" s="3466">
        <v>52</v>
      </c>
      <c r="B53" s="3467">
        <v>100</v>
      </c>
      <c r="C53" s="3468" t="s">
        <v>3812</v>
      </c>
      <c r="D53" s="3469">
        <v>20.57</v>
      </c>
      <c r="E53" s="3469">
        <v>21.6</v>
      </c>
      <c r="F53" s="3470">
        <v>9.4600000000000009</v>
      </c>
      <c r="G53" s="3470">
        <v>12.14</v>
      </c>
      <c r="P53" s="3526"/>
      <c r="Q53" s="3526"/>
      <c r="R53" s="3526"/>
      <c r="S53" s="3526"/>
      <c r="T53" s="3526"/>
      <c r="U53" s="3526"/>
      <c r="V53" s="3526"/>
    </row>
    <row r="54" spans="1:22" ht="18.95" customHeight="1">
      <c r="A54" s="3466">
        <v>53</v>
      </c>
      <c r="B54" s="3467">
        <v>101</v>
      </c>
      <c r="C54" s="3468" t="s">
        <v>3813</v>
      </c>
      <c r="D54" s="3469">
        <v>20.57</v>
      </c>
      <c r="E54" s="3469">
        <v>21.6</v>
      </c>
      <c r="F54" s="3470">
        <v>9.4600000000000009</v>
      </c>
      <c r="G54" s="3470">
        <v>12.14</v>
      </c>
      <c r="P54" s="3526"/>
      <c r="Q54" s="3526"/>
      <c r="R54" s="3526"/>
      <c r="S54" s="3526"/>
      <c r="T54" s="3526"/>
      <c r="U54" s="3526"/>
      <c r="V54" s="3526"/>
    </row>
    <row r="55" spans="1:22" ht="18.95" customHeight="1">
      <c r="A55" s="3466">
        <v>54</v>
      </c>
      <c r="B55" s="3467">
        <v>102</v>
      </c>
      <c r="C55" s="3468" t="s">
        <v>3814</v>
      </c>
      <c r="D55" s="3469">
        <v>27.66</v>
      </c>
      <c r="E55" s="3469">
        <v>29.05</v>
      </c>
      <c r="F55" s="3470">
        <v>12.72</v>
      </c>
      <c r="G55" s="3470">
        <v>16.329999999999998</v>
      </c>
      <c r="P55" s="3526"/>
      <c r="Q55" s="3526"/>
      <c r="R55" s="3526"/>
      <c r="S55" s="3526"/>
      <c r="T55" s="3526"/>
      <c r="U55" s="3526"/>
      <c r="V55" s="3526"/>
    </row>
    <row r="56" spans="1:22" ht="18.95" customHeight="1">
      <c r="A56" s="3466">
        <v>55</v>
      </c>
      <c r="B56" s="3467">
        <v>106</v>
      </c>
      <c r="C56" s="3468" t="s">
        <v>3815</v>
      </c>
      <c r="D56" s="3469">
        <v>27.66</v>
      </c>
      <c r="E56" s="3469">
        <v>29.05</v>
      </c>
      <c r="F56" s="3470">
        <v>12.72</v>
      </c>
      <c r="G56" s="3470">
        <v>16.329999999999998</v>
      </c>
      <c r="P56" s="3526"/>
      <c r="Q56" s="3526"/>
      <c r="R56" s="3526"/>
      <c r="S56" s="3526">
        <v>1307</v>
      </c>
      <c r="T56" s="3526"/>
      <c r="U56" s="3526"/>
      <c r="V56" s="3526"/>
    </row>
    <row r="57" spans="1:22" ht="18.95" customHeight="1">
      <c r="A57" s="3466">
        <v>56</v>
      </c>
      <c r="B57" s="3467">
        <v>108</v>
      </c>
      <c r="C57" s="3468" t="s">
        <v>3816</v>
      </c>
      <c r="D57" s="3469">
        <v>27.66</v>
      </c>
      <c r="E57" s="3469">
        <v>29.05</v>
      </c>
      <c r="F57" s="3470">
        <v>12.72</v>
      </c>
      <c r="G57" s="3470">
        <v>16.329999999999998</v>
      </c>
      <c r="O57" s="3471" t="s">
        <v>4104</v>
      </c>
      <c r="P57" s="3526">
        <v>158</v>
      </c>
      <c r="Q57" s="3526">
        <v>52</v>
      </c>
      <c r="R57" s="3526">
        <f>P57+Q57</f>
        <v>210</v>
      </c>
      <c r="S57" s="3526"/>
      <c r="T57" s="3526"/>
      <c r="U57" s="3526"/>
      <c r="V57" s="3526"/>
    </row>
    <row r="58" spans="1:22" ht="18.95" customHeight="1">
      <c r="A58" s="3466">
        <v>57</v>
      </c>
      <c r="B58" s="3467">
        <v>109</v>
      </c>
      <c r="C58" s="3468" t="s">
        <v>3817</v>
      </c>
      <c r="D58" s="3469">
        <v>27.66</v>
      </c>
      <c r="E58" s="3469">
        <v>29.05</v>
      </c>
      <c r="F58" s="3470">
        <v>12.72</v>
      </c>
      <c r="G58" s="3470">
        <v>16.329999999999998</v>
      </c>
      <c r="O58" s="3471" t="s">
        <v>4103</v>
      </c>
      <c r="P58" s="3526">
        <v>30</v>
      </c>
      <c r="Q58" s="3526">
        <v>38</v>
      </c>
      <c r="R58" s="3526">
        <v>896</v>
      </c>
      <c r="S58" s="3526"/>
      <c r="T58" s="3526"/>
      <c r="U58" s="3526"/>
      <c r="V58" s="3526"/>
    </row>
    <row r="59" spans="1:22" ht="18.95" customHeight="1">
      <c r="A59" s="3466">
        <v>58</v>
      </c>
      <c r="B59" s="3467">
        <v>110</v>
      </c>
      <c r="C59" s="3468" t="s">
        <v>3818</v>
      </c>
      <c r="D59" s="3469">
        <v>27.66</v>
      </c>
      <c r="E59" s="3469">
        <v>29.05</v>
      </c>
      <c r="F59" s="3470">
        <v>12.72</v>
      </c>
      <c r="G59" s="3470">
        <v>16.329999999999998</v>
      </c>
      <c r="P59" s="3526"/>
      <c r="Q59" s="3526"/>
      <c r="R59" s="3526"/>
      <c r="S59" s="3526"/>
      <c r="T59" s="3526"/>
      <c r="U59" s="3526"/>
      <c r="V59" s="3526"/>
    </row>
    <row r="60" spans="1:22" ht="18.95" customHeight="1">
      <c r="A60" s="3466">
        <v>59</v>
      </c>
      <c r="B60" s="3467">
        <v>111</v>
      </c>
      <c r="C60" s="3468" t="s">
        <v>3819</v>
      </c>
      <c r="D60" s="3469">
        <v>27.66</v>
      </c>
      <c r="E60" s="3469">
        <v>29.05</v>
      </c>
      <c r="F60" s="3470">
        <v>12.72</v>
      </c>
      <c r="G60" s="3470">
        <v>16.329999999999998</v>
      </c>
      <c r="P60" s="3526"/>
      <c r="Q60" s="3526">
        <f>38/68*R58</f>
        <v>500.70588235294122</v>
      </c>
      <c r="R60" s="3526"/>
      <c r="S60" s="3526"/>
      <c r="T60" s="3526"/>
      <c r="U60" s="3526"/>
      <c r="V60" s="3526"/>
    </row>
    <row r="61" spans="1:22" ht="18.95" customHeight="1">
      <c r="A61" s="3466">
        <v>60</v>
      </c>
      <c r="B61" s="3467">
        <v>112</v>
      </c>
      <c r="C61" s="3468" t="s">
        <v>3820</v>
      </c>
      <c r="D61" s="3469">
        <v>27.66</v>
      </c>
      <c r="E61" s="3469">
        <v>29.05</v>
      </c>
      <c r="F61" s="3470">
        <v>12.72</v>
      </c>
      <c r="G61" s="3470">
        <v>16.329999999999998</v>
      </c>
      <c r="P61" s="3526"/>
      <c r="Q61" s="3526"/>
      <c r="R61" s="3526"/>
      <c r="S61" s="3526"/>
      <c r="T61" s="3526"/>
      <c r="U61" s="3526"/>
      <c r="V61" s="3526"/>
    </row>
    <row r="62" spans="1:22" ht="18.95" customHeight="1">
      <c r="A62" s="3466">
        <v>61</v>
      </c>
      <c r="B62" s="3467">
        <v>113</v>
      </c>
      <c r="C62" s="3468" t="s">
        <v>3821</v>
      </c>
      <c r="D62" s="3469">
        <v>27.66</v>
      </c>
      <c r="E62" s="3469">
        <v>29.05</v>
      </c>
      <c r="F62" s="3470">
        <v>12.72</v>
      </c>
      <c r="G62" s="3470">
        <v>16.329999999999998</v>
      </c>
      <c r="P62" s="3526"/>
      <c r="Q62" s="3526"/>
      <c r="R62" s="3526"/>
      <c r="S62" s="3526"/>
      <c r="T62" s="3526"/>
      <c r="U62" s="3526"/>
      <c r="V62" s="3526"/>
    </row>
    <row r="63" spans="1:22" ht="18.95" customHeight="1">
      <c r="A63" s="3466">
        <v>62</v>
      </c>
      <c r="B63" s="3467">
        <v>114</v>
      </c>
      <c r="C63" s="3468" t="s">
        <v>3822</v>
      </c>
      <c r="D63" s="3469">
        <v>27.66</v>
      </c>
      <c r="E63" s="3469">
        <v>29.05</v>
      </c>
      <c r="F63" s="3470">
        <v>12.72</v>
      </c>
      <c r="G63" s="3470">
        <v>16.329999999999998</v>
      </c>
      <c r="P63" s="3526"/>
      <c r="Q63" s="3526"/>
      <c r="R63" s="3526"/>
      <c r="S63" s="3526"/>
      <c r="T63" s="3526"/>
      <c r="U63" s="3526"/>
      <c r="V63" s="3526"/>
    </row>
    <row r="64" spans="1:22" ht="18.95" customHeight="1">
      <c r="A64" s="3466">
        <v>63</v>
      </c>
      <c r="B64" s="3467">
        <v>116</v>
      </c>
      <c r="C64" s="3468" t="s">
        <v>3823</v>
      </c>
      <c r="D64" s="3469">
        <v>27.66</v>
      </c>
      <c r="E64" s="3469">
        <v>29.05</v>
      </c>
      <c r="F64" s="3470">
        <v>12.72</v>
      </c>
      <c r="G64" s="3470">
        <v>16.329999999999998</v>
      </c>
      <c r="P64" s="3526"/>
      <c r="Q64" s="3526"/>
      <c r="R64" s="3526"/>
      <c r="S64" s="3526"/>
      <c r="T64" s="3526"/>
      <c r="U64" s="3526"/>
      <c r="V64" s="3526"/>
    </row>
    <row r="65" spans="1:22" ht="18.95" customHeight="1">
      <c r="A65" s="3466">
        <v>64</v>
      </c>
      <c r="B65" s="3467">
        <v>118</v>
      </c>
      <c r="C65" s="3468" t="s">
        <v>3824</v>
      </c>
      <c r="D65" s="3469">
        <v>27.66</v>
      </c>
      <c r="E65" s="3469">
        <v>29.05</v>
      </c>
      <c r="F65" s="3470">
        <v>12.72</v>
      </c>
      <c r="G65" s="3470">
        <v>16.329999999999998</v>
      </c>
      <c r="P65" s="3526"/>
      <c r="Q65" s="3526"/>
      <c r="R65" s="3526"/>
      <c r="S65" s="3526"/>
      <c r="T65" s="3526"/>
      <c r="U65" s="3526"/>
      <c r="V65" s="3526"/>
    </row>
    <row r="66" spans="1:22" ht="18.95" customHeight="1">
      <c r="A66" s="3466">
        <v>65</v>
      </c>
      <c r="B66" s="3467">
        <v>119</v>
      </c>
      <c r="C66" s="3468" t="s">
        <v>3825</v>
      </c>
      <c r="D66" s="3469">
        <v>27.66</v>
      </c>
      <c r="E66" s="3520">
        <v>50.65</v>
      </c>
      <c r="F66" s="3470">
        <v>22.18</v>
      </c>
      <c r="G66" s="3470">
        <v>28.47</v>
      </c>
      <c r="P66" s="3526"/>
      <c r="Q66" s="3526"/>
      <c r="R66" s="3526"/>
      <c r="S66" s="3526"/>
      <c r="T66" s="3526"/>
      <c r="U66" s="3526"/>
      <c r="V66" s="3526"/>
    </row>
    <row r="67" spans="1:22" ht="18.95" customHeight="1">
      <c r="A67" s="3466">
        <v>66</v>
      </c>
      <c r="B67" s="3467">
        <v>120</v>
      </c>
      <c r="C67" s="3468" t="s">
        <v>3826</v>
      </c>
      <c r="D67" s="3469">
        <v>27.66</v>
      </c>
      <c r="E67" s="3520">
        <v>50.65</v>
      </c>
      <c r="F67" s="3470">
        <v>22.18</v>
      </c>
      <c r="G67" s="3470">
        <v>28.47</v>
      </c>
    </row>
    <row r="68" spans="1:22" ht="18.95" customHeight="1">
      <c r="A68" s="3466">
        <v>67</v>
      </c>
      <c r="B68" s="3467">
        <v>121</v>
      </c>
      <c r="C68" s="3468" t="s">
        <v>3827</v>
      </c>
      <c r="D68" s="3469">
        <v>27.66</v>
      </c>
      <c r="E68" s="3469">
        <v>29.05</v>
      </c>
      <c r="F68" s="3470">
        <v>12.72</v>
      </c>
      <c r="G68" s="3470">
        <v>16.329999999999998</v>
      </c>
    </row>
    <row r="69" spans="1:22" ht="18.95" customHeight="1">
      <c r="A69" s="3466">
        <v>68</v>
      </c>
      <c r="B69" s="3467">
        <v>123</v>
      </c>
      <c r="C69" s="3468" t="s">
        <v>3828</v>
      </c>
      <c r="D69" s="3469">
        <v>27.66</v>
      </c>
      <c r="E69" s="3469">
        <v>29.05</v>
      </c>
      <c r="F69" s="3470">
        <v>12.72</v>
      </c>
      <c r="G69" s="3470">
        <v>16.329999999999998</v>
      </c>
    </row>
    <row r="70" spans="1:22" ht="18.95" customHeight="1">
      <c r="A70" s="3466">
        <v>69</v>
      </c>
      <c r="B70" s="3467">
        <v>127</v>
      </c>
      <c r="C70" s="3468" t="s">
        <v>3829</v>
      </c>
      <c r="D70" s="3469">
        <v>42.64</v>
      </c>
      <c r="E70" s="3520">
        <v>44.78</v>
      </c>
      <c r="F70" s="3470">
        <v>19.61</v>
      </c>
      <c r="G70" s="3470">
        <v>25.17</v>
      </c>
    </row>
    <row r="71" spans="1:22" ht="18.95" customHeight="1">
      <c r="A71" s="3466">
        <v>70</v>
      </c>
      <c r="B71" s="3467">
        <v>128</v>
      </c>
      <c r="C71" s="3468" t="s">
        <v>3830</v>
      </c>
      <c r="D71" s="3469">
        <v>27.66</v>
      </c>
      <c r="E71" s="3469">
        <v>29.05</v>
      </c>
      <c r="F71" s="3470">
        <v>12.72</v>
      </c>
      <c r="G71" s="3470">
        <v>16.329999999999998</v>
      </c>
    </row>
    <row r="72" spans="1:22" ht="18.95" customHeight="1">
      <c r="A72" s="3466">
        <v>71</v>
      </c>
      <c r="B72" s="3467">
        <v>130</v>
      </c>
      <c r="C72" s="3468" t="s">
        <v>3831</v>
      </c>
      <c r="D72" s="3469">
        <v>27.66</v>
      </c>
      <c r="E72" s="3520">
        <v>44.78</v>
      </c>
      <c r="F72" s="3470">
        <v>19.61</v>
      </c>
      <c r="G72" s="3470">
        <v>25.17</v>
      </c>
    </row>
    <row r="73" spans="1:22" ht="18.95" customHeight="1">
      <c r="A73" s="3466">
        <v>72</v>
      </c>
      <c r="B73" s="3467">
        <v>131</v>
      </c>
      <c r="C73" s="3468" t="s">
        <v>3832</v>
      </c>
      <c r="D73" s="3469">
        <v>27.66</v>
      </c>
      <c r="E73" s="3469">
        <v>29.05</v>
      </c>
      <c r="F73" s="3470">
        <v>12.72</v>
      </c>
      <c r="G73" s="3470">
        <v>16.329999999999998</v>
      </c>
    </row>
    <row r="74" spans="1:22" ht="18.95" customHeight="1">
      <c r="A74" s="3466">
        <v>73</v>
      </c>
      <c r="B74" s="3467">
        <v>139</v>
      </c>
      <c r="C74" s="3468" t="s">
        <v>3833</v>
      </c>
      <c r="D74" s="3469">
        <v>27.66</v>
      </c>
      <c r="E74" s="3469">
        <v>29.05</v>
      </c>
      <c r="F74" s="3470">
        <v>12.72</v>
      </c>
      <c r="G74" s="3470">
        <v>16.329999999999998</v>
      </c>
    </row>
    <row r="75" spans="1:22" ht="18.95" customHeight="1">
      <c r="A75" s="3466">
        <v>74</v>
      </c>
      <c r="B75" s="3467">
        <v>144</v>
      </c>
      <c r="C75" s="3468" t="s">
        <v>3834</v>
      </c>
      <c r="D75" s="3469">
        <v>27.66</v>
      </c>
      <c r="E75" s="3469">
        <v>29.05</v>
      </c>
      <c r="F75" s="3470">
        <v>12.72</v>
      </c>
      <c r="G75" s="3470">
        <v>16.329999999999998</v>
      </c>
    </row>
    <row r="76" spans="1:22" ht="18.95" customHeight="1">
      <c r="A76" s="3466">
        <v>75</v>
      </c>
      <c r="B76" s="3467">
        <v>148</v>
      </c>
      <c r="C76" s="3468" t="s">
        <v>3835</v>
      </c>
      <c r="D76" s="3469">
        <v>20.57</v>
      </c>
      <c r="E76" s="3469">
        <v>21.6</v>
      </c>
      <c r="F76" s="3470">
        <v>9.4600000000000009</v>
      </c>
      <c r="G76" s="3470">
        <v>12.14</v>
      </c>
    </row>
    <row r="77" spans="1:22" ht="18.95" customHeight="1">
      <c r="A77" s="3466">
        <v>76</v>
      </c>
      <c r="B77" s="3467">
        <v>203</v>
      </c>
      <c r="C77" s="3468" t="s">
        <v>3836</v>
      </c>
      <c r="D77" s="3469">
        <v>27.66</v>
      </c>
      <c r="E77" s="3469">
        <v>29.05</v>
      </c>
      <c r="F77" s="3470">
        <v>12.72</v>
      </c>
      <c r="G77" s="3470">
        <v>16.329999999999998</v>
      </c>
    </row>
    <row r="78" spans="1:22" ht="18.95" customHeight="1">
      <c r="A78" s="3466">
        <v>77</v>
      </c>
      <c r="B78" s="3467">
        <v>204</v>
      </c>
      <c r="C78" s="3468" t="s">
        <v>3837</v>
      </c>
      <c r="D78" s="3469">
        <v>42.64</v>
      </c>
      <c r="E78" s="3520">
        <v>44.78</v>
      </c>
      <c r="F78" s="3470">
        <v>19.61</v>
      </c>
      <c r="G78" s="3470">
        <v>25.17</v>
      </c>
    </row>
    <row r="79" spans="1:22" ht="18.95" customHeight="1">
      <c r="A79" s="3466">
        <v>78</v>
      </c>
      <c r="B79" s="3467">
        <v>205</v>
      </c>
      <c r="C79" s="3468" t="s">
        <v>3838</v>
      </c>
      <c r="D79" s="3469">
        <v>20.57</v>
      </c>
      <c r="E79" s="3469">
        <v>21.6</v>
      </c>
      <c r="F79" s="3470">
        <v>9.4600000000000009</v>
      </c>
      <c r="G79" s="3470">
        <v>12.14</v>
      </c>
    </row>
    <row r="80" spans="1:22" ht="18.95" customHeight="1">
      <c r="A80" s="3466">
        <v>79</v>
      </c>
      <c r="B80" s="3467" t="s">
        <v>3839</v>
      </c>
      <c r="C80" s="3468" t="s">
        <v>3840</v>
      </c>
      <c r="D80" s="3469">
        <v>55.32</v>
      </c>
      <c r="E80" s="3520">
        <v>50.65</v>
      </c>
      <c r="F80" s="3470">
        <v>22.18</v>
      </c>
      <c r="G80" s="3470">
        <v>28.47</v>
      </c>
    </row>
    <row r="81" spans="5:5">
      <c r="E81" s="3523">
        <f>SUM(E2:E80)</f>
        <v>2385.4199999999992</v>
      </c>
    </row>
  </sheetData>
  <sheetProtection formatCells="0" insertHyperlinks="0" autoFilter="0"/>
  <phoneticPr fontId="134" type="noConversion"/>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L66" sqref="L6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4" width="6.75" style="1679" customWidth="1"/>
    <col min="25" max="25" width="8.375" style="1679" customWidth="1"/>
    <col min="26"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1157</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1158</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1159</v>
      </c>
      <c r="B4" s="1685"/>
      <c r="C4" s="1686"/>
      <c r="D4" s="1687"/>
      <c r="E4" s="1686" t="s">
        <v>1160</v>
      </c>
      <c r="F4" s="1686"/>
      <c r="G4" s="1686"/>
      <c r="H4" s="1686"/>
      <c r="I4" s="1686"/>
      <c r="J4" s="1688"/>
      <c r="K4" s="1689"/>
      <c r="L4" s="1690"/>
      <c r="M4" s="1686"/>
      <c r="N4" s="1686" t="s">
        <v>1161</v>
      </c>
      <c r="O4" s="1686"/>
      <c r="P4" s="1686"/>
      <c r="Q4" s="1686"/>
      <c r="R4" s="1686"/>
      <c r="S4" s="1688"/>
      <c r="T4" s="2653" t="str">
        <f>'数据-汇总表'!I17</f>
        <v>按面积比例</v>
      </c>
      <c r="U4" s="1685" t="s">
        <v>1162</v>
      </c>
      <c r="V4" s="1686"/>
      <c r="W4" s="1686"/>
      <c r="X4" s="1686"/>
      <c r="Y4" s="1688"/>
      <c r="Z4" s="1649" t="s">
        <v>1163</v>
      </c>
      <c r="AA4" s="1649"/>
      <c r="AB4" s="1649"/>
      <c r="AC4" s="1649"/>
      <c r="AD4" s="1649"/>
      <c r="AE4" s="1647" t="s">
        <v>1164</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1165</v>
      </c>
      <c r="B5" s="1693" t="s">
        <v>1166</v>
      </c>
      <c r="C5" s="1694" t="s">
        <v>1167</v>
      </c>
      <c r="D5" s="1695" t="s">
        <v>1168</v>
      </c>
      <c r="E5" s="1045" t="s">
        <v>1169</v>
      </c>
      <c r="F5" s="1696" t="s">
        <v>1170</v>
      </c>
      <c r="G5" s="1045" t="s">
        <v>1171</v>
      </c>
      <c r="H5" s="1045" t="s">
        <v>1172</v>
      </c>
      <c r="I5" s="1045" t="s">
        <v>1173</v>
      </c>
      <c r="J5" s="1697" t="s">
        <v>1174</v>
      </c>
      <c r="K5" s="1698" t="s">
        <v>1175</v>
      </c>
      <c r="L5" s="1699" t="s">
        <v>1176</v>
      </c>
      <c r="M5" s="1700" t="s">
        <v>1177</v>
      </c>
      <c r="N5" s="1701" t="s">
        <v>3854</v>
      </c>
      <c r="O5" s="1699" t="s">
        <v>1178</v>
      </c>
      <c r="P5" s="1702" t="s">
        <v>1179</v>
      </c>
      <c r="Q5" s="61" t="s">
        <v>1180</v>
      </c>
      <c r="R5" s="1703" t="s">
        <v>1181</v>
      </c>
      <c r="S5" s="1704" t="s">
        <v>1182</v>
      </c>
      <c r="T5" s="1705" t="s">
        <v>1183</v>
      </c>
      <c r="U5" s="1044" t="s">
        <v>1184</v>
      </c>
      <c r="V5" s="1045" t="s">
        <v>1185</v>
      </c>
      <c r="W5" s="1045" t="s">
        <v>1186</v>
      </c>
      <c r="X5" s="63"/>
      <c r="Y5" s="62" t="s">
        <v>1187</v>
      </c>
      <c r="Z5" s="1706" t="s">
        <v>1184</v>
      </c>
      <c r="AA5" s="1045" t="s">
        <v>1185</v>
      </c>
      <c r="AB5" s="1045" t="s">
        <v>1186</v>
      </c>
      <c r="AC5" s="63"/>
      <c r="AD5" s="63" t="s">
        <v>1187</v>
      </c>
      <c r="AE5" s="1044" t="s">
        <v>1188</v>
      </c>
      <c r="AF5" s="1045" t="s">
        <v>1189</v>
      </c>
      <c r="AG5" s="62" t="s">
        <v>1190</v>
      </c>
      <c r="AH5" s="1044" t="s">
        <v>1191</v>
      </c>
      <c r="AI5" s="1706" t="s">
        <v>1192</v>
      </c>
      <c r="AJ5" s="1706" t="s">
        <v>1193</v>
      </c>
      <c r="AK5" s="1045" t="s">
        <v>1194</v>
      </c>
      <c r="AL5" s="1045" t="s">
        <v>1195</v>
      </c>
      <c r="AM5" s="62" t="s">
        <v>1196</v>
      </c>
      <c r="AN5" s="1707" t="s">
        <v>1197</v>
      </c>
      <c r="AO5" s="1559" t="s">
        <v>1198</v>
      </c>
      <c r="AP5" s="1026" t="s">
        <v>1199</v>
      </c>
      <c r="AQ5" s="1708" t="s">
        <v>1200</v>
      </c>
      <c r="AR5" s="1708" t="s">
        <v>1201</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3756</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502">
        <v>4.4999999999999998E-2</v>
      </c>
      <c r="I6" s="3502">
        <v>0.05</v>
      </c>
      <c r="J6" s="66">
        <v>7.0000000000000007E-2</v>
      </c>
      <c r="K6" s="1028">
        <f>SUMIF('数据-汇总表'!C$19:C$33,A6,'数据-汇总表'!E$19:E$33)</f>
        <v>86.99</v>
      </c>
      <c r="L6" s="732">
        <v>4000</v>
      </c>
      <c r="M6" s="67">
        <f t="shared" ref="M6:M14" si="0">ROUND(K6*L6/10000,0)</f>
        <v>35</v>
      </c>
      <c r="N6" s="730">
        <v>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347960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3335</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502">
        <v>4.4999999999999998E-2</v>
      </c>
      <c r="I7" s="3502">
        <v>0.05</v>
      </c>
      <c r="J7" s="66">
        <v>7.0000000000000007E-2</v>
      </c>
      <c r="K7" s="1028">
        <f>SUMIF('数据-汇总表'!C$19:C$33,A7,'数据-汇总表'!E$19:E$33)</f>
        <v>29.05</v>
      </c>
      <c r="L7" s="732">
        <v>3000</v>
      </c>
      <c r="M7" s="67">
        <f t="shared" si="0"/>
        <v>9</v>
      </c>
      <c r="N7" s="730">
        <v>1</v>
      </c>
      <c r="O7" s="67" t="str">
        <f t="shared" ref="O7:O14" si="3">IF($N$5="成新度","——",ROUND(M7*N7,0))</f>
        <v>——</v>
      </c>
      <c r="P7" s="68" t="str">
        <f t="shared" ref="P7:P14" si="4">IF($N$5="成新度","——",M7-O7)</f>
        <v>——</v>
      </c>
      <c r="Q7" s="733">
        <v>0.05</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v>450</v>
      </c>
      <c r="V7" s="70">
        <v>0.02</v>
      </c>
      <c r="W7" s="70">
        <v>0.1</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3855</v>
      </c>
      <c r="AO7" s="52">
        <f t="shared" ref="AO7:AO13" ca="1" si="8">SUMIF(INDIRECT("'"&amp;AN7&amp;"'"&amp;"!A:A"),"总价",INDIRECT("'"&amp;AN7&amp;"'"&amp;"!B:B"))</f>
        <v>8.3164999999999996</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1202</v>
      </c>
      <c r="B14" s="1710" t="s">
        <v>1203</v>
      </c>
      <c r="C14" s="1715" t="s">
        <v>1202</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1204</v>
      </c>
      <c r="B15" s="1710" t="s">
        <v>1203</v>
      </c>
      <c r="C15" s="1715" t="s">
        <v>1205</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1206</v>
      </c>
      <c r="B16" s="88"/>
      <c r="C16" s="832"/>
      <c r="D16" s="1717"/>
      <c r="E16" s="88"/>
      <c r="F16" s="88"/>
      <c r="G16" s="89">
        <f>ROUND(SUMPRODUCT(G6:G13,K6:K13)/SUMPRODUCT((G6:G13&gt;0)*(K6:K13)),3)</f>
        <v>0.98699999999999999</v>
      </c>
      <c r="H16" s="90">
        <f>ROUND(SUMPRODUCT(H6:H13,K6:K13)/SUMPRODUCT((H6:H13&gt;0)*(K6:K13)),3)</f>
        <v>4.4999999999999998E-2</v>
      </c>
      <c r="I16" s="91"/>
      <c r="J16" s="91"/>
      <c r="K16" s="92">
        <f>SUM(K6:K15)</f>
        <v>116.03999999999999</v>
      </c>
      <c r="L16" s="93">
        <f>ROUND(M16*10000/SUM(K6:K14),0)</f>
        <v>3792</v>
      </c>
      <c r="M16" s="93">
        <f>SUM(M6:M14)</f>
        <v>44</v>
      </c>
      <c r="N16" s="94">
        <f>ROUND(SUMPRODUCT(M6:M14,N6:N14)/M16,3)</f>
        <v>1</v>
      </c>
      <c r="O16" s="93">
        <f>SUM(O6:O14)</f>
        <v>0</v>
      </c>
      <c r="P16" s="93">
        <f>SUM(P6:P14)</f>
        <v>0</v>
      </c>
      <c r="Q16" s="95">
        <f>ROUND(SUMPRODUCT(Q6:Q13,K6:K13)/SUMPRODUCT((Q6:Q13&gt;0)*(K6:K13)),2)</f>
        <v>0.12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1207</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1208</v>
      </c>
      <c r="B19" s="103">
        <v>0</v>
      </c>
      <c r="C19" s="2794" t="s">
        <v>2301</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1209</v>
      </c>
      <c r="B20" s="104">
        <v>2</v>
      </c>
      <c r="C20" s="2795" t="s">
        <v>2299</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1210</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1211</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1212</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1213</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1214</v>
      </c>
      <c r="B26" s="1723" t="s">
        <v>1215</v>
      </c>
      <c r="C26" s="2672" t="s">
        <v>1216</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1217</v>
      </c>
      <c r="B27" s="107">
        <v>150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1218</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1219</v>
      </c>
      <c r="B29" s="112"/>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1220</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1221</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1222</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1223</v>
      </c>
      <c r="B33" s="672">
        <v>0.05</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1224</v>
      </c>
      <c r="B34" s="113">
        <v>0.05</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1225</v>
      </c>
      <c r="B35" s="110">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1226</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1227</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1228</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1229</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2310</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1230</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1231</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1232</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1233</v>
      </c>
      <c r="B44" s="119">
        <v>0.05</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1234</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1235</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1236</v>
      </c>
      <c r="B47" s="120"/>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1237</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1238</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1239</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1240</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1241</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1242</v>
      </c>
      <c r="B53" s="1735" t="s">
        <v>29</v>
      </c>
      <c r="C53" s="2656" t="s">
        <v>1243</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1244</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1245</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1246</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1247</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1248</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1249</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1250</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1251</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1252</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1253</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616" t="s">
        <v>2282</v>
      </c>
      <c r="B1" s="3617"/>
      <c r="C1" s="3617"/>
      <c r="D1" s="3617"/>
      <c r="E1" s="3617"/>
      <c r="F1" s="3617"/>
      <c r="G1" s="361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2277</v>
      </c>
      <c r="D2" s="2456"/>
      <c r="E2" s="2453"/>
      <c r="F2" s="2457"/>
      <c r="G2" s="2455" t="s">
        <v>2278</v>
      </c>
      <c r="H2" s="798"/>
      <c r="I2" s="798"/>
      <c r="J2" s="798"/>
      <c r="K2" s="798"/>
      <c r="L2" s="798"/>
      <c r="M2" s="798"/>
      <c r="N2" s="798"/>
      <c r="O2" s="798"/>
      <c r="P2" s="798"/>
      <c r="Q2" s="798"/>
      <c r="R2" s="798"/>
    </row>
    <row r="3" spans="1:29" ht="48">
      <c r="A3" s="2436" t="s">
        <v>2279</v>
      </c>
      <c r="B3" s="2458" t="s">
        <v>2248</v>
      </c>
      <c r="C3" s="2459" t="s">
        <v>2280</v>
      </c>
      <c r="D3" s="2460"/>
      <c r="E3" s="2437" t="s">
        <v>2279</v>
      </c>
      <c r="F3" s="2461" t="s">
        <v>2249</v>
      </c>
      <c r="G3" s="2462" t="s">
        <v>2281</v>
      </c>
      <c r="H3" s="798"/>
      <c r="I3" s="798"/>
      <c r="J3" s="798"/>
      <c r="K3" s="798"/>
      <c r="L3" s="798"/>
      <c r="M3" s="798"/>
      <c r="N3" s="798"/>
      <c r="O3" s="798"/>
      <c r="P3" s="798"/>
      <c r="Q3" s="798"/>
      <c r="R3" s="798"/>
    </row>
    <row r="4" spans="1:29" ht="36.75">
      <c r="A4" s="2437"/>
      <c r="B4" s="323" t="s">
        <v>2250</v>
      </c>
      <c r="C4" s="2463" t="s">
        <v>2251</v>
      </c>
      <c r="D4" s="2460"/>
      <c r="E4" s="2464"/>
      <c r="F4" s="1370" t="s">
        <v>2252</v>
      </c>
      <c r="G4" s="2465" t="s">
        <v>2253</v>
      </c>
      <c r="H4" s="798"/>
      <c r="I4" s="798"/>
      <c r="J4" s="798"/>
      <c r="K4" s="798"/>
      <c r="L4" s="798"/>
      <c r="M4" s="798"/>
      <c r="N4" s="798"/>
      <c r="O4" s="798"/>
      <c r="P4" s="798"/>
      <c r="Q4" s="798"/>
      <c r="R4" s="798"/>
    </row>
    <row r="5" spans="1:29" ht="36.75">
      <c r="A5" s="2437"/>
      <c r="B5" s="323" t="s">
        <v>2254</v>
      </c>
      <c r="C5" s="2463" t="s">
        <v>2255</v>
      </c>
      <c r="D5" s="2460"/>
      <c r="E5" s="2464"/>
      <c r="F5" s="323" t="s">
        <v>2256</v>
      </c>
      <c r="G5" s="2465" t="s">
        <v>2257</v>
      </c>
      <c r="H5" s="798"/>
      <c r="I5" s="798"/>
      <c r="J5" s="798"/>
      <c r="K5" s="798"/>
      <c r="L5" s="798"/>
      <c r="M5" s="798"/>
      <c r="N5" s="798"/>
      <c r="O5" s="798"/>
      <c r="P5" s="798"/>
      <c r="Q5" s="798"/>
      <c r="R5" s="798"/>
    </row>
    <row r="6" spans="1:29" ht="36">
      <c r="A6" s="2437"/>
      <c r="B6" s="323" t="s">
        <v>2258</v>
      </c>
      <c r="C6" s="2465" t="s">
        <v>2253</v>
      </c>
      <c r="D6" s="2460"/>
      <c r="E6" s="2464"/>
      <c r="F6" s="323" t="s">
        <v>2259</v>
      </c>
      <c r="G6" s="2465" t="s">
        <v>2260</v>
      </c>
      <c r="H6" s="798"/>
      <c r="I6" s="798"/>
      <c r="J6" s="798"/>
      <c r="K6" s="798"/>
      <c r="L6" s="798"/>
      <c r="M6" s="798"/>
      <c r="N6" s="798"/>
      <c r="O6" s="798"/>
      <c r="P6" s="798"/>
      <c r="Q6" s="798"/>
      <c r="R6" s="798"/>
    </row>
    <row r="7" spans="1:29" ht="24.75" thickBot="1">
      <c r="A7" s="2437"/>
      <c r="B7" s="323" t="s">
        <v>2256</v>
      </c>
      <c r="C7" s="2465" t="s">
        <v>2257</v>
      </c>
      <c r="D7" s="2466"/>
      <c r="E7" s="2467"/>
      <c r="F7" s="2468" t="s">
        <v>2261</v>
      </c>
      <c r="G7" s="2469" t="s">
        <v>2262</v>
      </c>
      <c r="H7" s="798"/>
      <c r="I7" s="798"/>
      <c r="J7" s="798"/>
      <c r="K7" s="798"/>
      <c r="L7" s="798"/>
      <c r="M7" s="798"/>
      <c r="N7" s="798"/>
      <c r="O7" s="798"/>
      <c r="P7" s="798"/>
      <c r="Q7" s="798"/>
      <c r="R7" s="798"/>
    </row>
    <row r="8" spans="1:29">
      <c r="A8" s="2437"/>
      <c r="B8" s="323" t="s">
        <v>2259</v>
      </c>
      <c r="C8" s="2465" t="s">
        <v>2260</v>
      </c>
      <c r="D8" s="2466"/>
      <c r="E8" s="2466"/>
      <c r="F8" s="2470"/>
      <c r="G8" s="2470"/>
      <c r="H8" s="798"/>
      <c r="I8" s="798"/>
      <c r="J8" s="798"/>
      <c r="K8" s="798"/>
      <c r="L8" s="798"/>
      <c r="M8" s="798"/>
      <c r="N8" s="798"/>
      <c r="O8" s="798"/>
      <c r="P8" s="798"/>
      <c r="Q8" s="798"/>
      <c r="R8" s="798"/>
    </row>
    <row r="9" spans="1:29" ht="24">
      <c r="A9" s="2437"/>
      <c r="B9" s="323" t="s">
        <v>2263</v>
      </c>
      <c r="C9" s="2463" t="s">
        <v>2264</v>
      </c>
      <c r="D9" s="2460"/>
      <c r="E9" s="2466"/>
      <c r="F9" s="2470"/>
      <c r="G9" s="2470"/>
      <c r="H9" s="798"/>
      <c r="I9" s="798"/>
      <c r="J9" s="798"/>
      <c r="K9" s="798"/>
      <c r="L9" s="798"/>
      <c r="M9" s="798"/>
      <c r="N9" s="798"/>
      <c r="O9" s="798"/>
      <c r="P9" s="798"/>
      <c r="Q9" s="798"/>
      <c r="R9" s="798"/>
    </row>
    <row r="10" spans="1:29" s="2476" customFormat="1" ht="15" thickBot="1">
      <c r="A10" s="2438"/>
      <c r="B10" s="2471" t="s">
        <v>2265</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2266</v>
      </c>
      <c r="D14" s="2460"/>
      <c r="E14" s="2491"/>
      <c r="F14" s="2491"/>
      <c r="G14" s="2455" t="s">
        <v>2267</v>
      </c>
    </row>
    <row r="15" spans="1:29" ht="51">
      <c r="A15" s="2439" t="s">
        <v>2268</v>
      </c>
      <c r="B15" s="2492" t="s">
        <v>2248</v>
      </c>
      <c r="C15" s="2493" t="str">
        <f>C3</f>
        <v>估价对象周边居住用地比例、居住小区规模和社区发展完善程度，综合评价居住社区成熟度一般</v>
      </c>
      <c r="D15" s="2460"/>
      <c r="E15" s="2440" t="s">
        <v>2269</v>
      </c>
      <c r="F15" s="2492" t="s">
        <v>2270</v>
      </c>
      <c r="G15" s="2494" t="str">
        <f>G3</f>
        <v>估价对象位于XX开发区，园区建设成熟度XX，产业集聚程度XX</v>
      </c>
    </row>
    <row r="16" spans="1:29" ht="38.25">
      <c r="A16" s="2441"/>
      <c r="B16" s="2495" t="s">
        <v>2250</v>
      </c>
      <c r="C16" s="2496" t="str">
        <f>C4</f>
        <v>估价对象位于XX商圈，周边商业氛围成熟，人流量大，商业繁华度好</v>
      </c>
      <c r="D16" s="2460"/>
      <c r="E16" s="2442"/>
      <c r="F16" s="2497" t="s">
        <v>2252</v>
      </c>
      <c r="G16" s="2498" t="str">
        <f>G4</f>
        <v>估价对象周边道路状况、公共交通通达情况、停车便捷程度，综合评价交通便捷度较好</v>
      </c>
    </row>
    <row r="17" spans="1:18" ht="38.25">
      <c r="A17" s="2441"/>
      <c r="B17" s="2495" t="s">
        <v>2254</v>
      </c>
      <c r="C17" s="2496" t="str">
        <f>C5</f>
        <v>估价对象位于XX商圈，周边办公楼项目较多，入驻率高，办公集聚程度较好</v>
      </c>
      <c r="D17" s="2466"/>
      <c r="E17" s="2442"/>
      <c r="F17" s="2497" t="s">
        <v>2271</v>
      </c>
      <c r="G17" s="2499"/>
    </row>
    <row r="18" spans="1:18" ht="38.25">
      <c r="A18" s="2441"/>
      <c r="B18" s="2497" t="s">
        <v>2258</v>
      </c>
      <c r="C18" s="2498" t="str">
        <f>C6</f>
        <v>估价对象周边道路状况、公共交通通达情况、停车便捷程度，综合评价交通便捷度较好</v>
      </c>
      <c r="D18" s="2466"/>
      <c r="E18" s="2442"/>
      <c r="F18" s="2497" t="s">
        <v>2261</v>
      </c>
      <c r="G18" s="2498" t="str">
        <f>G7</f>
        <v>该园区内是否有污染型企业，绿化情况，卫生条件，整体环境状况判断</v>
      </c>
    </row>
    <row r="19" spans="1:18" ht="25.5">
      <c r="A19" s="2441"/>
      <c r="B19" s="2497" t="s">
        <v>2272</v>
      </c>
      <c r="C19" s="2499"/>
      <c r="D19" s="2460"/>
      <c r="E19" s="2442"/>
      <c r="F19" s="323" t="s">
        <v>2256</v>
      </c>
      <c r="G19" s="2498" t="str">
        <f>G5</f>
        <v>估价对象所在区域公共配套设施齐备情况</v>
      </c>
    </row>
    <row r="20" spans="1:18" ht="25.5">
      <c r="A20" s="2441"/>
      <c r="B20" s="2497" t="s">
        <v>2273</v>
      </c>
      <c r="C20" s="2496" t="str">
        <f>C9</f>
        <v>区域自然环境：；人文环境；综合评价环境状况一般</v>
      </c>
      <c r="D20" s="2466"/>
      <c r="E20" s="2442"/>
      <c r="F20" s="323" t="s">
        <v>2259</v>
      </c>
      <c r="G20" s="2498" t="str">
        <f>G6</f>
        <v>估价对象所在区域基础设施水平</v>
      </c>
    </row>
    <row r="21" spans="1:18" ht="25.5">
      <c r="A21" s="2441"/>
      <c r="B21" s="323" t="s">
        <v>2256</v>
      </c>
      <c r="C21" s="2498" t="str">
        <f>C7</f>
        <v>估价对象所在区域公共配套设施齐备情况</v>
      </c>
      <c r="D21" s="2460"/>
      <c r="E21" s="2442"/>
      <c r="F21" s="2497" t="s">
        <v>2274</v>
      </c>
      <c r="G21" s="2500"/>
    </row>
    <row r="22" spans="1:18" ht="13.5" customHeight="1">
      <c r="A22" s="2441"/>
      <c r="B22" s="323" t="s">
        <v>2259</v>
      </c>
      <c r="C22" s="2498" t="str">
        <f>C8</f>
        <v>估价对象所在区域基础设施水平</v>
      </c>
      <c r="D22" s="2460"/>
      <c r="E22" s="2442"/>
      <c r="F22" s="2497" t="s">
        <v>2265</v>
      </c>
      <c r="G22" s="2499"/>
    </row>
    <row r="23" spans="1:18" s="798" customFormat="1" ht="15" thickBot="1">
      <c r="A23" s="2441"/>
      <c r="B23" s="2497" t="s">
        <v>2274</v>
      </c>
      <c r="C23" s="2500"/>
      <c r="D23" s="1738"/>
      <c r="E23" s="2443"/>
      <c r="F23" s="2501" t="s">
        <v>2275</v>
      </c>
      <c r="G23" s="2502"/>
      <c r="H23" s="2486"/>
      <c r="I23" s="2487"/>
      <c r="J23" s="2486"/>
      <c r="K23" s="2486"/>
      <c r="L23" s="2487"/>
      <c r="M23" s="2486"/>
      <c r="N23" s="2486"/>
      <c r="O23" s="2487"/>
      <c r="P23" s="2486"/>
      <c r="Q23" s="2486"/>
      <c r="R23" s="2488"/>
    </row>
    <row r="24" spans="1:18" s="798" customFormat="1" ht="15" thickBot="1">
      <c r="A24" s="2444"/>
      <c r="B24" s="2501" t="s">
        <v>2276</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K26"/>
  <sheetViews>
    <sheetView view="pageBreakPreview" zoomScale="80" zoomScaleNormal="80" zoomScaleSheetLayoutView="80" workbookViewId="0">
      <selection activeCell="K33" sqref="K33"/>
    </sheetView>
  </sheetViews>
  <sheetFormatPr defaultColWidth="9" defaultRowHeight="13.5"/>
  <cols>
    <col min="1" max="1" width="25" style="2508" customWidth="1"/>
    <col min="2" max="9" width="15.75" style="2508" customWidth="1"/>
    <col min="10" max="16384" width="9" style="2508"/>
  </cols>
  <sheetData>
    <row r="1" spans="1:11" ht="16.5">
      <c r="A1" s="2507" t="s">
        <v>662</v>
      </c>
      <c r="B1" s="2507">
        <f>SUM(B14:B23)</f>
        <v>16714.339999999978</v>
      </c>
      <c r="C1" s="2681"/>
      <c r="D1" s="2681"/>
      <c r="E1" s="2681"/>
      <c r="F1" s="2681"/>
      <c r="G1" s="2682"/>
      <c r="H1" s="2683"/>
      <c r="I1" s="2683"/>
      <c r="J1" s="2683"/>
      <c r="K1" s="2683"/>
    </row>
    <row r="2" spans="1:11" ht="16.5">
      <c r="A2" s="2507" t="s">
        <v>650</v>
      </c>
      <c r="B2" s="2507">
        <f>SUM(C14:C23)</f>
        <v>0</v>
      </c>
      <c r="C2" s="2681"/>
      <c r="D2" s="2681"/>
      <c r="E2" s="2681"/>
      <c r="F2" s="2681"/>
      <c r="G2" s="2682"/>
      <c r="H2" s="2683"/>
      <c r="I2" s="2683"/>
      <c r="J2" s="2683"/>
      <c r="K2" s="2683"/>
    </row>
    <row r="3" spans="1:11" ht="16.5">
      <c r="A3" s="2507" t="s">
        <v>659</v>
      </c>
      <c r="B3" s="2509">
        <f>项目基本情况!D3</f>
        <v>45216</v>
      </c>
      <c r="C3" s="2681"/>
      <c r="D3" s="2681"/>
      <c r="E3" s="2681"/>
      <c r="F3" s="2681"/>
      <c r="G3" s="2682"/>
      <c r="H3" s="2683"/>
      <c r="I3" s="2683"/>
      <c r="J3" s="2683"/>
      <c r="K3" s="2683"/>
    </row>
    <row r="4" spans="1:11" ht="33">
      <c r="A4" s="2507" t="s">
        <v>658</v>
      </c>
      <c r="B4" s="2507" t="s">
        <v>657</v>
      </c>
      <c r="C4" s="2507" t="s">
        <v>656</v>
      </c>
      <c r="D4" s="2507" t="s">
        <v>655</v>
      </c>
      <c r="E4" s="2681"/>
      <c r="F4" s="2682"/>
      <c r="G4" s="2682"/>
      <c r="H4" s="2683"/>
      <c r="I4" s="2683"/>
      <c r="J4" s="2683"/>
      <c r="K4" s="2683"/>
    </row>
    <row r="5" spans="1:11" ht="16.5">
      <c r="A5" s="2507" t="s">
        <v>654</v>
      </c>
      <c r="B5" s="2507">
        <f ca="1">SUM(D14:D23)</f>
        <v>51017</v>
      </c>
      <c r="C5" s="2507">
        <f ca="1">IF(B5=D14,'结果表-住宅基准'!H102,ROUND(B5*10000/$B$1,0))</f>
        <v>30523</v>
      </c>
      <c r="D5" s="2507" t="e">
        <f ca="1">ROUND(B5*10000/$B$2,0)</f>
        <v>#DIV/0!</v>
      </c>
      <c r="E5" s="2681"/>
      <c r="F5" s="2682"/>
      <c r="G5" s="2682"/>
      <c r="H5" s="2683"/>
      <c r="I5" s="2683"/>
      <c r="J5" s="2683"/>
      <c r="K5" s="2683"/>
    </row>
    <row r="6" spans="1:11" ht="16.5">
      <c r="A6" s="2507" t="s">
        <v>653</v>
      </c>
      <c r="B6" s="2507">
        <f ca="1">SUM(G14:G23)</f>
        <v>51017</v>
      </c>
      <c r="C6" s="2507">
        <f ca="1">IF(B6=G14,'结果表-住宅基准'!H108,ROUND(B6*10000/$B$1,0))</f>
        <v>30523</v>
      </c>
      <c r="D6" s="2507" t="e">
        <f ca="1">ROUND(B6*10000/$B$2,0)</f>
        <v>#DIV/0!</v>
      </c>
      <c r="E6" s="2681"/>
      <c r="F6" s="2682"/>
      <c r="G6" s="2682"/>
      <c r="H6" s="2683"/>
      <c r="I6" s="2683"/>
      <c r="J6" s="2683"/>
      <c r="K6" s="2683"/>
    </row>
    <row r="7" spans="1:11" ht="16.5">
      <c r="A7" s="2507" t="s">
        <v>661</v>
      </c>
      <c r="B7" s="2507">
        <f>SUM(H14:H23)</f>
        <v>0</v>
      </c>
      <c r="C7" s="2507" t="str">
        <f>IF(B7=H14,'结果表-住宅基准'!H110,ROUND(B7*10000/$B$1,0))</f>
        <v>——</v>
      </c>
      <c r="D7" s="2507" t="e">
        <f>ROUND(B7*10000/$B$2,0)</f>
        <v>#DIV/0!</v>
      </c>
      <c r="E7" s="2681"/>
      <c r="F7" s="2682"/>
      <c r="G7" s="2682"/>
      <c r="H7" s="2683"/>
      <c r="I7" s="2683"/>
      <c r="J7" s="2683"/>
      <c r="K7" s="2683"/>
    </row>
    <row r="8" spans="1:11" ht="16.5">
      <c r="A8" s="2507" t="s">
        <v>587</v>
      </c>
      <c r="B8" s="2507">
        <f ca="1">SUM(I14:I23)</f>
        <v>47481</v>
      </c>
      <c r="C8" s="2507">
        <f ca="1">IF(B8=I14,'结果表-住宅基准'!H112,ROUND(B8*10000/$B$1,0))</f>
        <v>28407</v>
      </c>
      <c r="D8" s="2507" t="e">
        <f ca="1">ROUND(B8*10000/$B$2,0)</f>
        <v>#DIV/0!</v>
      </c>
      <c r="E8" s="2681"/>
      <c r="F8" s="2682"/>
      <c r="G8" s="2682"/>
      <c r="H8" s="2683"/>
      <c r="I8" s="2683"/>
      <c r="J8" s="2683"/>
      <c r="K8" s="2683"/>
    </row>
    <row r="9" spans="1:11" ht="16.5">
      <c r="A9" s="2507" t="s">
        <v>652</v>
      </c>
      <c r="B9" s="2515"/>
      <c r="C9" s="2681"/>
      <c r="D9" s="2681"/>
      <c r="E9" s="2681"/>
      <c r="F9" s="2682"/>
      <c r="G9" s="2682"/>
      <c r="H9" s="2683"/>
      <c r="I9" s="2683"/>
      <c r="J9" s="2683"/>
      <c r="K9" s="2683"/>
    </row>
    <row r="10" spans="1:11" ht="16.5">
      <c r="A10" s="2507" t="s">
        <v>651</v>
      </c>
      <c r="B10" s="2507">
        <f>IF(E10="",0,ROUND(B1*(E10*365/G10)/10000,0))</f>
        <v>0</v>
      </c>
      <c r="C10" s="2507" t="s">
        <v>3357</v>
      </c>
      <c r="D10" s="2507" t="s">
        <v>3358</v>
      </c>
      <c r="E10" s="3436"/>
      <c r="F10" s="3440" t="s">
        <v>3359</v>
      </c>
      <c r="G10" s="3437"/>
      <c r="H10" s="2683"/>
      <c r="I10" s="2683"/>
      <c r="J10" s="2683"/>
      <c r="K10" s="2683"/>
    </row>
    <row r="11" spans="1:11" ht="16.5">
      <c r="A11" s="2507" t="s">
        <v>667</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666</v>
      </c>
      <c r="B13" s="2511" t="s">
        <v>663</v>
      </c>
      <c r="C13" s="2511" t="s">
        <v>665</v>
      </c>
      <c r="D13" s="2511" t="s">
        <v>664</v>
      </c>
      <c r="E13" s="2507" t="s">
        <v>656</v>
      </c>
      <c r="F13" s="2507" t="s">
        <v>655</v>
      </c>
      <c r="G13" s="2511" t="s">
        <v>649</v>
      </c>
      <c r="H13" s="2511" t="s">
        <v>660</v>
      </c>
      <c r="I13" s="2511" t="s">
        <v>648</v>
      </c>
      <c r="J13" s="2682"/>
      <c r="K13" s="2683"/>
    </row>
    <row r="14" spans="1:11" ht="16.5">
      <c r="A14" s="2512" t="s">
        <v>3850</v>
      </c>
      <c r="B14" s="2513">
        <f>'典型户型修正-住宅'!B22</f>
        <v>14328.91999999998</v>
      </c>
      <c r="C14" s="2513"/>
      <c r="D14" s="2513">
        <f ca="1">'典型户型修正-住宅'!B20</f>
        <v>50053</v>
      </c>
      <c r="E14" s="2513">
        <f ca="1">ROUND(D14*10000/B14,0)</f>
        <v>34931</v>
      </c>
      <c r="F14" s="2513" t="e">
        <f ca="1">ROUND(D14*10000/C14,0)</f>
        <v>#DIV/0!</v>
      </c>
      <c r="G14" s="2513">
        <f ca="1">D14</f>
        <v>50053</v>
      </c>
      <c r="H14" s="2513"/>
      <c r="I14" s="2513">
        <f ca="1">'结果表-住宅基准'!N59</f>
        <v>46831</v>
      </c>
      <c r="J14" s="2682"/>
      <c r="K14" s="2683"/>
    </row>
    <row r="15" spans="1:11" ht="16.5">
      <c r="A15" s="2512" t="s">
        <v>3851</v>
      </c>
      <c r="B15" s="2514">
        <f>'典型户型修正-车库'!B22</f>
        <v>2385.4199999999992</v>
      </c>
      <c r="C15" s="2514"/>
      <c r="D15" s="2514">
        <f ca="1">'典型户型修正-车库'!S22</f>
        <v>964</v>
      </c>
      <c r="E15" s="2513">
        <f t="shared" ref="E15:E23" ca="1" si="0">ROUND(D15*10000/B15,0)</f>
        <v>4041</v>
      </c>
      <c r="F15" s="2513" t="e">
        <f t="shared" ref="F15:F23" ca="1" si="1">ROUND(D15*10000/C15,0)</f>
        <v>#DIV/0!</v>
      </c>
      <c r="G15" s="1328">
        <f ca="1">D15</f>
        <v>964</v>
      </c>
      <c r="H15" s="1328"/>
      <c r="I15" s="2514">
        <f ca="1">结果表车库!N59</f>
        <v>650</v>
      </c>
      <c r="J15" s="2682"/>
      <c r="K15" s="2683"/>
    </row>
    <row r="16" spans="1:11" ht="16.5">
      <c r="A16" s="2512" t="s">
        <v>4076</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9" t="str">
        <f>项目基本情况!B1</f>
        <v>北京市房地产抵押价值预评估</v>
      </c>
      <c r="C37" s="3529"/>
      <c r="D37" s="3529"/>
      <c r="E37" s="3529"/>
      <c r="F37" s="3529"/>
      <c r="G37" s="3529"/>
      <c r="H37" s="3529"/>
      <c r="I37" s="3529"/>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P60" sqref="P60"/>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t="s">
        <v>3756</v>
      </c>
      <c r="D1" s="1744"/>
      <c r="E1" s="1744"/>
      <c r="F1" s="1746" t="s">
        <v>1260</v>
      </c>
      <c r="G1" s="1558"/>
      <c r="H1" s="1747" t="str">
        <f>IF(G1="现房","——","估价对象范围")</f>
        <v>估价对象范围</v>
      </c>
      <c r="I1" s="1748"/>
    </row>
    <row r="2" spans="1:12" ht="21.75" customHeight="1" thickBot="1">
      <c r="A2" s="3685" t="str">
        <f>项目基本情况!S2</f>
        <v>北京市房地产</v>
      </c>
      <c r="B2" s="3686"/>
      <c r="C2" s="3686"/>
      <c r="D2" s="3686"/>
      <c r="E2" s="3686"/>
      <c r="F2" s="3686"/>
      <c r="G2" s="3686"/>
      <c r="H2" s="3686"/>
      <c r="I2" s="3687"/>
    </row>
    <row r="3" spans="1:12" ht="12.75">
      <c r="A3" s="3689" t="s">
        <v>1261</v>
      </c>
      <c r="B3" s="3690"/>
      <c r="C3" s="3690"/>
      <c r="D3" s="3690"/>
      <c r="E3" s="3690"/>
      <c r="F3" s="3690"/>
      <c r="G3" s="3690"/>
      <c r="H3" s="3690"/>
      <c r="I3" s="3690"/>
    </row>
    <row r="4" spans="1:12" ht="14.25">
      <c r="A4" s="1751" t="s">
        <v>1262</v>
      </c>
      <c r="B4" s="1752" t="s">
        <v>1263</v>
      </c>
      <c r="C4" s="1753" t="s">
        <v>3890</v>
      </c>
      <c r="D4" s="1753" t="s">
        <v>3891</v>
      </c>
      <c r="E4" s="3694" t="s">
        <v>1264</v>
      </c>
      <c r="F4" s="3695"/>
      <c r="G4" s="3695"/>
      <c r="H4" s="3695"/>
      <c r="I4" s="3696"/>
      <c r="K4" s="146" t="str">
        <f>IF(ISNUMBER(FIND("比较法",'结果表-住宅基准'!C4)),"比较法",IF(ISNUMBER(FIND("成本法",'结果表-住宅基准'!C4)),"成本法",IF(ISNUMBER(FIND("假设开发法",'结果表-住宅基准'!C4)),"假设开发法",IF(ISNUMBER(FIND("收益法",'结果表-住宅基准'!C4)),"收益法","基准地价系数修正法"))))</f>
        <v>比较法</v>
      </c>
      <c r="L4" s="146" t="str">
        <f>IF(ISNUMBER(FIND("比较法",'结果表-住宅基准'!D4)),"比较法",IF(ISNUMBER(FIND("成本法",'结果表-住宅基准'!D4)),"成本法",IF(ISNUMBER(FIND("假设开发法",'结果表-住宅基准'!D4)),"假设开发法",IF(ISNUMBER(FIND("收益法",'结果表-住宅基准'!D4)),"收益法","基准地价系数修正法"))))</f>
        <v>成本法</v>
      </c>
    </row>
    <row r="5" spans="1:12" ht="12.75">
      <c r="A5" s="3633" t="s">
        <v>1265</v>
      </c>
      <c r="B5" s="3688">
        <v>25</v>
      </c>
      <c r="C5" s="3691"/>
      <c r="D5" s="3679"/>
      <c r="E5" s="131" t="s">
        <v>1266</v>
      </c>
      <c r="F5" s="1754"/>
      <c r="G5" s="1754"/>
      <c r="H5" s="1754"/>
      <c r="I5" s="1370"/>
    </row>
    <row r="6" spans="1:12" ht="12.75">
      <c r="A6" s="3633"/>
      <c r="B6" s="3688"/>
      <c r="C6" s="3693"/>
      <c r="D6" s="3679"/>
      <c r="E6" s="131" t="s">
        <v>1267</v>
      </c>
      <c r="F6" s="1754"/>
      <c r="G6" s="1754"/>
      <c r="H6" s="1754"/>
      <c r="I6" s="1370"/>
    </row>
    <row r="7" spans="1:12" ht="12.75">
      <c r="A7" s="3633"/>
      <c r="B7" s="3688"/>
      <c r="C7" s="3692"/>
      <c r="D7" s="3679"/>
      <c r="E7" s="131" t="s">
        <v>1268</v>
      </c>
      <c r="F7" s="1754"/>
      <c r="G7" s="1754"/>
      <c r="H7" s="1754"/>
      <c r="I7" s="1370"/>
    </row>
    <row r="8" spans="1:12" ht="12.75">
      <c r="A8" s="3633" t="s">
        <v>1269</v>
      </c>
      <c r="B8" s="3688">
        <v>15</v>
      </c>
      <c r="C8" s="3691"/>
      <c r="D8" s="3679"/>
      <c r="E8" s="131" t="s">
        <v>1270</v>
      </c>
      <c r="F8" s="1754"/>
      <c r="G8" s="1754"/>
      <c r="H8" s="1754"/>
      <c r="I8" s="1370"/>
    </row>
    <row r="9" spans="1:12" ht="12.75">
      <c r="A9" s="3633"/>
      <c r="B9" s="3688"/>
      <c r="C9" s="3692"/>
      <c r="D9" s="3679"/>
      <c r="E9" s="131" t="s">
        <v>1271</v>
      </c>
      <c r="F9" s="1754"/>
      <c r="G9" s="1754"/>
      <c r="H9" s="1754"/>
      <c r="I9" s="1370"/>
    </row>
    <row r="10" spans="1:12" ht="12.75">
      <c r="A10" s="3633" t="s">
        <v>1272</v>
      </c>
      <c r="B10" s="3688">
        <v>15</v>
      </c>
      <c r="C10" s="3691"/>
      <c r="D10" s="3679"/>
      <c r="E10" s="131" t="s">
        <v>1273</v>
      </c>
      <c r="F10" s="1754"/>
      <c r="G10" s="1754"/>
      <c r="H10" s="1754"/>
      <c r="I10" s="1370"/>
    </row>
    <row r="11" spans="1:12" ht="12.75">
      <c r="A11" s="3633"/>
      <c r="B11" s="3688"/>
      <c r="C11" s="3692"/>
      <c r="D11" s="3679"/>
      <c r="E11" s="131" t="s">
        <v>1274</v>
      </c>
      <c r="F11" s="1754"/>
      <c r="G11" s="1754"/>
      <c r="H11" s="1754"/>
      <c r="I11" s="1370"/>
    </row>
    <row r="12" spans="1:12" ht="12.75">
      <c r="A12" s="3633" t="s">
        <v>1275</v>
      </c>
      <c r="B12" s="3688">
        <v>15</v>
      </c>
      <c r="C12" s="3691"/>
      <c r="D12" s="3679"/>
      <c r="E12" s="131" t="s">
        <v>1276</v>
      </c>
      <c r="F12" s="1754"/>
      <c r="G12" s="1754"/>
      <c r="H12" s="1754"/>
      <c r="I12" s="1370"/>
    </row>
    <row r="13" spans="1:12" ht="12.75">
      <c r="A13" s="3633"/>
      <c r="B13" s="3688"/>
      <c r="C13" s="3692"/>
      <c r="D13" s="3679"/>
      <c r="E13" s="131" t="s">
        <v>1277</v>
      </c>
      <c r="F13" s="1754"/>
      <c r="G13" s="1754"/>
      <c r="H13" s="1754"/>
      <c r="I13" s="1370"/>
    </row>
    <row r="14" spans="1:12" ht="12.75">
      <c r="A14" s="3633" t="s">
        <v>1278</v>
      </c>
      <c r="B14" s="3688">
        <v>30</v>
      </c>
      <c r="C14" s="3691">
        <v>5</v>
      </c>
      <c r="D14" s="3679">
        <v>5</v>
      </c>
      <c r="E14" s="131" t="s">
        <v>1279</v>
      </c>
      <c r="F14" s="1754"/>
      <c r="G14" s="1754"/>
      <c r="H14" s="1754"/>
      <c r="I14" s="1370"/>
    </row>
    <row r="15" spans="1:12" ht="12.75">
      <c r="A15" s="3633"/>
      <c r="B15" s="3688"/>
      <c r="C15" s="3693"/>
      <c r="D15" s="3679"/>
      <c r="E15" s="131" t="s">
        <v>1280</v>
      </c>
      <c r="F15" s="1754"/>
      <c r="G15" s="1754"/>
      <c r="H15" s="1754"/>
      <c r="I15" s="1370"/>
    </row>
    <row r="16" spans="1:12" ht="12.75">
      <c r="A16" s="3633"/>
      <c r="B16" s="3688"/>
      <c r="C16" s="3692"/>
      <c r="D16" s="3679"/>
      <c r="E16" s="131" t="s">
        <v>1281</v>
      </c>
      <c r="F16" s="1754"/>
      <c r="G16" s="1754"/>
      <c r="H16" s="1754"/>
      <c r="I16" s="1370"/>
    </row>
    <row r="17" spans="1:36" ht="15">
      <c r="A17" s="1755" t="s">
        <v>1282</v>
      </c>
      <c r="B17" s="56"/>
      <c r="C17" s="132">
        <f>SUM(C5:C16)</f>
        <v>5</v>
      </c>
      <c r="D17" s="132">
        <f>SUM(D5:D16)</f>
        <v>5</v>
      </c>
      <c r="E17" s="129"/>
      <c r="F17" s="129"/>
      <c r="G17" s="129"/>
      <c r="H17" s="129"/>
      <c r="I17" s="129"/>
      <c r="K17" s="302"/>
      <c r="L17" s="302" t="s">
        <v>1283</v>
      </c>
      <c r="M17" s="302" t="s">
        <v>1284</v>
      </c>
    </row>
    <row r="18" spans="1:36" ht="31.9" customHeight="1" thickBot="1">
      <c r="A18" s="1756" t="s">
        <v>1285</v>
      </c>
      <c r="B18" s="1757"/>
      <c r="C18" s="133">
        <f>ROUND(C17/SUM(C17:D17),2)</f>
        <v>0.5</v>
      </c>
      <c r="D18" s="133">
        <f>1-C18</f>
        <v>0.5</v>
      </c>
      <c r="E18" s="3710" t="s">
        <v>2127</v>
      </c>
      <c r="F18" s="3711"/>
      <c r="G18" s="3711"/>
      <c r="H18" s="3711"/>
      <c r="I18" s="3711"/>
      <c r="K18" s="302" t="s">
        <v>1286</v>
      </c>
      <c r="L18" s="302">
        <f>IF(C1="",'数据-汇总表'!E3,SUMIF(项目类型,C1,'数据-汇总表'!E17:E26)+SUMIF(项目类型,C1,'数据-汇总表'!I17:I26))</f>
        <v>86.99</v>
      </c>
      <c r="M18" s="302">
        <f>IF(C1="",'数据-汇总表'!E3,SUMIF(项目类型,C1,'数据-汇总表'!E17:E26))</f>
        <v>86.99</v>
      </c>
    </row>
    <row r="19" spans="1:36" ht="15">
      <c r="A19" s="1758" t="s">
        <v>1287</v>
      </c>
      <c r="B19" s="1759" t="s">
        <v>1288</v>
      </c>
      <c r="C19" s="134">
        <f ca="1">SUMIF(INDIRECT("'"&amp;C4&amp;"'"&amp;"!A:A"),'结果表-住宅基准'!B19,INDIRECT("'"&amp;C4&amp;"'"&amp;"!B:B"))</f>
        <v>318.87920000000003</v>
      </c>
      <c r="D19" s="135">
        <f ca="1">SUMIF(INDIRECT("'"&amp;D4&amp;"'"&amp;"!A:A"),'结果表-住宅基准'!B19,INDIRECT("'"&amp;D4&amp;"'"&amp;"!B:B"))</f>
        <v>294.81979999999999</v>
      </c>
      <c r="E19" s="1758" t="s">
        <v>1289</v>
      </c>
      <c r="F19" s="1759" t="s">
        <v>1288</v>
      </c>
      <c r="G19" s="136">
        <f ca="1">ROUND(C19*$C$18+D19*$D$18,0)</f>
        <v>307</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SUMIF(INDIRECT("'"&amp;C4&amp;"'"&amp;"!A:A"),'结果表-住宅基准'!B20,INDIRECT("'"&amp;C4&amp;"'"&amp;"!B:B"))</f>
        <v>36657</v>
      </c>
      <c r="D20" s="138">
        <f ca="1">SUMIF(INDIRECT("'"&amp;D4&amp;"'"&amp;"!A:A"),'结果表-住宅基准'!B20,INDIRECT("'"&amp;D4&amp;"'"&amp;"!B:B"))</f>
        <v>33891</v>
      </c>
      <c r="E20" s="1761"/>
      <c r="F20" s="1024" t="s">
        <v>1292</v>
      </c>
      <c r="G20" s="139">
        <f ca="1">ROUND(C20*$C$18+D20*$D$18,0)</f>
        <v>35274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8.1607137648149974E-2</v>
      </c>
      <c r="E22" s="129"/>
      <c r="F22" s="129"/>
      <c r="G22" s="129"/>
      <c r="H22" s="129"/>
      <c r="I22" s="129"/>
    </row>
    <row r="23" spans="1:36" ht="13.5" thickBot="1">
      <c r="A23" s="1744"/>
      <c r="B23" s="1744"/>
      <c r="C23" s="1744"/>
      <c r="D23" s="1744"/>
      <c r="E23" s="129"/>
      <c r="F23" s="129"/>
      <c r="G23" s="129"/>
      <c r="H23" s="129"/>
      <c r="I23" s="129"/>
    </row>
    <row r="24" spans="1:36" ht="14.25">
      <c r="A24" s="3703" t="s">
        <v>1296</v>
      </c>
      <c r="B24" s="1759" t="s">
        <v>1288</v>
      </c>
      <c r="C24" s="136">
        <f>IF(B30=0,0,D30)</f>
        <v>0</v>
      </c>
      <c r="D24" s="1766"/>
      <c r="E24" s="129"/>
      <c r="F24" s="129"/>
      <c r="G24" s="129"/>
      <c r="H24" s="129"/>
      <c r="I24" s="129"/>
    </row>
    <row r="25" spans="1:36" ht="14.25">
      <c r="A25" s="3704"/>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35274</v>
      </c>
      <c r="D32" s="1772" t="s">
        <v>3892</v>
      </c>
      <c r="E32" s="129"/>
      <c r="F32" s="129"/>
      <c r="G32" s="129"/>
      <c r="H32" s="129"/>
      <c r="I32" s="129"/>
    </row>
    <row r="33" spans="1:15" ht="15">
      <c r="A33" s="785" t="s">
        <v>1303</v>
      </c>
      <c r="B33" s="1773"/>
      <c r="C33" s="1774" t="s">
        <v>4086</v>
      </c>
      <c r="D33" s="1775" t="s">
        <v>3891</v>
      </c>
      <c r="E33" s="1776" t="s">
        <v>1304</v>
      </c>
      <c r="F33" s="1777" t="str">
        <f>IF(D32="楼面单价","取值（单价）","取值（总价）")</f>
        <v>取值（单价）</v>
      </c>
      <c r="G33" s="129"/>
      <c r="H33" s="129"/>
      <c r="I33" s="129"/>
    </row>
    <row r="34" spans="1:15" ht="15">
      <c r="A34" s="1778"/>
      <c r="B34" s="1779" t="s">
        <v>1305</v>
      </c>
      <c r="C34" s="148">
        <f ca="1">IF(C33="自定义",F34,C32-C35)</f>
        <v>28925</v>
      </c>
      <c r="D34" s="860">
        <f ca="1">IF(C33="自定义",ROUND(C34/C32,3),IF(C33="收益比率",SUMIF(INDIRECT("'"&amp;D33&amp;"'"&amp;"!b:b"),"土地收益比率",INDIRECT("'"&amp;D33&amp;"'"&amp;"!c:c")),SUMIF(INDIRECT("'"&amp;D33&amp;"'"&amp;"!b:b"),"土地成本比率",INDIRECT("'"&amp;D33&amp;"'"&amp;"!c:c"))))</f>
        <v>0.82000000000000006</v>
      </c>
      <c r="E34" s="1780" t="s">
        <v>1306</v>
      </c>
      <c r="F34" s="1327"/>
      <c r="G34" s="129"/>
      <c r="H34" s="129"/>
      <c r="I34" s="129"/>
    </row>
    <row r="35" spans="1:15" ht="15.75" thickBot="1">
      <c r="A35" s="1781"/>
      <c r="B35" s="1782" t="s">
        <v>1307</v>
      </c>
      <c r="C35" s="1168">
        <f ca="1">IF(C33="自定义",F35,ROUND(C32*D35,0))</f>
        <v>6349</v>
      </c>
      <c r="D35" s="1169">
        <f ca="1">IF(C33="自定义",ROUND(C35/C32,3),IF(C33="收益比率",SUMIF(INDIRECT("'"&amp;D33&amp;"'"&amp;"!b:b"),"建筑物收益比率",INDIRECT("'"&amp;D33&amp;"'"&amp;"!c:c")),SUMIF(INDIRECT("'"&amp;D33&amp;"'"&amp;"!b:b"),"建筑物成本比率",INDIRECT("'"&amp;D33&amp;"'"&amp;"!c:c"))))</f>
        <v>0.18</v>
      </c>
      <c r="E35" s="1783" t="s">
        <v>1308</v>
      </c>
      <c r="F35" s="154"/>
      <c r="G35" s="129"/>
      <c r="H35" s="129"/>
      <c r="I35" s="129"/>
    </row>
    <row r="36" spans="1:15" ht="15.75" thickBot="1">
      <c r="A36" s="3680" t="s">
        <v>1309</v>
      </c>
      <c r="B36" s="1784" t="s">
        <v>1310</v>
      </c>
      <c r="C36" s="145"/>
      <c r="D36" s="1785"/>
      <c r="E36" s="1786"/>
      <c r="F36" s="1787"/>
      <c r="G36" s="129"/>
      <c r="H36" s="129"/>
      <c r="I36" s="129"/>
    </row>
    <row r="37" spans="1:15" ht="15.75" thickBot="1">
      <c r="A37" s="3681"/>
      <c r="B37" s="1671" t="s">
        <v>1311</v>
      </c>
      <c r="C37" s="147"/>
      <c r="D37" s="1137"/>
      <c r="E37" s="1137"/>
      <c r="F37" s="1787"/>
      <c r="G37" s="129"/>
      <c r="H37" s="129"/>
      <c r="I37" s="129"/>
    </row>
    <row r="38" spans="1:15" ht="15.75" thickBot="1">
      <c r="A38" s="3682"/>
      <c r="B38" s="1788" t="s">
        <v>1312</v>
      </c>
      <c r="C38" s="673"/>
      <c r="D38" s="1789" t="s">
        <v>1313</v>
      </c>
      <c r="E38" s="1137"/>
      <c r="F38" s="1787"/>
      <c r="G38" s="129"/>
      <c r="H38" s="129"/>
      <c r="I38" s="129"/>
    </row>
    <row r="39" spans="1:15" ht="15">
      <c r="A39" s="1761" t="s">
        <v>1314</v>
      </c>
      <c r="B39" s="1790" t="s">
        <v>1315</v>
      </c>
      <c r="C39" s="1791" t="s">
        <v>1316</v>
      </c>
      <c r="D39" s="1791" t="s">
        <v>1317</v>
      </c>
      <c r="E39" s="1792" t="s">
        <v>1318</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700" t="s">
        <v>1323</v>
      </c>
      <c r="B45" s="3701"/>
      <c r="C45" s="3702"/>
      <c r="D45" s="155">
        <f ca="1">'典型户型修正-住宅'!S22</f>
        <v>50053</v>
      </c>
      <c r="E45" s="156" t="s">
        <v>1324</v>
      </c>
      <c r="F45" s="157">
        <v>1</v>
      </c>
      <c r="G45" s="158" t="s">
        <v>1325</v>
      </c>
      <c r="H45" s="129"/>
      <c r="I45" s="129"/>
      <c r="J45" s="3620" t="s">
        <v>1326</v>
      </c>
      <c r="K45" s="3620"/>
      <c r="L45" s="3620"/>
      <c r="M45" s="3620"/>
      <c r="N45" s="3620"/>
      <c r="O45" s="3620"/>
    </row>
    <row r="46" spans="1:15" ht="14.25" customHeight="1">
      <c r="A46" s="3697" t="s">
        <v>1327</v>
      </c>
      <c r="B46" s="3698"/>
      <c r="C46" s="3698"/>
      <c r="D46" s="3698"/>
      <c r="E46" s="3698"/>
      <c r="F46" s="3698"/>
      <c r="G46" s="3699"/>
      <c r="H46" s="1803"/>
      <c r="I46" s="159"/>
      <c r="J46" s="2518">
        <v>1</v>
      </c>
      <c r="K46" s="3621" t="s">
        <v>1328</v>
      </c>
      <c r="L46" s="3621"/>
      <c r="M46" s="3622"/>
      <c r="N46" s="3622"/>
      <c r="O46" s="3622"/>
    </row>
    <row r="47" spans="1:15" ht="12" customHeight="1">
      <c r="A47" s="160" t="s">
        <v>1329</v>
      </c>
      <c r="B47" s="161"/>
      <c r="C47" s="162"/>
      <c r="D47" s="1085" t="s">
        <v>1330</v>
      </c>
      <c r="E47" s="302" t="s">
        <v>1331</v>
      </c>
      <c r="F47" s="163" t="s">
        <v>1332</v>
      </c>
      <c r="G47" s="2541" t="s">
        <v>1333</v>
      </c>
      <c r="H47" s="2542"/>
      <c r="I47" s="159"/>
      <c r="J47" s="2518">
        <v>2</v>
      </c>
      <c r="K47" s="3621" t="s">
        <v>1334</v>
      </c>
      <c r="L47" s="3621"/>
      <c r="M47" s="3623">
        <f>'数据-取费表'!B2</f>
        <v>45216</v>
      </c>
      <c r="N47" s="3623"/>
      <c r="O47" s="3623"/>
    </row>
    <row r="48" spans="1:15" ht="25.5">
      <c r="A48" s="3683" t="s">
        <v>1335</v>
      </c>
      <c r="B48" s="3684"/>
      <c r="C48" s="3684"/>
      <c r="D48" s="2319">
        <f ca="1">IF(H48="情况1",0,IF(H48="情况2",D52,IF(H48="情况3",D53,IF(H48="情况4",D54))))</f>
        <v>2622</v>
      </c>
      <c r="E48" s="2329" t="str">
        <f>IF(H48="情况4","(销售额-原购置价)×税（费）率","销售额×税（费）率")</f>
        <v>销售额×税（费）率</v>
      </c>
      <c r="F48" s="2543">
        <f>IF(H48="情况1","免征",'数据-取费表'!B41)</f>
        <v>5.5000000000000007E-2</v>
      </c>
      <c r="G48" s="2544" t="s">
        <v>1336</v>
      </c>
      <c r="H48" s="2545" t="s">
        <v>4087</v>
      </c>
      <c r="I48" s="1803"/>
      <c r="J48" s="2518">
        <v>3</v>
      </c>
      <c r="K48" s="3621" t="s">
        <v>1337</v>
      </c>
      <c r="L48" s="3621"/>
      <c r="M48" s="3624">
        <f ca="1">'典型户型修正-住宅'!S22</f>
        <v>50053</v>
      </c>
      <c r="N48" s="3624"/>
      <c r="O48" s="3624"/>
    </row>
    <row r="49" spans="1:35" ht="25.5" customHeight="1">
      <c r="A49" s="2328" t="s">
        <v>1338</v>
      </c>
      <c r="B49" s="3669" t="s">
        <v>1339</v>
      </c>
      <c r="C49" s="3669"/>
      <c r="D49" s="1587">
        <v>0</v>
      </c>
      <c r="E49" s="324" t="s">
        <v>1340</v>
      </c>
      <c r="F49" s="2419" t="s">
        <v>28</v>
      </c>
      <c r="G49" s="3652"/>
      <c r="H49" s="2305" t="s">
        <v>2130</v>
      </c>
      <c r="I49" s="2306"/>
      <c r="J49" s="2518">
        <v>4</v>
      </c>
      <c r="K49" s="3621" t="str">
        <f>IF(项目基本情况!E8="房地产抵押价值","房地产抵押价值","抵押担保权已注销时的房地产抵押价值")</f>
        <v>房地产抵押价值</v>
      </c>
      <c r="L49" s="3621"/>
      <c r="M49" s="3624">
        <f ca="1">'典型户型修正-住宅'!S22</f>
        <v>50053</v>
      </c>
      <c r="N49" s="3624"/>
      <c r="O49" s="3624"/>
    </row>
    <row r="50" spans="1:35" ht="25.5" customHeight="1">
      <c r="A50" s="2546"/>
      <c r="B50" s="3669" t="s">
        <v>1341</v>
      </c>
      <c r="C50" s="3669"/>
      <c r="D50" s="2547"/>
      <c r="E50" s="332"/>
      <c r="F50" s="2419"/>
      <c r="G50" s="3653"/>
      <c r="H50" s="2307" t="s">
        <v>2131</v>
      </c>
      <c r="I50" s="2306"/>
      <c r="J50" s="3620" t="s">
        <v>1342</v>
      </c>
      <c r="K50" s="3620"/>
      <c r="L50" s="3620"/>
      <c r="M50" s="3620"/>
      <c r="N50" s="3620"/>
      <c r="O50" s="3620"/>
    </row>
    <row r="51" spans="1:35" ht="20.45" customHeight="1">
      <c r="A51" s="2548"/>
      <c r="B51" s="3669" t="s">
        <v>1343</v>
      </c>
      <c r="C51" s="3669"/>
      <c r="D51" s="1085"/>
      <c r="E51" s="327"/>
      <c r="F51" s="2419"/>
      <c r="G51" s="3654"/>
      <c r="H51" s="2307" t="s">
        <v>2132</v>
      </c>
      <c r="I51" s="2306"/>
      <c r="J51" s="2519" t="s">
        <v>1344</v>
      </c>
      <c r="K51" s="3621" t="s">
        <v>1345</v>
      </c>
      <c r="L51" s="3621"/>
      <c r="M51" s="2519" t="s">
        <v>1346</v>
      </c>
      <c r="N51" s="2519" t="s">
        <v>1347</v>
      </c>
      <c r="O51" s="2519" t="s">
        <v>1348</v>
      </c>
    </row>
    <row r="52" spans="1:35" ht="24" customHeight="1">
      <c r="A52" s="2330" t="s">
        <v>1349</v>
      </c>
      <c r="B52" s="3669" t="s">
        <v>1350</v>
      </c>
      <c r="C52" s="3669"/>
      <c r="D52" s="1085">
        <f ca="1">ROUND(D45*'数据-取费表'!B41/(1+'数据-取费表'!C42),0)</f>
        <v>2622</v>
      </c>
      <c r="E52" s="2329" t="s">
        <v>1351</v>
      </c>
      <c r="F52" s="2549">
        <f>'数据-取费表'!B41</f>
        <v>5.5000000000000007E-2</v>
      </c>
      <c r="G52" s="2550"/>
      <c r="H52" s="2539"/>
      <c r="I52" s="1804"/>
      <c r="J52" s="2518">
        <v>1</v>
      </c>
      <c r="K52" s="3646" t="s">
        <v>1352</v>
      </c>
      <c r="L52" s="3646"/>
      <c r="M52" s="2520">
        <f ca="1">D48</f>
        <v>2622</v>
      </c>
      <c r="N52" s="2518" t="str">
        <f>E48</f>
        <v>销售额×税（费）率</v>
      </c>
      <c r="O52" s="2521">
        <f>F48</f>
        <v>5.5000000000000007E-2</v>
      </c>
    </row>
    <row r="53" spans="1:35" ht="12" customHeight="1">
      <c r="A53" s="2330" t="s">
        <v>1353</v>
      </c>
      <c r="B53" s="3670" t="s">
        <v>2287</v>
      </c>
      <c r="C53" s="3671"/>
      <c r="D53" s="1085">
        <f ca="1">ROUND(D45*'数据-取费表'!B41/(1+'数据-取费表'!C42),0)</f>
        <v>2622</v>
      </c>
      <c r="E53" s="2329" t="s">
        <v>1351</v>
      </c>
      <c r="F53" s="2549">
        <f>'数据-取费表'!B41</f>
        <v>5.5000000000000007E-2</v>
      </c>
      <c r="G53" s="2550"/>
      <c r="H53" s="2539"/>
      <c r="I53" s="1804"/>
      <c r="J53" s="2518">
        <v>2</v>
      </c>
      <c r="K53" s="3646" t="s">
        <v>1354</v>
      </c>
      <c r="L53" s="3646"/>
      <c r="M53" s="2520">
        <f t="shared" ref="M53:O54" ca="1" si="0">D55</f>
        <v>25</v>
      </c>
      <c r="N53" s="2518" t="str">
        <f t="shared" si="0"/>
        <v>销售额×税（费）率</v>
      </c>
      <c r="O53" s="2521">
        <f t="shared" si="0"/>
        <v>5.0000000000000001E-4</v>
      </c>
    </row>
    <row r="54" spans="1:35" ht="12" customHeight="1">
      <c r="A54" s="2330" t="s">
        <v>1355</v>
      </c>
      <c r="B54" s="3670" t="s">
        <v>2288</v>
      </c>
      <c r="C54" s="3671"/>
      <c r="D54" s="1085">
        <f ca="1">C68</f>
        <v>2622</v>
      </c>
      <c r="E54" s="327" t="s">
        <v>1356</v>
      </c>
      <c r="F54" s="2549">
        <f>'数据-取费表'!B41</f>
        <v>5.5000000000000007E-2</v>
      </c>
      <c r="G54" s="2550"/>
      <c r="H54" s="2551"/>
      <c r="I54" s="1804"/>
      <c r="J54" s="2518">
        <v>3</v>
      </c>
      <c r="K54" s="3646" t="s">
        <v>1357</v>
      </c>
      <c r="L54" s="3646"/>
      <c r="M54" s="2520">
        <f t="shared" ca="1" si="0"/>
        <v>575</v>
      </c>
      <c r="N54" s="2518" t="str">
        <f t="shared" si="0"/>
        <v>增值额×税（费）率</v>
      </c>
      <c r="O54" s="2522" t="str">
        <f t="shared" si="0"/>
        <v>——</v>
      </c>
    </row>
    <row r="55" spans="1:35" ht="24" customHeight="1">
      <c r="A55" s="3706" t="s">
        <v>1358</v>
      </c>
      <c r="B55" s="3684"/>
      <c r="C55" s="3684"/>
      <c r="D55" s="2319">
        <f ca="1">IF(H55="个人住宅",0,ROUND(D45*I55,0))</f>
        <v>25</v>
      </c>
      <c r="E55" s="2329" t="s">
        <v>1359</v>
      </c>
      <c r="F55" s="2549">
        <f>IF(H55="正常",I55,"免征")</f>
        <v>5.0000000000000001E-4</v>
      </c>
      <c r="G55" s="2550"/>
      <c r="H55" s="2545" t="s">
        <v>3862</v>
      </c>
      <c r="I55" s="165">
        <f>'数据-取费表'!B49</f>
        <v>5.0000000000000001E-4</v>
      </c>
      <c r="J55" s="2518" t="str">
        <f>IF(H59="非个人房产","",4)</f>
        <v/>
      </c>
      <c r="K55" s="3646" t="str">
        <f>IF(H59="非个人房产","——","个人所得税")</f>
        <v>——</v>
      </c>
      <c r="L55" s="3646"/>
      <c r="M55" s="2523" t="str">
        <f>D59</f>
        <v>——</v>
      </c>
      <c r="N55" s="2035" t="str">
        <f>E59</f>
        <v>——</v>
      </c>
      <c r="O55" s="2524" t="str">
        <f>F59</f>
        <v>——</v>
      </c>
    </row>
    <row r="56" spans="1:35" ht="24.75">
      <c r="A56" s="3706" t="s">
        <v>1360</v>
      </c>
      <c r="B56" s="3684"/>
      <c r="C56" s="3684"/>
      <c r="D56" s="2319">
        <f ca="1">IF(H56="个人住宅",D57,D58)</f>
        <v>575</v>
      </c>
      <c r="E56" s="2329" t="s">
        <v>1361</v>
      </c>
      <c r="F56" s="2549" t="str">
        <f>IF(H56="正常",F58,"免征")</f>
        <v>——</v>
      </c>
      <c r="G56" s="2552" t="s">
        <v>1362</v>
      </c>
      <c r="H56" s="2553" t="s">
        <v>3862</v>
      </c>
      <c r="I56" s="1805"/>
      <c r="J56" s="2518" t="str">
        <f>IF(项目基本情况!K6="上海银行",IF(J55="",4,J55+1),"")</f>
        <v/>
      </c>
      <c r="K56" s="3627" t="str">
        <f>IF(项目基本情况!K6="上海银行","其他处置费用","")</f>
        <v/>
      </c>
      <c r="L56" s="3628"/>
      <c r="M56" s="2520" t="str">
        <f>IF(项目基本情况!K6="上海银行",M69,"")</f>
        <v/>
      </c>
      <c r="N56" s="3627" t="str">
        <f>IF(项目基本情况!K6="上海银行","包含处置中涉及的律师、诉讼、拍卖、评估等费用","")</f>
        <v/>
      </c>
      <c r="O56" s="3630"/>
    </row>
    <row r="57" spans="1:35" ht="12.75">
      <c r="A57" s="2330" t="s">
        <v>1338</v>
      </c>
      <c r="B57" s="3670" t="s">
        <v>1363</v>
      </c>
      <c r="C57" s="3671"/>
      <c r="D57" s="1587">
        <v>0</v>
      </c>
      <c r="E57" s="324" t="s">
        <v>1340</v>
      </c>
      <c r="F57" s="302"/>
      <c r="G57" s="2550"/>
      <c r="H57" s="2554"/>
      <c r="I57" s="1805"/>
      <c r="J57" s="3646">
        <f>IF(AND(J55="",J56=""),4,IF(项目基本情况!K6="上海银行",'结果表-住宅基准'!J56+1,'结果表-住宅基准'!J55+1))</f>
        <v>4</v>
      </c>
      <c r="K57" s="3646" t="s">
        <v>1364</v>
      </c>
      <c r="L57" s="2525" t="s">
        <v>1365</v>
      </c>
      <c r="M57" s="2526"/>
      <c r="N57" s="2527">
        <f ca="1">SUMIF(M52:M56,"&lt;9e307")</f>
        <v>3222</v>
      </c>
      <c r="O57" s="2528"/>
      <c r="P57" s="2685">
        <f ca="1">N57/M49</f>
        <v>6.4371765928116192E-2</v>
      </c>
    </row>
    <row r="58" spans="1:35" ht="24.75">
      <c r="A58" s="2330" t="s">
        <v>1349</v>
      </c>
      <c r="B58" s="3670" t="s">
        <v>1366</v>
      </c>
      <c r="C58" s="3669"/>
      <c r="D58" s="2319">
        <f ca="1">IF(H58="转让取得",C81,C97)</f>
        <v>575</v>
      </c>
      <c r="E58" s="2329" t="s">
        <v>1361</v>
      </c>
      <c r="F58" s="302" t="s">
        <v>28</v>
      </c>
      <c r="G58" s="2550"/>
      <c r="H58" s="2553" t="s">
        <v>4088</v>
      </c>
      <c r="I58" s="1805"/>
      <c r="J58" s="3646"/>
      <c r="K58" s="3646"/>
      <c r="L58" s="2525" t="s">
        <v>1367</v>
      </c>
      <c r="M58" s="2529"/>
      <c r="N58" s="2530" t="str">
        <f ca="1">NUMBERSTRING(INT(N57*10000),2)&amp;"元整"</f>
        <v>叁仟贰佰贰拾贰万元整</v>
      </c>
      <c r="O58" s="2531"/>
    </row>
    <row r="59" spans="1:35" ht="24.75" thickBot="1">
      <c r="A59" s="3650" t="s">
        <v>1368</v>
      </c>
      <c r="B59" s="3651"/>
      <c r="C59" s="3651"/>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09" t="s">
        <v>4089</v>
      </c>
      <c r="I59" s="2308" t="s">
        <v>2133</v>
      </c>
      <c r="J59" s="3648">
        <f>J57+1</f>
        <v>5</v>
      </c>
      <c r="K59" s="3646" t="s">
        <v>1369</v>
      </c>
      <c r="L59" s="2518" t="s">
        <v>1365</v>
      </c>
      <c r="M59" s="2532"/>
      <c r="N59" s="2533">
        <f ca="1">M49-N57</f>
        <v>46831</v>
      </c>
      <c r="O59" s="2534"/>
      <c r="P59" s="724">
        <f ca="1">N59*10000/二期房号清单!D165</f>
        <v>32682.853976433718</v>
      </c>
    </row>
    <row r="60" spans="1:35" ht="12" customHeight="1">
      <c r="A60" s="1806"/>
      <c r="B60" s="1744"/>
      <c r="C60" s="1744"/>
      <c r="D60" s="1744"/>
      <c r="E60" s="1575"/>
      <c r="F60" s="1805"/>
      <c r="G60" s="1805"/>
      <c r="H60" s="1807"/>
      <c r="I60" s="129"/>
      <c r="J60" s="3649"/>
      <c r="K60" s="3646"/>
      <c r="L60" s="2525" t="s">
        <v>1367</v>
      </c>
      <c r="M60" s="2529"/>
      <c r="N60" s="2530" t="str">
        <f ca="1">NUMBERSTRING(INT(N59*10000),2)&amp;"元整"</f>
        <v>肆亿陆仟捌佰叁拾壹万元整</v>
      </c>
      <c r="O60" s="2531"/>
    </row>
    <row r="61" spans="1:35" ht="13.5" thickBot="1">
      <c r="A61" s="3705" t="s">
        <v>1370</v>
      </c>
      <c r="B61" s="3705"/>
      <c r="C61" s="3705"/>
      <c r="D61" s="3705"/>
      <c r="E61" s="3705"/>
      <c r="F61" s="1805"/>
      <c r="G61" s="1805"/>
      <c r="H61" s="1807"/>
      <c r="I61" s="129"/>
      <c r="J61" s="2518">
        <f>J59+1</f>
        <v>6</v>
      </c>
      <c r="K61" s="3646" t="s">
        <v>1371</v>
      </c>
      <c r="L61" s="3646"/>
      <c r="M61" s="2535"/>
      <c r="N61" s="2536">
        <f ca="1">ROUND(N59*10000/'数据-汇总表'!E3,0)</f>
        <v>4035764</v>
      </c>
      <c r="O61" s="2537"/>
    </row>
    <row r="62" spans="1:35" ht="12.75">
      <c r="A62" s="3665" t="s">
        <v>1372</v>
      </c>
      <c r="B62" s="3666"/>
      <c r="C62" s="2016"/>
      <c r="D62" s="2016" t="s">
        <v>1373</v>
      </c>
      <c r="E62" s="166" t="s">
        <v>1374</v>
      </c>
      <c r="F62" s="1805"/>
      <c r="G62" s="1805"/>
      <c r="H62" s="1807"/>
      <c r="I62" s="129"/>
    </row>
    <row r="63" spans="1:35" ht="12.75">
      <c r="A63" s="173" t="s">
        <v>330</v>
      </c>
      <c r="B63" s="167" t="s">
        <v>1375</v>
      </c>
      <c r="C63" s="2559">
        <f ca="1">ROUND((C64+C65)/(1+'数据-取费表'!C42),0)</f>
        <v>47670</v>
      </c>
      <c r="D63" s="167"/>
      <c r="E63" s="168"/>
      <c r="F63" s="1805"/>
      <c r="G63" s="1805"/>
      <c r="H63" s="1807"/>
      <c r="I63" s="129"/>
      <c r="J63" s="3629" t="s">
        <v>1376</v>
      </c>
      <c r="K63" s="1329" t="s">
        <v>1377</v>
      </c>
      <c r="L63" s="1329">
        <f ca="1">IF(M49&gt;10000,M49*0.5%,IF(AND(M49&gt;1000,M49&lt;=10000),M49*1%,IF(AND(M49&gt;100,M49&lt;=1000),M49*3%,IF(AND(M49&gt;10,M49&lt;=100),M49*5%,M49*8%))))</f>
        <v>250.26500000000001</v>
      </c>
      <c r="M63" s="302">
        <f ca="1">ROUND(L63,1)</f>
        <v>250.3</v>
      </c>
      <c r="N63" s="2538"/>
      <c r="Z63" s="1749"/>
      <c r="AI63" s="1750"/>
    </row>
    <row r="64" spans="1:35" ht="14.25" customHeight="1">
      <c r="A64" s="169" t="s">
        <v>325</v>
      </c>
      <c r="B64" s="170" t="s">
        <v>1378</v>
      </c>
      <c r="C64" s="2560">
        <f ca="1">D45</f>
        <v>50053</v>
      </c>
      <c r="D64" s="170" t="s">
        <v>26</v>
      </c>
      <c r="E64" s="172"/>
      <c r="F64" s="1805"/>
      <c r="G64" s="1805"/>
      <c r="H64" s="1807"/>
      <c r="I64" s="129"/>
      <c r="J64" s="3629"/>
      <c r="K64" s="1329" t="s">
        <v>1379</v>
      </c>
      <c r="L64" s="1329">
        <f ca="1">IF(M49&gt;2000,M49*0.5%,IF(AND(M49&gt;1000,M49&lt;=2000),M49*0.6%,IF(AND(M49&gt;500,M49&lt;=1000),M49*0.7%,IF(AND(M49&gt;200,M49&lt;=500),M49*0.8%,IF(AND(M49&gt;100,M49&lt;=200),M49*0.9%,IF(AND(M49&gt;50,M49&lt;=100),M49*1%,IF(AND(M49&gt;20,M49&lt;=50),M49*1.5%,IF(AND(M49&gt;10,M49&lt;=20),M49*2%,IF(AND(M49&gt;1,M49&lt;=10),M49*2.5%)))))))))</f>
        <v>250.26500000000001</v>
      </c>
      <c r="M64" s="302">
        <f t="shared" ref="M64:M65" ca="1" si="1">ROUND(L64,1)</f>
        <v>250.3</v>
      </c>
      <c r="N64" s="2539" t="s">
        <v>1380</v>
      </c>
      <c r="Z64" s="1749"/>
      <c r="AI64" s="1750"/>
    </row>
    <row r="65" spans="1:35" ht="14.25" customHeight="1">
      <c r="A65" s="169" t="s">
        <v>326</v>
      </c>
      <c r="B65" s="170" t="s">
        <v>1381</v>
      </c>
      <c r="C65" s="2561"/>
      <c r="D65" s="170"/>
      <c r="E65" s="172"/>
      <c r="F65" s="1805"/>
      <c r="G65" s="1805"/>
      <c r="H65" s="1807"/>
      <c r="I65" s="129"/>
      <c r="J65" s="3629"/>
      <c r="K65" s="1329" t="s">
        <v>1382</v>
      </c>
      <c r="L65" s="1329">
        <f ca="1">IF(M49&gt;1000,M49*0.1%,IF(AND(M49&gt;500,M49&lt;=1000),M49*0.5%,IF(AND(M49&gt;50,M49&lt;=500),M49*1%,IF(AND(M49&gt;1,M49&lt;=50),M49*1.5%))))</f>
        <v>50.053000000000004</v>
      </c>
      <c r="M65" s="302">
        <f t="shared" ca="1" si="1"/>
        <v>50.1</v>
      </c>
      <c r="N65" s="2539" t="s">
        <v>1380</v>
      </c>
      <c r="Z65" s="1749"/>
      <c r="AI65" s="1750"/>
    </row>
    <row r="66" spans="1:35" ht="14.25" customHeight="1">
      <c r="A66" s="173" t="s">
        <v>327</v>
      </c>
      <c r="B66" s="174" t="s">
        <v>1383</v>
      </c>
      <c r="C66" s="2562"/>
      <c r="D66" s="174" t="s">
        <v>26</v>
      </c>
      <c r="E66" s="1335" t="s">
        <v>668</v>
      </c>
      <c r="F66" s="1805"/>
      <c r="G66" s="1805"/>
      <c r="H66" s="1807"/>
      <c r="I66" s="129"/>
      <c r="J66" s="3629"/>
      <c r="K66" s="1329" t="s">
        <v>1384</v>
      </c>
      <c r="L66" s="1329">
        <f ca="1">M49*0.5%</f>
        <v>250.26500000000001</v>
      </c>
      <c r="M66" s="302">
        <f ca="1">IF(L66&gt;0.5,0.5,ROUND(L66,0))</f>
        <v>0.5</v>
      </c>
      <c r="N66" s="2539" t="s">
        <v>1385</v>
      </c>
      <c r="Z66" s="1749"/>
      <c r="AI66" s="1750"/>
    </row>
    <row r="67" spans="1:35" ht="14.25" customHeight="1">
      <c r="A67" s="173" t="s">
        <v>328</v>
      </c>
      <c r="B67" s="174" t="s">
        <v>1386</v>
      </c>
      <c r="C67" s="2563">
        <f ca="1">C63-C66</f>
        <v>47670</v>
      </c>
      <c r="D67" s="170" t="s">
        <v>26</v>
      </c>
      <c r="E67" s="172"/>
      <c r="F67" s="1805"/>
      <c r="G67" s="1805"/>
      <c r="H67" s="1807"/>
      <c r="I67" s="129"/>
      <c r="J67" s="3629"/>
      <c r="K67" s="1329" t="s">
        <v>1387</v>
      </c>
      <c r="L67" s="1329">
        <f ca="1">IF(M49&gt;=10000,(8.25+(M49-10000)*0.01%),IF(AND(M49&gt;=8000,M49&lt;10000),(7.85+(M49-8000)*0.02%),IF(AND(M49&gt;=5000,M49&lt;8000),(6.65+(M49-5000)*0.04%),IF(AND(M49&gt;=2000,M49&lt;5000),(4.25+(PM49-2000)*0.08%),IF(AND(M49&gt;=1000,M49&lt;2000),(2.75+(M49-1000)*0.15%),IF(AND(M49&gt;=100,M49&lt;1000),(0.5+(M49-100)*0.25%),IF(AND(M49&gt;0,M49&lt;100),M49*0.5%)))))))</f>
        <v>12.2553</v>
      </c>
      <c r="M67" s="302">
        <f ca="1">ROUND(L67*0.9,1)</f>
        <v>11</v>
      </c>
      <c r="N67" s="2538"/>
      <c r="Z67" s="1749"/>
      <c r="AI67" s="1750"/>
    </row>
    <row r="68" spans="1:35" ht="14.25" customHeight="1" thickBot="1">
      <c r="A68" s="176" t="s">
        <v>329</v>
      </c>
      <c r="B68" s="177" t="s">
        <v>1388</v>
      </c>
      <c r="C68" s="2564">
        <f ca="1">IF(C67&lt;=0,0,ROUND(C67*D68,0))</f>
        <v>2622</v>
      </c>
      <c r="D68" s="2565">
        <f>'数据-取费表'!B41</f>
        <v>5.5000000000000007E-2</v>
      </c>
      <c r="E68" s="178"/>
      <c r="F68" s="1805"/>
      <c r="G68" s="1805"/>
      <c r="H68" s="1807"/>
      <c r="I68" s="129"/>
      <c r="J68" s="3629"/>
      <c r="K68" s="1329" t="s">
        <v>1389</v>
      </c>
      <c r="L68" s="1329">
        <f ca="1">IF(M49&gt;10000,M49*0.5%,IF(AND(M49&gt;5000,M49&lt;=10000),M49*1%,IF(AND(M49&gt;1000,M49&lt;=5000),M49*2%,IF(AND(M49&gt;200,M49&lt;=1000),M49*3%,M49*5%))))</f>
        <v>250.26500000000001</v>
      </c>
      <c r="M68" s="302">
        <f ca="1">ROUND(L68,1)</f>
        <v>250.3</v>
      </c>
      <c r="N68" s="2538"/>
      <c r="Z68" s="1749"/>
      <c r="AI68" s="1750"/>
    </row>
    <row r="69" spans="1:35" s="1769" customFormat="1" ht="16.5" customHeight="1">
      <c r="A69" s="1808"/>
      <c r="B69" s="1809"/>
      <c r="C69" s="1810"/>
      <c r="D69" s="1811"/>
      <c r="E69" s="1812"/>
      <c r="F69" s="1575"/>
      <c r="G69" s="1575"/>
      <c r="H69" s="1574"/>
      <c r="I69" s="1744"/>
      <c r="J69" s="3629"/>
      <c r="K69" s="1329" t="s">
        <v>1390</v>
      </c>
      <c r="L69" s="1329"/>
      <c r="M69" s="302">
        <f ca="1">ROUND(SUM(M63:M68),0)</f>
        <v>813</v>
      </c>
      <c r="N69" s="2540">
        <f ca="1">M69/M49</f>
        <v>1.6242782650390586E-2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73" t="s">
        <v>1391</v>
      </c>
      <c r="B70" s="3674"/>
      <c r="C70" s="3674"/>
      <c r="D70" s="3674"/>
      <c r="E70" s="3674"/>
      <c r="F70" s="3674"/>
      <c r="G70" s="3674"/>
      <c r="H70" s="3674"/>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65" t="s">
        <v>1372</v>
      </c>
      <c r="B71" s="3666"/>
      <c r="C71" s="2016"/>
      <c r="D71" s="2016"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47670</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238</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70" t="s">
        <v>1399</v>
      </c>
      <c r="F76" s="3669"/>
      <c r="G76" s="3669"/>
      <c r="H76" s="367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2319" t="s">
        <v>1401</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238</v>
      </c>
      <c r="D78" s="2572">
        <f>'数据-取费表'!B43</f>
        <v>5.000000000000001E-3</v>
      </c>
      <c r="E78" s="3662" t="s">
        <v>1403</v>
      </c>
      <c r="F78" s="3663"/>
      <c r="G78" s="3663"/>
      <c r="H78" s="366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1404</v>
      </c>
      <c r="C79" s="2563">
        <f ca="1">C72-C73</f>
        <v>47432</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199.29411764705881</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28376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3" t="s">
        <v>1407</v>
      </c>
      <c r="B83" s="3674"/>
      <c r="C83" s="3674"/>
      <c r="D83" s="3674"/>
      <c r="E83" s="3674"/>
      <c r="F83" s="3674"/>
      <c r="G83" s="3674"/>
      <c r="H83" s="367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65" t="s">
        <v>1372</v>
      </c>
      <c r="B84" s="3666"/>
      <c r="C84" s="2016"/>
      <c r="D84" s="2016" t="s">
        <v>1373</v>
      </c>
      <c r="E84" s="179" t="s">
        <v>1374</v>
      </c>
      <c r="F84" s="180"/>
      <c r="G84" s="180"/>
      <c r="H84" s="191"/>
      <c r="I84" s="1818">
        <v>19188</v>
      </c>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47670</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45751.601827233426</v>
      </c>
      <c r="D86" s="257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28333.331695999961</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f>I84*二期房号清单!D165/10000</f>
        <v>27494.331695999961</v>
      </c>
      <c r="D88" s="2572"/>
      <c r="E88" s="193" t="s">
        <v>1410</v>
      </c>
      <c r="F88" s="2322"/>
      <c r="G88" s="194" t="s">
        <v>1411</v>
      </c>
      <c r="H88" s="1821" t="s">
        <v>4084</v>
      </c>
      <c r="I88" s="1818"/>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839</v>
      </c>
      <c r="D89" s="2572">
        <f>'数据-取费表'!B48+'数据-取费表'!B49</f>
        <v>3.0499999999999999E-2</v>
      </c>
      <c r="E89" s="193" t="s">
        <v>1412</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2322"/>
      <c r="G90" s="3631" t="s">
        <v>2125</v>
      </c>
      <c r="H90" s="3632"/>
      <c r="I90" s="1818"/>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 ca="1">IF(H91="——",成本法!C33,I91)</f>
        <v>6677.2701312334657</v>
      </c>
      <c r="D91" s="2572"/>
      <c r="E91" s="3662" t="s">
        <v>1416</v>
      </c>
      <c r="F91" s="3663"/>
      <c r="G91" s="3663"/>
      <c r="H91" s="1822" t="s">
        <v>4085</v>
      </c>
      <c r="I91" s="1823">
        <f ca="1">'成本法 (元)'!H33*二期房号清单!D165/10000</f>
        <v>6677.2701312334657</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 ca="1">ROUND((C87+C90+C91)*D92,0)</f>
        <v>3501</v>
      </c>
      <c r="D92" s="2578">
        <v>0.1</v>
      </c>
      <c r="E92" s="3662" t="s">
        <v>1419</v>
      </c>
      <c r="F92" s="3663"/>
      <c r="G92" s="3663"/>
      <c r="H92" s="3664"/>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238</v>
      </c>
      <c r="D93" s="2572">
        <f>'数据-取费表'!B43</f>
        <v>5.000000000000001E-3</v>
      </c>
      <c r="E93" s="3662" t="s">
        <v>1403</v>
      </c>
      <c r="F93" s="3663"/>
      <c r="G93" s="3663"/>
      <c r="H93" s="366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 ca="1">ROUND((C87+C90+C91)*D94,0)</f>
        <v>7002</v>
      </c>
      <c r="D94" s="2572">
        <v>0.2</v>
      </c>
      <c r="E94" s="3707" t="s">
        <v>1423</v>
      </c>
      <c r="F94" s="3708"/>
      <c r="G94" s="3708"/>
      <c r="H94" s="370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1404</v>
      </c>
      <c r="C95" s="2563">
        <f ca="1">ROUND(C85-C86,0)</f>
        <v>1918</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4.1922029467792742E-2</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575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12" t="s">
        <v>1425</v>
      </c>
      <c r="B100" s="3613"/>
      <c r="C100" s="3613"/>
      <c r="D100" s="3647"/>
      <c r="E100" s="3613" t="s">
        <v>1426</v>
      </c>
      <c r="F100" s="3613"/>
      <c r="G100" s="3613"/>
      <c r="H100" s="3647"/>
      <c r="I100" s="129"/>
    </row>
    <row r="101" spans="1:35" ht="18.75" customHeight="1">
      <c r="A101" s="3655" t="s">
        <v>1427</v>
      </c>
      <c r="B101" s="3656"/>
      <c r="C101" s="2580" t="str">
        <f>C4</f>
        <v>比较法-住宅</v>
      </c>
      <c r="D101" s="2581" t="str">
        <f>D4</f>
        <v>成本法 (元)</v>
      </c>
      <c r="E101" s="3625" t="s">
        <v>1428</v>
      </c>
      <c r="F101" s="3626"/>
      <c r="G101" s="1824" t="s">
        <v>1429</v>
      </c>
      <c r="H101" s="2590">
        <f ca="1">H118</f>
        <v>307</v>
      </c>
      <c r="I101" s="129"/>
    </row>
    <row r="102" spans="1:35" ht="18.75" customHeight="1">
      <c r="A102" s="3657" t="s">
        <v>1430</v>
      </c>
      <c r="B102" s="2579" t="s">
        <v>1429</v>
      </c>
      <c r="C102" s="2580">
        <f ca="1">IF(D32="楼面单价",ROUND(C19,0),C19)</f>
        <v>319</v>
      </c>
      <c r="D102" s="2581">
        <f ca="1">IF(D32="楼面单价",ROUND(D19,0),D19)</f>
        <v>295</v>
      </c>
      <c r="E102" s="3625"/>
      <c r="F102" s="3626"/>
      <c r="G102" s="1824" t="s">
        <v>1431</v>
      </c>
      <c r="H102" s="2550">
        <f ca="1">I118</f>
        <v>35274</v>
      </c>
      <c r="I102" s="129"/>
    </row>
    <row r="103" spans="1:35" ht="42.75" customHeight="1">
      <c r="A103" s="3657"/>
      <c r="B103" s="2579" t="s">
        <v>1431</v>
      </c>
      <c r="C103" s="2582">
        <f ca="1">C20</f>
        <v>36657</v>
      </c>
      <c r="D103" s="2583">
        <f ca="1">D20</f>
        <v>33891</v>
      </c>
      <c r="E103" s="3618" t="s">
        <v>1432</v>
      </c>
      <c r="F103" s="3619"/>
      <c r="G103" s="1825" t="s">
        <v>1433</v>
      </c>
      <c r="H103" s="2590">
        <f>IF(D36="正常操作",H104+H105+H106,H105+H106)</f>
        <v>0</v>
      </c>
      <c r="I103" s="129"/>
    </row>
    <row r="104" spans="1:35" ht="18.75" customHeight="1">
      <c r="A104" s="3657" t="s">
        <v>1434</v>
      </c>
      <c r="B104" s="2584" t="s">
        <v>1429</v>
      </c>
      <c r="C104" s="2585">
        <f ca="1">H118</f>
        <v>307</v>
      </c>
      <c r="D104" s="2586"/>
      <c r="E104" s="1671" t="s">
        <v>1435</v>
      </c>
      <c r="F104" s="1663"/>
      <c r="G104" s="1825" t="s">
        <v>1433</v>
      </c>
      <c r="H104" s="2591">
        <f>IF(D36="同一抵押权人同一抵押物续贷",C36&amp;"（续贷，未扣减，详见特别提示）",C36)</f>
        <v>0</v>
      </c>
      <c r="I104" s="129"/>
    </row>
    <row r="105" spans="1:35" ht="18.75" customHeight="1" thickBot="1">
      <c r="A105" s="3667"/>
      <c r="B105" s="2587" t="s">
        <v>1431</v>
      </c>
      <c r="C105" s="2588">
        <f ca="1">I118</f>
        <v>35274</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8" t="str">
        <f>IF(项目基本情况!E8="已注销","——","3.房地产抵押价值")</f>
        <v>3.房地产抵押价值</v>
      </c>
      <c r="F107" s="3626"/>
      <c r="G107" s="1824" t="s">
        <v>1429</v>
      </c>
      <c r="H107" s="2590">
        <f ca="1">IF(E107="——","——",H101-H103)</f>
        <v>307</v>
      </c>
      <c r="I107" s="129"/>
    </row>
    <row r="108" spans="1:35" ht="18.75" customHeight="1">
      <c r="A108" s="129"/>
      <c r="B108" s="129"/>
      <c r="C108" s="129"/>
      <c r="D108" s="129"/>
      <c r="E108" s="3658"/>
      <c r="F108" s="3626"/>
      <c r="G108" s="1824" t="s">
        <v>1431</v>
      </c>
      <c r="H108" s="2550">
        <f ca="1">IF(H107=H101,H102,ROUND(H107*10000/'数据-汇总表'!E3,0))</f>
        <v>35274</v>
      </c>
      <c r="I108" s="129"/>
    </row>
    <row r="109" spans="1:35" ht="18.75" customHeight="1">
      <c r="A109" s="129"/>
      <c r="B109" s="129"/>
      <c r="C109" s="129"/>
      <c r="D109" s="129"/>
      <c r="E109" s="3658" t="str">
        <f>IF(项目基本情况!E8="已注销及未注销","4.抵押担保权已注销时的房地产抵押价值",IF(项目基本情况!E8="已注销","3.抵押担保权已注销时的房地产抵押价值","——"))</f>
        <v>——</v>
      </c>
      <c r="F109" s="3626"/>
      <c r="G109" s="1824" t="s">
        <v>1429</v>
      </c>
      <c r="H109" s="2593" t="str">
        <f>IF(E109="——","——",H101-H105-H106)</f>
        <v>——</v>
      </c>
      <c r="I109" s="129"/>
    </row>
    <row r="110" spans="1:35" ht="18.75" customHeight="1">
      <c r="A110" s="129"/>
      <c r="B110" s="129"/>
      <c r="C110" s="129"/>
      <c r="D110" s="129"/>
      <c r="E110" s="3658"/>
      <c r="F110" s="3626"/>
      <c r="G110" s="1824" t="s">
        <v>1431</v>
      </c>
      <c r="H110" s="2550"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4.抵押净值</v>
      </c>
      <c r="F111" s="3645"/>
      <c r="G111" s="1824" t="s">
        <v>1429</v>
      </c>
      <c r="H111" s="2590">
        <f ca="1">IF(E111="——","——",N59)</f>
        <v>46831</v>
      </c>
      <c r="I111" s="129"/>
    </row>
    <row r="112" spans="1:35" ht="18.75" customHeight="1" thickBot="1">
      <c r="A112" s="129"/>
      <c r="B112" s="129"/>
      <c r="C112" s="129"/>
      <c r="D112" s="129"/>
      <c r="E112" s="3660"/>
      <c r="F112" s="3661"/>
      <c r="G112" s="1827" t="s">
        <v>1431</v>
      </c>
      <c r="H112" s="2594">
        <f ca="1">IF(E111="——","——",N61)</f>
        <v>4035764</v>
      </c>
      <c r="I112" s="129"/>
    </row>
    <row r="113" spans="1:27" ht="18.75" customHeight="1">
      <c r="A113" s="129"/>
      <c r="B113" s="129"/>
      <c r="C113" s="129"/>
      <c r="D113" s="129"/>
      <c r="E113" s="3668" t="s">
        <v>1437</v>
      </c>
      <c r="F113" s="3668"/>
      <c r="G113" s="3668"/>
      <c r="H113" s="3668"/>
      <c r="I113" s="129"/>
    </row>
    <row r="114" spans="1:27" ht="3.75" customHeight="1">
      <c r="A114" s="1744"/>
      <c r="B114" s="1744"/>
      <c r="C114" s="1744"/>
      <c r="D114" s="1744"/>
      <c r="E114" s="1806"/>
      <c r="F114" s="1806"/>
      <c r="G114" s="1806"/>
      <c r="H114" s="1806"/>
      <c r="I114" s="1744"/>
    </row>
    <row r="115" spans="1:27" ht="18.75" customHeight="1">
      <c r="A115" s="3676" t="s">
        <v>1439</v>
      </c>
      <c r="B115" s="3677"/>
      <c r="C115" s="3677"/>
      <c r="D115" s="3677"/>
      <c r="E115" s="3677"/>
      <c r="F115" s="3677"/>
      <c r="G115" s="3677"/>
      <c r="H115" s="3677"/>
      <c r="I115" s="3678"/>
    </row>
    <row r="116" spans="1:27" ht="27" customHeight="1">
      <c r="A116" s="3633" t="s">
        <v>1440</v>
      </c>
      <c r="B116" s="3637" t="s">
        <v>1441</v>
      </c>
      <c r="C116" s="3637" t="s">
        <v>1442</v>
      </c>
      <c r="D116" s="3643" t="s">
        <v>1443</v>
      </c>
      <c r="E116" s="3644"/>
      <c r="F116" s="3675" t="s">
        <v>1444</v>
      </c>
      <c r="G116" s="3675"/>
      <c r="H116" s="3633" t="s">
        <v>1445</v>
      </c>
      <c r="I116" s="3633"/>
    </row>
    <row r="117" spans="1:27" ht="18.75" customHeight="1">
      <c r="A117" s="3633"/>
      <c r="B117" s="3638"/>
      <c r="C117" s="3638"/>
      <c r="D117" s="2324" t="s">
        <v>1446</v>
      </c>
      <c r="E117" s="2324" t="s">
        <v>1447</v>
      </c>
      <c r="F117" s="2324" t="s">
        <v>1446</v>
      </c>
      <c r="G117" s="2324" t="s">
        <v>1448</v>
      </c>
      <c r="H117" s="2324" t="s">
        <v>1446</v>
      </c>
      <c r="I117" s="2324" t="s">
        <v>1448</v>
      </c>
    </row>
    <row r="118" spans="1:27" ht="24.75" customHeight="1">
      <c r="A118" s="2595" t="str">
        <f>项目基本情况!S2</f>
        <v>北京市房地产</v>
      </c>
      <c r="B118" s="2324">
        <f>M18</f>
        <v>86.99</v>
      </c>
      <c r="C118" s="2324">
        <f>M19</f>
        <v>0</v>
      </c>
      <c r="D118" s="2324">
        <f ca="1">ROUND(IF(D32="总价",C34,E118*B118/10000),0)</f>
        <v>252</v>
      </c>
      <c r="E118" s="2324">
        <f ca="1">ROUND(IF(C33="自定义",IF(D32="楼面单价",C34,D118*10000/B118),I118-G118),0)</f>
        <v>28925</v>
      </c>
      <c r="F118" s="2324">
        <f ca="1">ROUND(IF(D32="总价",C35,G118*B118/10000),0)</f>
        <v>55</v>
      </c>
      <c r="G118" s="2324">
        <f ca="1">ROUND(IF(D32="楼面单价",C35,F118*10000/B118),0)</f>
        <v>6349</v>
      </c>
      <c r="H118" s="2324">
        <f ca="1">ROUND(IF(D32="总价",C32,I118*B118/10000),0)</f>
        <v>307</v>
      </c>
      <c r="I118" s="2324">
        <f ca="1">ROUND(IF(D32="楼面单价",C32,H118*10000/B118),0)</f>
        <v>35274</v>
      </c>
    </row>
    <row r="119" spans="1:27" ht="18.75" customHeight="1">
      <c r="A119" s="3633" t="s">
        <v>1449</v>
      </c>
      <c r="B119" s="3633"/>
      <c r="C119" s="3633"/>
      <c r="D119" s="3639" t="str">
        <f ca="1">NUMBERSTRING(INT(D118*10000),2)&amp;"元整"</f>
        <v>贰佰伍拾贰万元整</v>
      </c>
      <c r="E119" s="3640"/>
      <c r="F119" s="3639" t="str">
        <f ca="1">NUMBERSTRING(INT(F118*10000),2)&amp;"元整"</f>
        <v>伍拾伍万元整</v>
      </c>
      <c r="G119" s="3640"/>
      <c r="H119" s="3639" t="str">
        <f ca="1">NUMBERSTRING(INT(H118*10000),2)&amp;"元整"</f>
        <v>叁佰零柒万元整</v>
      </c>
      <c r="I119" s="3640"/>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39" t="s">
        <v>1449</v>
      </c>
      <c r="B121" s="3641"/>
      <c r="C121" s="3640"/>
      <c r="D121" s="3639" t="str">
        <f>IF(D120=0,"零元整",NUMBERSTRING(INT(D120*10000),2)&amp;"元整")</f>
        <v>零元整</v>
      </c>
      <c r="E121" s="3641"/>
      <c r="F121" s="3641"/>
      <c r="G121" s="3641"/>
      <c r="H121" s="3641"/>
      <c r="I121" s="3640"/>
      <c r="AA121" s="724"/>
    </row>
    <row r="122" spans="1:27" ht="18.75" customHeight="1">
      <c r="A122" s="3645" t="str">
        <f>IF(项目基本情况!B9="房地产市场价值","",MID(E107,3,LEN(E107)-2))</f>
        <v>房地产抵押价值</v>
      </c>
      <c r="B122" s="3645"/>
      <c r="C122" s="3645"/>
      <c r="D122" s="3634">
        <f ca="1">H107</f>
        <v>307</v>
      </c>
      <c r="E122" s="3635"/>
      <c r="F122" s="3635"/>
      <c r="G122" s="3635"/>
      <c r="H122" s="3635"/>
      <c r="I122" s="3636"/>
      <c r="AA122" s="724"/>
    </row>
    <row r="123" spans="1:27" ht="18.75" customHeight="1">
      <c r="A123" s="3633" t="s">
        <v>1449</v>
      </c>
      <c r="B123" s="3633"/>
      <c r="C123" s="3633"/>
      <c r="D123" s="3639" t="str">
        <f ca="1">NUMBERSTRING(INT(D122*10000),2)&amp;"元整"</f>
        <v>叁佰零柒万元整</v>
      </c>
      <c r="E123" s="3641"/>
      <c r="F123" s="3641"/>
      <c r="G123" s="3641"/>
      <c r="H123" s="3641"/>
      <c r="I123" s="3640"/>
      <c r="AA123" s="724"/>
    </row>
    <row r="124" spans="1:27" ht="18.75" customHeight="1">
      <c r="A124" s="3645" t="str">
        <f>IF(项目基本情况!B9="房地产市场价值","",MID(E109,3,LEN(E109)-2))</f>
        <v/>
      </c>
      <c r="B124" s="3645"/>
      <c r="C124" s="3645"/>
      <c r="D124" s="3634" t="str">
        <f>H109</f>
        <v>——</v>
      </c>
      <c r="E124" s="3635"/>
      <c r="F124" s="3635"/>
      <c r="G124" s="3635"/>
      <c r="H124" s="3635"/>
      <c r="I124" s="3636"/>
      <c r="AA124" s="724"/>
    </row>
    <row r="125" spans="1:27" ht="18.75" customHeight="1">
      <c r="A125" s="3633" t="s">
        <v>1449</v>
      </c>
      <c r="B125" s="3633"/>
      <c r="C125" s="3633"/>
      <c r="D125" s="3639" t="e">
        <f>NUMBERSTRING(INT(D124*10000),2)&amp;"元整"</f>
        <v>#VALUE!</v>
      </c>
      <c r="E125" s="3641"/>
      <c r="F125" s="3641"/>
      <c r="G125" s="3641"/>
      <c r="H125" s="3641"/>
      <c r="I125" s="3640"/>
      <c r="AA125" s="724"/>
    </row>
    <row r="126" spans="1:27" ht="18.75" customHeight="1">
      <c r="A126" s="3645" t="str">
        <f>IF(项目基本情况!B9="房地产市场价值","",MID(E111,3,LEN(E111)-2))</f>
        <v>抵押净值</v>
      </c>
      <c r="B126" s="3645"/>
      <c r="C126" s="3645"/>
      <c r="D126" s="3634">
        <f ca="1">H111</f>
        <v>46831</v>
      </c>
      <c r="E126" s="3635"/>
      <c r="F126" s="3635"/>
      <c r="G126" s="3635"/>
      <c r="H126" s="3635"/>
      <c r="I126" s="3636"/>
      <c r="AA126" s="724"/>
    </row>
    <row r="127" spans="1:27" ht="18.75" customHeight="1">
      <c r="A127" s="3633" t="s">
        <v>1449</v>
      </c>
      <c r="B127" s="3633"/>
      <c r="C127" s="3633"/>
      <c r="D127" s="3639" t="str">
        <f ca="1">NUMBERSTRING(INT(D126*10000),2)&amp;"元整"</f>
        <v>肆亿陆仟捌佰叁拾壹万元整</v>
      </c>
      <c r="E127" s="3641"/>
      <c r="F127" s="3641"/>
      <c r="G127" s="3641"/>
      <c r="H127" s="3641"/>
      <c r="I127" s="3640"/>
      <c r="AA127" s="724"/>
    </row>
    <row r="128" spans="1:27" ht="21.75" customHeight="1">
      <c r="A128" s="3642" t="s">
        <v>1450</v>
      </c>
      <c r="B128" s="3642"/>
      <c r="C128" s="3642"/>
      <c r="D128" s="3642"/>
      <c r="E128" s="3642"/>
      <c r="F128" s="3642"/>
      <c r="G128" s="3642"/>
      <c r="H128" s="3642"/>
      <c r="I128" s="3642"/>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7" zoomScale="80" zoomScaleNormal="60" zoomScaleSheetLayoutView="80" workbookViewId="0">
      <selection activeCell="M43" sqref="M4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3756</v>
      </c>
      <c r="E1" s="3421" t="s">
        <v>3860</v>
      </c>
      <c r="F1" s="1876" t="s">
        <v>3861</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682</v>
      </c>
      <c r="B2" s="3422">
        <f>IF(E1="项目模式",IF(C2="——",ROUND(C49*D3/10000,0),ROUND(C49*D3/10000,0)-D2),IF(E1="单套模式",IF(C2="——",ROUND(C49*D3/10000,4),ROUND(C49*D3/10000,4)-D2)))</f>
        <v>318.87920000000003</v>
      </c>
      <c r="C2" s="1878" t="s">
        <v>43</v>
      </c>
      <c r="D2" s="1113" t="e">
        <f ca="1">IF(E1="项目模式",SUMIF(INDIRECT("'"&amp;F2&amp;"'"&amp;"!A:A"),"承租人权益价值",INDIRECT("'"&amp;F2&amp;"'"&amp;"!c:c")),SUMIF(INDIRECT("'"&amp;F2&amp;"'"&amp;"!A:A"),"承租人权益价值（单套）",INDIRECT("'"&amp;F2&amp;"'"&amp;"!c:c")))</f>
        <v>#REF!</v>
      </c>
      <c r="E2" s="1879" t="s">
        <v>1661</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683</v>
      </c>
      <c r="B3" s="353">
        <f>IF(C2="——",C49,ROUND(B2*10000/D3,0))</f>
        <v>36657</v>
      </c>
      <c r="C3" s="354" t="s">
        <v>1662</v>
      </c>
      <c r="D3" s="353">
        <f>IF(D1="",'数据-汇总表'!E3,SUMIF('数据-汇总表'!$C19:$C33,D1,'数据-汇总表'!$E19:$E33))</f>
        <v>86.99</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1663</v>
      </c>
      <c r="B4" s="356"/>
      <c r="C4" s="3731" t="s">
        <v>1664</v>
      </c>
      <c r="D4" s="3732"/>
      <c r="E4" s="3733" t="s">
        <v>1665</v>
      </c>
      <c r="F4" s="3734"/>
      <c r="G4" s="3731" t="s">
        <v>1666</v>
      </c>
      <c r="H4" s="3732"/>
      <c r="I4" s="3731" t="s">
        <v>1667</v>
      </c>
      <c r="J4" s="3732"/>
      <c r="K4" s="1886" t="s">
        <v>1668</v>
      </c>
      <c r="L4" s="2710"/>
      <c r="M4" s="2711"/>
      <c r="N4" s="2711"/>
      <c r="O4" s="2711"/>
      <c r="P4" s="3735" t="s">
        <v>1669</v>
      </c>
      <c r="Q4" s="3736"/>
      <c r="R4" s="3717" t="s">
        <v>1665</v>
      </c>
      <c r="S4" s="3718"/>
      <c r="T4" s="3717" t="s">
        <v>1666</v>
      </c>
      <c r="U4" s="3718"/>
      <c r="V4" s="3743" t="s">
        <v>1667</v>
      </c>
      <c r="W4" s="3743"/>
      <c r="X4" s="1352"/>
      <c r="Y4" s="3717" t="s">
        <v>1669</v>
      </c>
      <c r="Z4" s="3718"/>
      <c r="AA4" s="3712" t="s">
        <v>1665</v>
      </c>
      <c r="AB4" s="3712" t="s">
        <v>1666</v>
      </c>
      <c r="AC4" s="3712" t="s">
        <v>1667</v>
      </c>
    </row>
    <row r="5" spans="1:29" ht="15">
      <c r="A5" s="358"/>
      <c r="B5" s="359"/>
      <c r="C5" s="3723" t="s">
        <v>1670</v>
      </c>
      <c r="D5" s="3724"/>
      <c r="E5" s="3721" t="s">
        <v>4078</v>
      </c>
      <c r="F5" s="3722"/>
      <c r="G5" s="3727" t="s">
        <v>4079</v>
      </c>
      <c r="H5" s="3724"/>
      <c r="I5" s="3727" t="s">
        <v>4080</v>
      </c>
      <c r="J5" s="3724"/>
      <c r="K5" s="1887"/>
      <c r="L5" s="2710"/>
      <c r="M5" s="2711"/>
      <c r="N5" s="2711"/>
      <c r="O5" s="2711"/>
      <c r="P5" s="3737"/>
      <c r="Q5" s="3738"/>
      <c r="R5" s="3719"/>
      <c r="S5" s="3720"/>
      <c r="T5" s="3719"/>
      <c r="U5" s="3720"/>
      <c r="V5" s="3743"/>
      <c r="W5" s="3743"/>
      <c r="X5" s="1352"/>
      <c r="Y5" s="3719"/>
      <c r="Z5" s="3720"/>
      <c r="AA5" s="3713"/>
      <c r="AB5" s="3713"/>
      <c r="AC5" s="3713"/>
    </row>
    <row r="6" spans="1:29" ht="15.75" thickBot="1">
      <c r="A6" s="360"/>
      <c r="B6" s="361"/>
      <c r="C6" s="3725" t="s">
        <v>1674</v>
      </c>
      <c r="D6" s="3726"/>
      <c r="E6" s="3728" t="s">
        <v>1674</v>
      </c>
      <c r="F6" s="3729"/>
      <c r="G6" s="3725" t="s">
        <v>1674</v>
      </c>
      <c r="H6" s="3726"/>
      <c r="I6" s="3725" t="s">
        <v>1674</v>
      </c>
      <c r="J6" s="3726"/>
      <c r="K6" s="1887" t="s">
        <v>1675</v>
      </c>
      <c r="L6" s="2710"/>
      <c r="M6" s="2711"/>
      <c r="N6" s="2711"/>
      <c r="O6" s="2711"/>
      <c r="P6" s="3739"/>
      <c r="Q6" s="3740"/>
      <c r="R6" s="3719"/>
      <c r="S6" s="3720"/>
      <c r="T6" s="3741"/>
      <c r="U6" s="3742"/>
      <c r="V6" s="3743"/>
      <c r="W6" s="3743"/>
      <c r="X6" s="1352"/>
      <c r="Y6" s="3741"/>
      <c r="Z6" s="3742"/>
      <c r="AA6" s="3714"/>
      <c r="AB6" s="3714"/>
      <c r="AC6" s="3714"/>
    </row>
    <row r="7" spans="1:29" s="108" customFormat="1" ht="15.75" thickBot="1">
      <c r="A7" s="362" t="s">
        <v>1676</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715" t="s">
        <v>1677</v>
      </c>
      <c r="Q7" s="3744"/>
      <c r="R7" s="700" t="s">
        <v>20</v>
      </c>
      <c r="S7" s="701">
        <f t="shared" ref="S7:S15" si="0">F7</f>
        <v>100</v>
      </c>
      <c r="T7" s="700" t="s">
        <v>20</v>
      </c>
      <c r="U7" s="701">
        <f t="shared" ref="U7:U15" si="1">H7</f>
        <v>100</v>
      </c>
      <c r="V7" s="700" t="s">
        <v>20</v>
      </c>
      <c r="W7" s="701">
        <f t="shared" ref="W7:W15" si="2">J7</f>
        <v>100</v>
      </c>
      <c r="X7" s="702"/>
      <c r="Y7" s="3715" t="s">
        <v>1677</v>
      </c>
      <c r="Z7" s="3716"/>
      <c r="AA7" s="703">
        <f>D7/F7</f>
        <v>1</v>
      </c>
      <c r="AB7" s="703">
        <f>D7/H7</f>
        <v>1</v>
      </c>
      <c r="AC7" s="703">
        <f>D7/J7</f>
        <v>1</v>
      </c>
    </row>
    <row r="8" spans="1:29" s="108" customFormat="1" ht="15.75" thickBot="1">
      <c r="A8" s="362" t="s">
        <v>1678</v>
      </c>
      <c r="B8" s="363"/>
      <c r="C8" s="368" t="s">
        <v>3862</v>
      </c>
      <c r="D8" s="365">
        <v>100</v>
      </c>
      <c r="E8" s="368" t="s">
        <v>3862</v>
      </c>
      <c r="F8" s="367">
        <f>SUMIF(61:61,E8,62:62)-SUMIF(61:61,C8,62:62)+100</f>
        <v>100</v>
      </c>
      <c r="G8" s="368" t="s">
        <v>3862</v>
      </c>
      <c r="H8" s="365">
        <f>SUMIF(61:61,G8,62:62)-SUMIF(61:61,C8,62:62)+100</f>
        <v>100</v>
      </c>
      <c r="I8" s="368" t="s">
        <v>3862</v>
      </c>
      <c r="J8" s="365">
        <f>SUMIF(61:61,I8,62:62)-SUMIF(61:61,C8,62:62)+100</f>
        <v>100</v>
      </c>
      <c r="K8" s="1888"/>
      <c r="L8" s="2712"/>
      <c r="M8" s="2713"/>
      <c r="N8" s="2713"/>
      <c r="O8" s="2713"/>
      <c r="P8" s="3715" t="s">
        <v>1680</v>
      </c>
      <c r="Q8" s="3716"/>
      <c r="R8" s="700" t="s">
        <v>20</v>
      </c>
      <c r="S8" s="701">
        <f t="shared" si="0"/>
        <v>100</v>
      </c>
      <c r="T8" s="700" t="s">
        <v>20</v>
      </c>
      <c r="U8" s="701">
        <f t="shared" si="1"/>
        <v>100</v>
      </c>
      <c r="V8" s="700" t="s">
        <v>20</v>
      </c>
      <c r="W8" s="701">
        <f t="shared" si="2"/>
        <v>100</v>
      </c>
      <c r="X8" s="702"/>
      <c r="Y8" s="3715" t="s">
        <v>1680</v>
      </c>
      <c r="Z8" s="3716"/>
      <c r="AA8" s="703">
        <f t="shared" ref="AA8:AA19" si="3">D8/F8</f>
        <v>1</v>
      </c>
      <c r="AB8" s="703">
        <f t="shared" ref="AB8:AB19" si="4">D8/H8</f>
        <v>1</v>
      </c>
      <c r="AC8" s="703">
        <f t="shared" ref="AC8:AC19" si="5">D8/J8</f>
        <v>1</v>
      </c>
    </row>
    <row r="9" spans="1:29" s="108" customFormat="1">
      <c r="A9" s="369" t="s">
        <v>1681</v>
      </c>
      <c r="B9" s="63" t="s">
        <v>1682</v>
      </c>
      <c r="C9" s="3504" t="s">
        <v>3863</v>
      </c>
      <c r="D9" s="126">
        <v>100</v>
      </c>
      <c r="E9" s="371" t="s">
        <v>3756</v>
      </c>
      <c r="F9" s="372">
        <f>SUMIF(63:63,E9,64:64)-SUMIF(63:63,C9,64:64)+100</f>
        <v>100</v>
      </c>
      <c r="G9" s="371" t="s">
        <v>3756</v>
      </c>
      <c r="H9" s="126">
        <f>SUMIF(63:63,G9,64:64)-SUMIF(63:63,C9,64:64)+100</f>
        <v>100</v>
      </c>
      <c r="I9" s="371" t="s">
        <v>3756</v>
      </c>
      <c r="J9" s="126">
        <f>SUMIF(63:63,I9,64:64)-SUMIF(63:63,C9,64:64)+100</f>
        <v>100</v>
      </c>
      <c r="K9" s="1888"/>
      <c r="L9" s="2712"/>
      <c r="M9" s="2713"/>
      <c r="N9" s="2713"/>
      <c r="O9" s="2713"/>
      <c r="P9" s="3730" t="s">
        <v>1683</v>
      </c>
      <c r="Q9" s="1340" t="str">
        <f t="shared" ref="Q9:Q15" si="6">B9</f>
        <v>用途</v>
      </c>
      <c r="R9" s="700" t="s">
        <v>14</v>
      </c>
      <c r="S9" s="701">
        <f t="shared" si="0"/>
        <v>100</v>
      </c>
      <c r="T9" s="700" t="s">
        <v>14</v>
      </c>
      <c r="U9" s="701">
        <f t="shared" si="1"/>
        <v>100</v>
      </c>
      <c r="V9" s="700" t="s">
        <v>14</v>
      </c>
      <c r="W9" s="701">
        <f t="shared" si="2"/>
        <v>100</v>
      </c>
      <c r="X9" s="702"/>
      <c r="Y9" s="3688" t="s">
        <v>1684</v>
      </c>
      <c r="Z9" s="52" t="str">
        <f t="shared" ref="Z9:Z15" si="7">Q9</f>
        <v>用途</v>
      </c>
      <c r="AA9" s="703">
        <f t="shared" si="3"/>
        <v>1</v>
      </c>
      <c r="AB9" s="703">
        <f t="shared" si="4"/>
        <v>1</v>
      </c>
      <c r="AC9" s="703">
        <f t="shared" si="5"/>
        <v>1</v>
      </c>
    </row>
    <row r="10" spans="1:29" s="378" customFormat="1" ht="27">
      <c r="A10" s="374"/>
      <c r="B10" s="375" t="s">
        <v>1685</v>
      </c>
      <c r="C10" s="3429" t="s">
        <v>3865</v>
      </c>
      <c r="D10" s="127">
        <v>100</v>
      </c>
      <c r="E10" s="3429" t="s">
        <v>3865</v>
      </c>
      <c r="F10" s="376">
        <f>SUMIF(65:65,E10,66:66)-SUMIF(65:65,C10,66:66)+100</f>
        <v>100</v>
      </c>
      <c r="G10" s="3429" t="s">
        <v>3865</v>
      </c>
      <c r="H10" s="127">
        <f>SUMIF(65:65,G10,66:66)-SUMIF(65:65,C10,66:66)+100</f>
        <v>100</v>
      </c>
      <c r="I10" s="3429" t="s">
        <v>3888</v>
      </c>
      <c r="J10" s="127">
        <f>SUMIF(65:65,I10,66:66)-SUMIF(65:65,C10,66:66)+100</f>
        <v>98</v>
      </c>
      <c r="K10" s="1888"/>
      <c r="L10" s="2714"/>
      <c r="M10" s="2715"/>
      <c r="N10" s="2715"/>
      <c r="O10" s="2715"/>
      <c r="P10" s="3730"/>
      <c r="Q10" s="1340" t="str">
        <f t="shared" si="6"/>
        <v>土地使用年限（年）</v>
      </c>
      <c r="R10" s="700" t="s">
        <v>14</v>
      </c>
      <c r="S10" s="701">
        <f t="shared" si="0"/>
        <v>100</v>
      </c>
      <c r="T10" s="700" t="s">
        <v>14</v>
      </c>
      <c r="U10" s="701">
        <f t="shared" si="1"/>
        <v>100</v>
      </c>
      <c r="V10" s="700" t="s">
        <v>14</v>
      </c>
      <c r="W10" s="701">
        <f t="shared" si="2"/>
        <v>98</v>
      </c>
      <c r="X10" s="702"/>
      <c r="Y10" s="3688"/>
      <c r="Z10" s="52" t="str">
        <f t="shared" si="7"/>
        <v>土地使用年限（年）</v>
      </c>
      <c r="AA10" s="703">
        <f t="shared" si="3"/>
        <v>1</v>
      </c>
      <c r="AB10" s="703">
        <f t="shared" si="4"/>
        <v>1</v>
      </c>
      <c r="AC10" s="703">
        <f t="shared" si="5"/>
        <v>1.0204081632653061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30"/>
      <c r="Q11" s="1340" t="str">
        <f t="shared" si="6"/>
        <v>容积率</v>
      </c>
      <c r="R11" s="700" t="s">
        <v>18</v>
      </c>
      <c r="S11" s="701">
        <f t="shared" si="0"/>
        <v>100</v>
      </c>
      <c r="T11" s="700" t="s">
        <v>18</v>
      </c>
      <c r="U11" s="701">
        <f t="shared" si="1"/>
        <v>100</v>
      </c>
      <c r="V11" s="700" t="s">
        <v>18</v>
      </c>
      <c r="W11" s="701">
        <f t="shared" si="2"/>
        <v>100</v>
      </c>
      <c r="X11" s="702"/>
      <c r="Y11" s="3688"/>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30"/>
      <c r="Q12" s="1340">
        <f t="shared" si="6"/>
        <v>111</v>
      </c>
      <c r="R12" s="700" t="s">
        <v>18</v>
      </c>
      <c r="S12" s="701">
        <f t="shared" si="0"/>
        <v>100</v>
      </c>
      <c r="T12" s="700" t="s">
        <v>18</v>
      </c>
      <c r="U12" s="701">
        <f t="shared" si="1"/>
        <v>100</v>
      </c>
      <c r="V12" s="700" t="s">
        <v>18</v>
      </c>
      <c r="W12" s="701">
        <f t="shared" si="2"/>
        <v>100</v>
      </c>
      <c r="X12" s="702"/>
      <c r="Y12" s="3688"/>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30"/>
      <c r="Q13" s="1340">
        <f t="shared" si="6"/>
        <v>111</v>
      </c>
      <c r="R13" s="700" t="s">
        <v>18</v>
      </c>
      <c r="S13" s="701">
        <f t="shared" si="0"/>
        <v>100</v>
      </c>
      <c r="T13" s="700" t="s">
        <v>18</v>
      </c>
      <c r="U13" s="701">
        <f t="shared" si="1"/>
        <v>100</v>
      </c>
      <c r="V13" s="700" t="s">
        <v>18</v>
      </c>
      <c r="W13" s="701">
        <f t="shared" si="2"/>
        <v>100</v>
      </c>
      <c r="X13" s="702"/>
      <c r="Y13" s="3688"/>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30"/>
      <c r="Q14" s="1340">
        <f t="shared" si="6"/>
        <v>111</v>
      </c>
      <c r="R14" s="700" t="s">
        <v>18</v>
      </c>
      <c r="S14" s="701">
        <f t="shared" si="0"/>
        <v>100</v>
      </c>
      <c r="T14" s="700" t="s">
        <v>18</v>
      </c>
      <c r="U14" s="701">
        <f t="shared" si="1"/>
        <v>100</v>
      </c>
      <c r="V14" s="700" t="s">
        <v>18</v>
      </c>
      <c r="W14" s="701">
        <f t="shared" si="2"/>
        <v>100</v>
      </c>
      <c r="X14" s="702"/>
      <c r="Y14" s="3688"/>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757" t="s">
        <v>1688</v>
      </c>
      <c r="Q15" s="1349" t="str">
        <f t="shared" si="6"/>
        <v>居住社区成熟度</v>
      </c>
      <c r="R15" s="704" t="s">
        <v>18</v>
      </c>
      <c r="S15" s="705">
        <f t="shared" si="0"/>
        <v>100</v>
      </c>
      <c r="T15" s="704" t="s">
        <v>18</v>
      </c>
      <c r="U15" s="705">
        <f t="shared" si="1"/>
        <v>100</v>
      </c>
      <c r="V15" s="704" t="s">
        <v>18</v>
      </c>
      <c r="W15" s="705">
        <f t="shared" si="2"/>
        <v>100</v>
      </c>
      <c r="X15" s="1352"/>
      <c r="Y15" s="3750" t="s">
        <v>1688</v>
      </c>
      <c r="Z15" s="1353" t="str">
        <f t="shared" si="7"/>
        <v>居住社区成熟度</v>
      </c>
      <c r="AA15" s="1350">
        <f t="shared" si="3"/>
        <v>1</v>
      </c>
      <c r="AB15" s="1350">
        <f t="shared" si="4"/>
        <v>1</v>
      </c>
      <c r="AC15" s="1350">
        <f t="shared" si="5"/>
        <v>1</v>
      </c>
    </row>
    <row r="16" spans="1:29" ht="15">
      <c r="A16" s="379"/>
      <c r="B16" s="397"/>
      <c r="C16" s="398" t="s">
        <v>3867</v>
      </c>
      <c r="D16" s="399"/>
      <c r="E16" s="398" t="s">
        <v>3867</v>
      </c>
      <c r="F16" s="399"/>
      <c r="G16" s="1894" t="s">
        <v>3867</v>
      </c>
      <c r="H16" s="401"/>
      <c r="I16" s="1894" t="s">
        <v>3867</v>
      </c>
      <c r="J16" s="399"/>
      <c r="K16" s="1895"/>
      <c r="L16" s="2717"/>
      <c r="M16" s="2711"/>
      <c r="N16" s="2711"/>
      <c r="O16" s="2711"/>
      <c r="P16" s="3758"/>
      <c r="Q16" s="1349"/>
      <c r="R16" s="704"/>
      <c r="S16" s="705"/>
      <c r="T16" s="704"/>
      <c r="U16" s="705"/>
      <c r="V16" s="704"/>
      <c r="W16" s="705"/>
      <c r="X16" s="1352"/>
      <c r="Y16" s="3751"/>
      <c r="Z16" s="1353"/>
      <c r="AA16" s="1350">
        <v>1</v>
      </c>
      <c r="AB16" s="1350">
        <v>1</v>
      </c>
      <c r="AC16" s="1350">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58"/>
      <c r="Q17" s="1349" t="str">
        <f>B17</f>
        <v>交通便捷度</v>
      </c>
      <c r="R17" s="704" t="s">
        <v>18</v>
      </c>
      <c r="S17" s="705">
        <f>F17</f>
        <v>100</v>
      </c>
      <c r="T17" s="704" t="s">
        <v>18</v>
      </c>
      <c r="U17" s="705">
        <f>H17</f>
        <v>100</v>
      </c>
      <c r="V17" s="704" t="s">
        <v>18</v>
      </c>
      <c r="W17" s="705">
        <f>J17</f>
        <v>100</v>
      </c>
      <c r="X17" s="1352"/>
      <c r="Y17" s="3751"/>
      <c r="Z17" s="1353" t="str">
        <f>Q17</f>
        <v>交通便捷度</v>
      </c>
      <c r="AA17" s="1350">
        <f t="shared" si="3"/>
        <v>1</v>
      </c>
      <c r="AB17" s="1350">
        <f t="shared" si="4"/>
        <v>1</v>
      </c>
      <c r="AC17" s="1350">
        <f t="shared" si="5"/>
        <v>1</v>
      </c>
    </row>
    <row r="18" spans="1:29" ht="15">
      <c r="A18" s="379"/>
      <c r="B18" s="407"/>
      <c r="C18" s="1897" t="s">
        <v>3866</v>
      </c>
      <c r="D18" s="401"/>
      <c r="E18" s="1897" t="s">
        <v>3866</v>
      </c>
      <c r="F18" s="401"/>
      <c r="G18" s="1899" t="s">
        <v>3866</v>
      </c>
      <c r="H18" s="399"/>
      <c r="I18" s="1899" t="s">
        <v>3866</v>
      </c>
      <c r="J18" s="399"/>
      <c r="K18" s="1895"/>
      <c r="L18" s="2717"/>
      <c r="M18" s="2711"/>
      <c r="N18" s="2711"/>
      <c r="O18" s="2711"/>
      <c r="P18" s="3758"/>
      <c r="Q18" s="1349"/>
      <c r="R18" s="704"/>
      <c r="S18" s="705"/>
      <c r="T18" s="704"/>
      <c r="U18" s="705"/>
      <c r="V18" s="704"/>
      <c r="W18" s="705"/>
      <c r="X18" s="1352"/>
      <c r="Y18" s="3751"/>
      <c r="Z18" s="1353"/>
      <c r="AA18" s="1350">
        <v>1</v>
      </c>
      <c r="AB18" s="1350">
        <v>1</v>
      </c>
      <c r="AC18" s="1350">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58"/>
      <c r="Q19" s="1349" t="str">
        <f>B19</f>
        <v>公共配套设施</v>
      </c>
      <c r="R19" s="704" t="s">
        <v>18</v>
      </c>
      <c r="S19" s="705">
        <f>F19</f>
        <v>100</v>
      </c>
      <c r="T19" s="704" t="s">
        <v>18</v>
      </c>
      <c r="U19" s="705">
        <f>H19</f>
        <v>100</v>
      </c>
      <c r="V19" s="704" t="s">
        <v>18</v>
      </c>
      <c r="W19" s="705">
        <f>J19</f>
        <v>100</v>
      </c>
      <c r="X19" s="1352"/>
      <c r="Y19" s="3751"/>
      <c r="Z19" s="1353" t="str">
        <f>Q19</f>
        <v>公共配套设施</v>
      </c>
      <c r="AA19" s="1350">
        <f t="shared" si="3"/>
        <v>1</v>
      </c>
      <c r="AB19" s="1350">
        <f t="shared" si="4"/>
        <v>1</v>
      </c>
      <c r="AC19" s="1350">
        <f t="shared" si="5"/>
        <v>1</v>
      </c>
    </row>
    <row r="20" spans="1:29" ht="15">
      <c r="A20" s="379"/>
      <c r="B20" s="407"/>
      <c r="C20" s="398" t="s">
        <v>3866</v>
      </c>
      <c r="D20" s="399"/>
      <c r="E20" s="398" t="s">
        <v>3866</v>
      </c>
      <c r="F20" s="399"/>
      <c r="G20" s="1894" t="s">
        <v>3866</v>
      </c>
      <c r="H20" s="399"/>
      <c r="I20" s="1894" t="s">
        <v>3866</v>
      </c>
      <c r="J20" s="399"/>
      <c r="K20" s="1895"/>
      <c r="L20" s="2717"/>
      <c r="M20" s="2711"/>
      <c r="N20" s="2711"/>
      <c r="O20" s="2711"/>
      <c r="P20" s="3758"/>
      <c r="Q20" s="1349"/>
      <c r="R20" s="704"/>
      <c r="S20" s="705"/>
      <c r="T20" s="704"/>
      <c r="U20" s="705"/>
      <c r="V20" s="704"/>
      <c r="W20" s="705"/>
      <c r="X20" s="1352"/>
      <c r="Y20" s="3751"/>
      <c r="Z20" s="1353"/>
      <c r="AA20" s="1350">
        <v>1</v>
      </c>
      <c r="AB20" s="1350">
        <v>1</v>
      </c>
      <c r="AC20" s="1350">
        <v>1</v>
      </c>
    </row>
    <row r="21" spans="1:29" ht="28.5">
      <c r="A21" s="379"/>
      <c r="B21" s="1129"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58"/>
      <c r="Q21" s="1349" t="str">
        <f>B21</f>
        <v>基础设施水平</v>
      </c>
      <c r="R21" s="704" t="s">
        <v>14</v>
      </c>
      <c r="S21" s="705">
        <f>F21</f>
        <v>100</v>
      </c>
      <c r="T21" s="704" t="s">
        <v>14</v>
      </c>
      <c r="U21" s="705">
        <f>H21</f>
        <v>100</v>
      </c>
      <c r="V21" s="704" t="s">
        <v>14</v>
      </c>
      <c r="W21" s="705">
        <f>J21</f>
        <v>100</v>
      </c>
      <c r="X21" s="1352"/>
      <c r="Y21" s="3751"/>
      <c r="Z21" s="1353" t="str">
        <f>Q21</f>
        <v>基础设施水平</v>
      </c>
      <c r="AA21" s="1350">
        <f t="shared" ref="AA21" si="8">D21/F21</f>
        <v>1</v>
      </c>
      <c r="AB21" s="1350">
        <f t="shared" ref="AB21" si="9">D21/H21</f>
        <v>1</v>
      </c>
      <c r="AC21" s="1350">
        <f t="shared" ref="AC21" si="10">D21/J21</f>
        <v>1</v>
      </c>
    </row>
    <row r="22" spans="1:29" ht="15">
      <c r="A22" s="379"/>
      <c r="B22" s="1129"/>
      <c r="C22" s="1897" t="s">
        <v>3868</v>
      </c>
      <c r="D22" s="399"/>
      <c r="E22" s="1897" t="s">
        <v>3868</v>
      </c>
      <c r="F22" s="399"/>
      <c r="G22" s="1897" t="s">
        <v>3868</v>
      </c>
      <c r="H22" s="399"/>
      <c r="I22" s="1897" t="s">
        <v>3868</v>
      </c>
      <c r="J22" s="399"/>
      <c r="K22" s="1901"/>
      <c r="L22" s="2717"/>
      <c r="M22" s="2711"/>
      <c r="N22" s="2711"/>
      <c r="O22" s="2711"/>
      <c r="P22" s="3758"/>
      <c r="Q22" s="1349"/>
      <c r="R22" s="704"/>
      <c r="S22" s="705"/>
      <c r="T22" s="704"/>
      <c r="U22" s="705"/>
      <c r="V22" s="704"/>
      <c r="W22" s="705"/>
      <c r="X22" s="1352"/>
      <c r="Y22" s="3751"/>
      <c r="Z22" s="1353"/>
      <c r="AA22" s="1350">
        <v>1</v>
      </c>
      <c r="AB22" s="1350">
        <v>1</v>
      </c>
      <c r="AC22" s="1350">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58"/>
      <c r="Q23" s="1349" t="str">
        <f>B23</f>
        <v>自然及人文环境</v>
      </c>
      <c r="R23" s="704" t="s">
        <v>18</v>
      </c>
      <c r="S23" s="705">
        <f>F23</f>
        <v>100</v>
      </c>
      <c r="T23" s="704" t="s">
        <v>18</v>
      </c>
      <c r="U23" s="705">
        <f>H23</f>
        <v>100</v>
      </c>
      <c r="V23" s="704" t="s">
        <v>18</v>
      </c>
      <c r="W23" s="705">
        <f>J23</f>
        <v>100</v>
      </c>
      <c r="X23" s="1352"/>
      <c r="Y23" s="3751"/>
      <c r="Z23" s="1353" t="str">
        <f>Q23</f>
        <v>自然及人文环境</v>
      </c>
      <c r="AA23" s="1350">
        <f>D23/F23</f>
        <v>1</v>
      </c>
      <c r="AB23" s="1350">
        <f>D23/H23</f>
        <v>1</v>
      </c>
      <c r="AC23" s="1350">
        <f>D23/J23</f>
        <v>1</v>
      </c>
    </row>
    <row r="24" spans="1:29" ht="15">
      <c r="A24" s="379"/>
      <c r="B24" s="407"/>
      <c r="C24" s="398" t="s">
        <v>3866</v>
      </c>
      <c r="D24" s="399"/>
      <c r="E24" s="398" t="s">
        <v>3866</v>
      </c>
      <c r="F24" s="399"/>
      <c r="G24" s="1894" t="s">
        <v>3866</v>
      </c>
      <c r="H24" s="399"/>
      <c r="I24" s="1894" t="s">
        <v>3866</v>
      </c>
      <c r="J24" s="399"/>
      <c r="K24" s="1895"/>
      <c r="L24" s="2717"/>
      <c r="M24" s="2711"/>
      <c r="N24" s="2711"/>
      <c r="O24" s="2711"/>
      <c r="P24" s="3758"/>
      <c r="Q24" s="1349"/>
      <c r="R24" s="704"/>
      <c r="S24" s="705"/>
      <c r="T24" s="704"/>
      <c r="U24" s="705"/>
      <c r="V24" s="704"/>
      <c r="W24" s="705"/>
      <c r="X24" s="1352"/>
      <c r="Y24" s="3751"/>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58"/>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51"/>
      <c r="Z25" s="1353" t="str">
        <f>Q25</f>
        <v>楼层-1</v>
      </c>
      <c r="AA25" s="1350">
        <f t="shared" ref="AA25:AA46" si="15">D25/F25</f>
        <v>1</v>
      </c>
      <c r="AB25" s="1350">
        <f t="shared" ref="AB25:AB46" si="16">D25/H25</f>
        <v>1</v>
      </c>
      <c r="AC25" s="1350">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58"/>
      <c r="Q26" s="1349" t="str">
        <f t="shared" si="11"/>
        <v>朝向</v>
      </c>
      <c r="R26" s="704" t="s">
        <v>18</v>
      </c>
      <c r="S26" s="705">
        <f t="shared" si="12"/>
        <v>100</v>
      </c>
      <c r="T26" s="704" t="s">
        <v>18</v>
      </c>
      <c r="U26" s="705">
        <f t="shared" si="13"/>
        <v>100</v>
      </c>
      <c r="V26" s="704" t="s">
        <v>18</v>
      </c>
      <c r="W26" s="705">
        <f t="shared" si="14"/>
        <v>100</v>
      </c>
      <c r="X26" s="1352"/>
      <c r="Y26" s="3751"/>
      <c r="Z26" s="1353" t="str">
        <f>Q26</f>
        <v>朝向</v>
      </c>
      <c r="AA26" s="1350">
        <f t="shared" si="15"/>
        <v>1</v>
      </c>
      <c r="AB26" s="1350">
        <f t="shared" si="16"/>
        <v>1</v>
      </c>
      <c r="AC26" s="1350">
        <f t="shared" si="17"/>
        <v>1</v>
      </c>
    </row>
    <row r="27" spans="1:29" s="108" customFormat="1" ht="15">
      <c r="A27" s="382"/>
      <c r="B27" s="3508" t="s">
        <v>4065</v>
      </c>
      <c r="C27" s="3516" t="s">
        <v>4066</v>
      </c>
      <c r="D27" s="413">
        <v>100</v>
      </c>
      <c r="E27" s="3516" t="s">
        <v>4066</v>
      </c>
      <c r="F27" s="413">
        <f>SUMIF(90:90,E27,91:91)-SUMIF(90:90,C27,91:91)+100</f>
        <v>100</v>
      </c>
      <c r="G27" s="3516" t="s">
        <v>4066</v>
      </c>
      <c r="H27" s="413">
        <f>SUMIF(90:90,G27,91:91)-SUMIF(90:90,C27,91:91)+100</f>
        <v>100</v>
      </c>
      <c r="I27" s="3516" t="s">
        <v>4066</v>
      </c>
      <c r="J27" s="413">
        <f>SUMIF(90:90,I27,91:91)-SUMIF(90:90,C27,91:91)+100</f>
        <v>100</v>
      </c>
      <c r="K27" s="1890"/>
      <c r="L27" s="2712"/>
      <c r="M27" s="2713"/>
      <c r="N27" s="2713"/>
      <c r="O27" s="2713"/>
      <c r="P27" s="3758"/>
      <c r="Q27" s="1340" t="str">
        <f t="shared" si="11"/>
        <v>楼层</v>
      </c>
      <c r="R27" s="700" t="s">
        <v>18</v>
      </c>
      <c r="S27" s="701">
        <f t="shared" si="12"/>
        <v>100</v>
      </c>
      <c r="T27" s="700" t="s">
        <v>18</v>
      </c>
      <c r="U27" s="701">
        <f t="shared" si="13"/>
        <v>100</v>
      </c>
      <c r="V27" s="700" t="s">
        <v>18</v>
      </c>
      <c r="W27" s="701">
        <f t="shared" si="14"/>
        <v>100</v>
      </c>
      <c r="X27" s="702"/>
      <c r="Y27" s="3751"/>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58"/>
      <c r="Q28" s="1349">
        <f t="shared" si="11"/>
        <v>111</v>
      </c>
      <c r="R28" s="704" t="s">
        <v>18</v>
      </c>
      <c r="S28" s="705">
        <f t="shared" si="12"/>
        <v>100</v>
      </c>
      <c r="T28" s="704" t="s">
        <v>18</v>
      </c>
      <c r="U28" s="705">
        <f t="shared" si="13"/>
        <v>100</v>
      </c>
      <c r="V28" s="704" t="s">
        <v>18</v>
      </c>
      <c r="W28" s="705">
        <f t="shared" si="14"/>
        <v>100</v>
      </c>
      <c r="X28" s="1352"/>
      <c r="Y28" s="3751"/>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58"/>
      <c r="Q29" s="1349">
        <f t="shared" si="11"/>
        <v>111</v>
      </c>
      <c r="R29" s="704" t="s">
        <v>18</v>
      </c>
      <c r="S29" s="705">
        <f t="shared" si="12"/>
        <v>100</v>
      </c>
      <c r="T29" s="704" t="s">
        <v>18</v>
      </c>
      <c r="U29" s="705">
        <f t="shared" si="13"/>
        <v>100</v>
      </c>
      <c r="V29" s="704" t="s">
        <v>18</v>
      </c>
      <c r="W29" s="705">
        <f t="shared" si="14"/>
        <v>100</v>
      </c>
      <c r="X29" s="1352"/>
      <c r="Y29" s="3751"/>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58"/>
      <c r="Q30" s="1349">
        <f t="shared" si="11"/>
        <v>111</v>
      </c>
      <c r="R30" s="704" t="s">
        <v>18</v>
      </c>
      <c r="S30" s="705">
        <f t="shared" si="12"/>
        <v>100</v>
      </c>
      <c r="T30" s="704" t="s">
        <v>18</v>
      </c>
      <c r="U30" s="705">
        <f t="shared" si="13"/>
        <v>100</v>
      </c>
      <c r="V30" s="704" t="s">
        <v>18</v>
      </c>
      <c r="W30" s="705">
        <f t="shared" si="14"/>
        <v>100</v>
      </c>
      <c r="X30" s="1352"/>
      <c r="Y30" s="3751"/>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58"/>
      <c r="Q31" s="1349">
        <f t="shared" si="11"/>
        <v>111</v>
      </c>
      <c r="R31" s="704" t="s">
        <v>18</v>
      </c>
      <c r="S31" s="705">
        <f t="shared" si="12"/>
        <v>100</v>
      </c>
      <c r="T31" s="704" t="s">
        <v>18</v>
      </c>
      <c r="U31" s="705">
        <f t="shared" si="13"/>
        <v>100</v>
      </c>
      <c r="V31" s="704" t="s">
        <v>18</v>
      </c>
      <c r="W31" s="705">
        <f t="shared" si="14"/>
        <v>100</v>
      </c>
      <c r="X31" s="1352"/>
      <c r="Y31" s="3751"/>
      <c r="Z31" s="1353">
        <f t="shared" si="18"/>
        <v>111</v>
      </c>
      <c r="AA31" s="1350">
        <f t="shared" si="15"/>
        <v>1</v>
      </c>
      <c r="AB31" s="1350">
        <f t="shared" si="16"/>
        <v>1</v>
      </c>
      <c r="AC31" s="1350">
        <f t="shared" si="17"/>
        <v>1</v>
      </c>
    </row>
    <row r="32" spans="1:29" ht="15">
      <c r="A32" s="391" t="s">
        <v>1691</v>
      </c>
      <c r="B32" s="63" t="s">
        <v>1692</v>
      </c>
      <c r="C32" s="1906" t="s">
        <v>3869</v>
      </c>
      <c r="D32" s="418">
        <v>100</v>
      </c>
      <c r="E32" s="1906" t="s">
        <v>3869</v>
      </c>
      <c r="F32" s="412">
        <f>SUMIF(100:100,E32,101:101)-SUMIF(100:100,C32,101:101)+100</f>
        <v>100</v>
      </c>
      <c r="G32" s="1906" t="s">
        <v>3871</v>
      </c>
      <c r="H32" s="418">
        <f>SUMIF(100:100,G32,101:101)-SUMIF(100:100,C32,101:101)+100</f>
        <v>98</v>
      </c>
      <c r="I32" s="1907" t="s">
        <v>3871</v>
      </c>
      <c r="J32" s="386">
        <f>SUMIF(100:100,I32,101:101)-SUMIF(100:100,C32,101:101)+100</f>
        <v>98</v>
      </c>
      <c r="K32" s="377">
        <v>2</v>
      </c>
      <c r="L32" s="2717"/>
      <c r="M32" s="2711"/>
      <c r="N32" s="2711"/>
      <c r="O32" s="2711"/>
      <c r="P32" s="3752" t="s">
        <v>1693</v>
      </c>
      <c r="Q32" s="1349" t="str">
        <f t="shared" si="11"/>
        <v>建筑类型</v>
      </c>
      <c r="R32" s="704" t="s">
        <v>18</v>
      </c>
      <c r="S32" s="705">
        <f t="shared" si="12"/>
        <v>100</v>
      </c>
      <c r="T32" s="704" t="s">
        <v>18</v>
      </c>
      <c r="U32" s="705">
        <f t="shared" si="13"/>
        <v>98</v>
      </c>
      <c r="V32" s="704" t="s">
        <v>18</v>
      </c>
      <c r="W32" s="705">
        <f t="shared" si="14"/>
        <v>98</v>
      </c>
      <c r="X32" s="1352"/>
      <c r="Y32" s="3755" t="s">
        <v>1693</v>
      </c>
      <c r="Z32" s="1353" t="str">
        <f t="shared" si="18"/>
        <v>建筑类型</v>
      </c>
      <c r="AA32" s="1350">
        <f t="shared" si="15"/>
        <v>1</v>
      </c>
      <c r="AB32" s="1350">
        <f t="shared" si="16"/>
        <v>1.0204081632653061</v>
      </c>
      <c r="AC32" s="1350">
        <f t="shared" si="17"/>
        <v>1.0204081632653061</v>
      </c>
    </row>
    <row r="33" spans="1:29" s="422" customFormat="1" ht="15">
      <c r="A33" s="419"/>
      <c r="B33" s="375" t="s">
        <v>1694</v>
      </c>
      <c r="C33" s="420">
        <f>二期房号清单!D5</f>
        <v>86.99</v>
      </c>
      <c r="D33" s="127">
        <v>100</v>
      </c>
      <c r="E33" s="381">
        <f>住宅!S73</f>
        <v>88.6</v>
      </c>
      <c r="F33" s="376">
        <f>LOOKUP(E33,103:103,104:104)-LOOKUP(C33,103:103,104:104)+100</f>
        <v>100</v>
      </c>
      <c r="G33" s="380">
        <v>90.75</v>
      </c>
      <c r="H33" s="127">
        <f>LOOKUP(G33,103:103,104:104)-LOOKUP(C33,103:103,104:104)+100</f>
        <v>100</v>
      </c>
      <c r="I33" s="381">
        <v>113.43</v>
      </c>
      <c r="J33" s="127">
        <f>LOOKUP(I33,103:103,104:104)-LOOKUP(C33,103:103,104:104)+100</f>
        <v>99</v>
      </c>
      <c r="K33" s="1890"/>
      <c r="L33" s="2716"/>
      <c r="M33" s="2718"/>
      <c r="N33" s="2718"/>
      <c r="O33" s="2718"/>
      <c r="P33" s="3753"/>
      <c r="Q33" s="706" t="str">
        <f t="shared" si="11"/>
        <v>项目建筑规模</v>
      </c>
      <c r="R33" s="707" t="s">
        <v>18</v>
      </c>
      <c r="S33" s="708">
        <f t="shared" si="12"/>
        <v>100</v>
      </c>
      <c r="T33" s="707" t="s">
        <v>18</v>
      </c>
      <c r="U33" s="708">
        <f t="shared" si="13"/>
        <v>100</v>
      </c>
      <c r="V33" s="707" t="s">
        <v>18</v>
      </c>
      <c r="W33" s="708">
        <f t="shared" si="14"/>
        <v>99</v>
      </c>
      <c r="X33" s="709"/>
      <c r="Y33" s="3755"/>
      <c r="Z33" s="710" t="str">
        <f t="shared" si="18"/>
        <v>项目建筑规模</v>
      </c>
      <c r="AA33" s="1350">
        <f t="shared" si="15"/>
        <v>1</v>
      </c>
      <c r="AB33" s="1350">
        <f t="shared" si="16"/>
        <v>1</v>
      </c>
      <c r="AC33" s="1350">
        <f t="shared" si="17"/>
        <v>1.0101010101010102</v>
      </c>
    </row>
    <row r="34" spans="1:29" ht="15">
      <c r="A34" s="423"/>
      <c r="B34" s="375" t="s">
        <v>1695</v>
      </c>
      <c r="C34" s="1908" t="s">
        <v>3857</v>
      </c>
      <c r="D34" s="386">
        <v>100</v>
      </c>
      <c r="E34" s="1908" t="s">
        <v>3857</v>
      </c>
      <c r="F34" s="412">
        <f>SUMIF(105:105,E34,106:106)-SUMIF(105:105,C34,106:106)+100</f>
        <v>100</v>
      </c>
      <c r="G34" s="1908" t="s">
        <v>3857</v>
      </c>
      <c r="H34" s="386">
        <f>SUMIF(105:105,G34,106:106)-SUMIF(105:105,C34,106:106)+100</f>
        <v>100</v>
      </c>
      <c r="I34" s="1908" t="s">
        <v>3857</v>
      </c>
      <c r="J34" s="386">
        <f>SUMIF(105:105,I34,106:106)-SUMIF(105:105,C34,106:106)+100</f>
        <v>100</v>
      </c>
      <c r="K34" s="377">
        <v>2</v>
      </c>
      <c r="L34" s="2717"/>
      <c r="M34" s="2711"/>
      <c r="N34" s="2711"/>
      <c r="O34" s="2711"/>
      <c r="P34" s="3753"/>
      <c r="Q34" s="1349" t="str">
        <f t="shared" si="11"/>
        <v>建筑结构</v>
      </c>
      <c r="R34" s="704" t="s">
        <v>18</v>
      </c>
      <c r="S34" s="705">
        <f t="shared" si="12"/>
        <v>100</v>
      </c>
      <c r="T34" s="704" t="s">
        <v>18</v>
      </c>
      <c r="U34" s="705">
        <f t="shared" si="13"/>
        <v>100</v>
      </c>
      <c r="V34" s="704" t="s">
        <v>18</v>
      </c>
      <c r="W34" s="705">
        <f t="shared" si="14"/>
        <v>100</v>
      </c>
      <c r="X34" s="1352"/>
      <c r="Y34" s="3755"/>
      <c r="Z34" s="1353" t="str">
        <f t="shared" si="18"/>
        <v>建筑结构</v>
      </c>
      <c r="AA34" s="1350">
        <f t="shared" si="15"/>
        <v>1</v>
      </c>
      <c r="AB34" s="1350">
        <f t="shared" si="16"/>
        <v>1</v>
      </c>
      <c r="AC34" s="1350">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53"/>
      <c r="Q35" s="1349" t="str">
        <f t="shared" si="11"/>
        <v>建筑品质</v>
      </c>
      <c r="R35" s="704" t="s">
        <v>18</v>
      </c>
      <c r="S35" s="705">
        <f t="shared" si="12"/>
        <v>100</v>
      </c>
      <c r="T35" s="704" t="s">
        <v>18</v>
      </c>
      <c r="U35" s="705">
        <f t="shared" si="13"/>
        <v>100</v>
      </c>
      <c r="V35" s="704" t="s">
        <v>18</v>
      </c>
      <c r="W35" s="705">
        <f t="shared" si="14"/>
        <v>100</v>
      </c>
      <c r="X35" s="1352"/>
      <c r="Y35" s="3755"/>
      <c r="Z35" s="1353" t="str">
        <f t="shared" si="18"/>
        <v>建筑品质</v>
      </c>
      <c r="AA35" s="1350">
        <f t="shared" si="15"/>
        <v>1</v>
      </c>
      <c r="AB35" s="1350">
        <f t="shared" si="16"/>
        <v>1</v>
      </c>
      <c r="AC35" s="1350">
        <f t="shared" si="17"/>
        <v>1</v>
      </c>
    </row>
    <row r="36" spans="1:29" ht="15">
      <c r="A36" s="423"/>
      <c r="B36" s="375" t="s">
        <v>1697</v>
      </c>
      <c r="C36" s="1902" t="s">
        <v>3874</v>
      </c>
      <c r="D36" s="386">
        <v>100</v>
      </c>
      <c r="E36" s="1902" t="s">
        <v>3874</v>
      </c>
      <c r="F36" s="412">
        <f>SUMIF(109:109,E36,110:110)-SUMIF(109:109,C36,110:110)+100</f>
        <v>100</v>
      </c>
      <c r="G36" s="1902" t="s">
        <v>3874</v>
      </c>
      <c r="H36" s="386">
        <f>SUMIF(109:109,G36,110:110)-SUMIF(109:109,C36,110:110)+100</f>
        <v>100</v>
      </c>
      <c r="I36" s="1902" t="s">
        <v>3874</v>
      </c>
      <c r="J36" s="386">
        <f>SUMIF(109:109,I36,110:110)-SUMIF(109:109,C36,110:110)+100</f>
        <v>100</v>
      </c>
      <c r="K36" s="377">
        <v>2</v>
      </c>
      <c r="L36" s="2717"/>
      <c r="M36" s="2711"/>
      <c r="N36" s="2711"/>
      <c r="O36" s="2711"/>
      <c r="P36" s="3753"/>
      <c r="Q36" s="1349" t="str">
        <f t="shared" si="11"/>
        <v>公共部分装修</v>
      </c>
      <c r="R36" s="704" t="s">
        <v>18</v>
      </c>
      <c r="S36" s="705">
        <f t="shared" si="12"/>
        <v>100</v>
      </c>
      <c r="T36" s="704" t="s">
        <v>18</v>
      </c>
      <c r="U36" s="705">
        <f t="shared" si="13"/>
        <v>100</v>
      </c>
      <c r="V36" s="704" t="s">
        <v>18</v>
      </c>
      <c r="W36" s="705">
        <f t="shared" si="14"/>
        <v>100</v>
      </c>
      <c r="X36" s="1352"/>
      <c r="Y36" s="3755"/>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53"/>
      <c r="Q37" s="1340" t="str">
        <f t="shared" si="11"/>
        <v>成新度</v>
      </c>
      <c r="R37" s="700" t="s">
        <v>18</v>
      </c>
      <c r="S37" s="701">
        <f t="shared" si="12"/>
        <v>100</v>
      </c>
      <c r="T37" s="700" t="s">
        <v>18</v>
      </c>
      <c r="U37" s="701">
        <f t="shared" si="13"/>
        <v>100</v>
      </c>
      <c r="V37" s="700" t="s">
        <v>18</v>
      </c>
      <c r="W37" s="701">
        <f t="shared" si="14"/>
        <v>100</v>
      </c>
      <c r="X37" s="702"/>
      <c r="Y37" s="3755"/>
      <c r="Z37" s="52" t="str">
        <f t="shared" si="18"/>
        <v>成新度</v>
      </c>
      <c r="AA37" s="703">
        <f t="shared" si="15"/>
        <v>1</v>
      </c>
      <c r="AB37" s="703">
        <f t="shared" si="16"/>
        <v>1</v>
      </c>
      <c r="AC37" s="703">
        <f t="shared" si="17"/>
        <v>1</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53" t="s">
        <v>1693</v>
      </c>
      <c r="Q38" s="1349" t="str">
        <f t="shared" si="11"/>
        <v>物业管理</v>
      </c>
      <c r="R38" s="704" t="s">
        <v>18</v>
      </c>
      <c r="S38" s="705">
        <f t="shared" si="12"/>
        <v>100</v>
      </c>
      <c r="T38" s="704" t="s">
        <v>18</v>
      </c>
      <c r="U38" s="705">
        <f t="shared" si="13"/>
        <v>100</v>
      </c>
      <c r="V38" s="704" t="s">
        <v>18</v>
      </c>
      <c r="W38" s="705">
        <f t="shared" si="14"/>
        <v>100</v>
      </c>
      <c r="X38" s="1352"/>
      <c r="Y38" s="3755" t="s">
        <v>1693</v>
      </c>
      <c r="Z38" s="1353" t="str">
        <f t="shared" si="18"/>
        <v>物业管理</v>
      </c>
      <c r="AA38" s="1350">
        <f t="shared" si="15"/>
        <v>1</v>
      </c>
      <c r="AB38" s="1350">
        <f t="shared" si="16"/>
        <v>1</v>
      </c>
      <c r="AC38" s="1350">
        <f t="shared" si="17"/>
        <v>1</v>
      </c>
    </row>
    <row r="39" spans="1:29" ht="15">
      <c r="A39" s="423"/>
      <c r="B39" s="375" t="s">
        <v>1700</v>
      </c>
      <c r="C39" s="1902" t="s">
        <v>3868</v>
      </c>
      <c r="D39" s="386">
        <v>100</v>
      </c>
      <c r="E39" s="1902" t="s">
        <v>3868</v>
      </c>
      <c r="F39" s="412">
        <f>SUMIF(116:116,E39,117:117)-SUMIF(116:116,C39,117:117)+100</f>
        <v>100</v>
      </c>
      <c r="G39" s="1902" t="s">
        <v>3868</v>
      </c>
      <c r="H39" s="386">
        <f>SUMIF(116:116,G39,117:117)-SUMIF(116:116,C39,117:117)+100</f>
        <v>100</v>
      </c>
      <c r="I39" s="1902" t="s">
        <v>3868</v>
      </c>
      <c r="J39" s="386">
        <f>SUMIF(116:116,I39,117:117)-SUMIF(116:116,C39,117:117)+100</f>
        <v>100</v>
      </c>
      <c r="K39" s="377">
        <v>1</v>
      </c>
      <c r="L39" s="2717"/>
      <c r="M39" s="2711"/>
      <c r="N39" s="2711"/>
      <c r="O39" s="2711"/>
      <c r="P39" s="3753"/>
      <c r="Q39" s="1349" t="str">
        <f t="shared" si="11"/>
        <v>市政基础设施</v>
      </c>
      <c r="R39" s="704" t="s">
        <v>18</v>
      </c>
      <c r="S39" s="705">
        <f t="shared" si="12"/>
        <v>100</v>
      </c>
      <c r="T39" s="704" t="s">
        <v>18</v>
      </c>
      <c r="U39" s="705">
        <f t="shared" si="13"/>
        <v>100</v>
      </c>
      <c r="V39" s="704" t="s">
        <v>18</v>
      </c>
      <c r="W39" s="705">
        <f t="shared" si="14"/>
        <v>100</v>
      </c>
      <c r="X39" s="1352"/>
      <c r="Y39" s="3755"/>
      <c r="Z39" s="1353" t="str">
        <f t="shared" si="18"/>
        <v>市政基础设施</v>
      </c>
      <c r="AA39" s="1350">
        <f t="shared" si="15"/>
        <v>1</v>
      </c>
      <c r="AB39" s="1350">
        <f t="shared" si="16"/>
        <v>1</v>
      </c>
      <c r="AC39" s="1350">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53"/>
      <c r="Q40" s="1349" t="str">
        <f t="shared" si="11"/>
        <v>房型</v>
      </c>
      <c r="R40" s="704" t="s">
        <v>18</v>
      </c>
      <c r="S40" s="705">
        <f t="shared" si="12"/>
        <v>100</v>
      </c>
      <c r="T40" s="704" t="s">
        <v>18</v>
      </c>
      <c r="U40" s="705">
        <f t="shared" si="13"/>
        <v>100</v>
      </c>
      <c r="V40" s="704" t="s">
        <v>18</v>
      </c>
      <c r="W40" s="705">
        <f t="shared" si="14"/>
        <v>100</v>
      </c>
      <c r="X40" s="1352"/>
      <c r="Y40" s="3755"/>
      <c r="Z40" s="1353" t="str">
        <f t="shared" si="18"/>
        <v>房型</v>
      </c>
      <c r="AA40" s="1350">
        <f t="shared" si="15"/>
        <v>1</v>
      </c>
      <c r="AB40" s="1350">
        <f t="shared" si="16"/>
        <v>1</v>
      </c>
      <c r="AC40" s="1350">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53"/>
      <c r="Q41" s="706" t="str">
        <f t="shared" si="11"/>
        <v>单套/主力户型建筑面积</v>
      </c>
      <c r="R41" s="707" t="s">
        <v>18</v>
      </c>
      <c r="S41" s="708">
        <f t="shared" si="12"/>
        <v>100</v>
      </c>
      <c r="T41" s="707" t="s">
        <v>18</v>
      </c>
      <c r="U41" s="708">
        <f t="shared" si="13"/>
        <v>100</v>
      </c>
      <c r="V41" s="707" t="s">
        <v>18</v>
      </c>
      <c r="W41" s="708">
        <f t="shared" si="14"/>
        <v>100</v>
      </c>
      <c r="X41" s="709"/>
      <c r="Y41" s="3755"/>
      <c r="Z41" s="710" t="str">
        <f t="shared" si="18"/>
        <v>单套/主力户型建筑面积</v>
      </c>
      <c r="AA41" s="1350">
        <f t="shared" si="15"/>
        <v>1</v>
      </c>
      <c r="AB41" s="1350">
        <f t="shared" si="16"/>
        <v>1</v>
      </c>
      <c r="AC41" s="1350">
        <f t="shared" si="17"/>
        <v>1</v>
      </c>
    </row>
    <row r="42" spans="1:29" ht="15">
      <c r="A42" s="423"/>
      <c r="B42" s="375" t="s">
        <v>1703</v>
      </c>
      <c r="C42" s="1902" t="s">
        <v>3877</v>
      </c>
      <c r="D42" s="386">
        <v>100</v>
      </c>
      <c r="E42" s="1903" t="s">
        <v>3881</v>
      </c>
      <c r="F42" s="412">
        <f>SUMIF(122:122,E42,123:123)-SUMIF(122:122,C42,123:123)+100</f>
        <v>97</v>
      </c>
      <c r="G42" s="1902" t="s">
        <v>3877</v>
      </c>
      <c r="H42" s="386">
        <f>SUMIF(122:122,G42,123:123)-SUMIF(122:122,C42,123:123)+100</f>
        <v>100</v>
      </c>
      <c r="I42" s="1903" t="s">
        <v>3881</v>
      </c>
      <c r="J42" s="386">
        <f>SUMIF(122:122,I42,123:123)-SUMIF(122:122,C42,123:123)+100</f>
        <v>97</v>
      </c>
      <c r="K42" s="377">
        <v>1</v>
      </c>
      <c r="L42" s="2717"/>
      <c r="M42" s="2711"/>
      <c r="N42" s="2711"/>
      <c r="O42" s="2711"/>
      <c r="P42" s="3753"/>
      <c r="Q42" s="1349" t="str">
        <f t="shared" si="11"/>
        <v>内部装修</v>
      </c>
      <c r="R42" s="704" t="s">
        <v>18</v>
      </c>
      <c r="S42" s="705">
        <f t="shared" si="12"/>
        <v>97</v>
      </c>
      <c r="T42" s="704" t="s">
        <v>18</v>
      </c>
      <c r="U42" s="705">
        <f t="shared" si="13"/>
        <v>100</v>
      </c>
      <c r="V42" s="704" t="s">
        <v>18</v>
      </c>
      <c r="W42" s="705">
        <f t="shared" si="14"/>
        <v>97</v>
      </c>
      <c r="X42" s="1352"/>
      <c r="Y42" s="3755"/>
      <c r="Z42" s="1353" t="str">
        <f t="shared" si="18"/>
        <v>内部装修</v>
      </c>
      <c r="AA42" s="1350">
        <f t="shared" si="15"/>
        <v>1.0309278350515463</v>
      </c>
      <c r="AB42" s="1350">
        <f t="shared" si="16"/>
        <v>1</v>
      </c>
      <c r="AC42" s="1350">
        <f t="shared" si="17"/>
        <v>1.0309278350515463</v>
      </c>
    </row>
    <row r="43" spans="1:29" ht="15">
      <c r="A43" s="423"/>
      <c r="B43" s="375" t="s">
        <v>1704</v>
      </c>
      <c r="C43" s="1902" t="s">
        <v>3883</v>
      </c>
      <c r="D43" s="386">
        <v>100</v>
      </c>
      <c r="E43" s="1902" t="s">
        <v>3883</v>
      </c>
      <c r="F43" s="412">
        <f>SUMIF(124:124,E43,125:125)-SUMIF(124:124,C43,125:125)+100</f>
        <v>100</v>
      </c>
      <c r="G43" s="1902" t="s">
        <v>3883</v>
      </c>
      <c r="H43" s="386">
        <f>SUMIF(124:124,G43,125:125)-SUMIF(124:124,C43,125:125)+100</f>
        <v>100</v>
      </c>
      <c r="I43" s="1902" t="s">
        <v>3883</v>
      </c>
      <c r="J43" s="386">
        <f>SUMIF(124:124,I43,125:125)-SUMIF(124:124,C43,125:125)+100</f>
        <v>100</v>
      </c>
      <c r="K43" s="377">
        <v>2</v>
      </c>
      <c r="L43" s="2717"/>
      <c r="M43" s="2711"/>
      <c r="N43" s="2711"/>
      <c r="O43" s="2711"/>
      <c r="P43" s="3753"/>
      <c r="Q43" s="1349" t="str">
        <f t="shared" si="11"/>
        <v>内部装修维护情况</v>
      </c>
      <c r="R43" s="704" t="s">
        <v>18</v>
      </c>
      <c r="S43" s="705">
        <f t="shared" si="12"/>
        <v>100</v>
      </c>
      <c r="T43" s="704" t="s">
        <v>18</v>
      </c>
      <c r="U43" s="705">
        <f t="shared" si="13"/>
        <v>100</v>
      </c>
      <c r="V43" s="704" t="s">
        <v>18</v>
      </c>
      <c r="W43" s="705">
        <f t="shared" si="14"/>
        <v>100</v>
      </c>
      <c r="X43" s="1352"/>
      <c r="Y43" s="3755"/>
      <c r="Z43" s="1353" t="str">
        <f t="shared" si="18"/>
        <v>内部装修维护情况</v>
      </c>
      <c r="AA43" s="1350">
        <f t="shared" si="15"/>
        <v>1</v>
      </c>
      <c r="AB43" s="1350">
        <f t="shared" si="16"/>
        <v>1</v>
      </c>
      <c r="AC43" s="1350">
        <f t="shared" si="17"/>
        <v>1</v>
      </c>
    </row>
    <row r="44" spans="1:29" s="108" customFormat="1" ht="15">
      <c r="A44" s="424"/>
      <c r="B44" s="3508" t="s">
        <v>3884</v>
      </c>
      <c r="C44" s="3509" t="s">
        <v>3885</v>
      </c>
      <c r="D44" s="127">
        <v>100</v>
      </c>
      <c r="E44" s="3509" t="s">
        <v>3886</v>
      </c>
      <c r="F44" s="376">
        <f>SUMIF(126:126,E44,127:127)-SUMIF(126:126,C44,127:127)+100</f>
        <v>98</v>
      </c>
      <c r="G44" s="3509" t="s">
        <v>3886</v>
      </c>
      <c r="H44" s="127">
        <f>SUMIF(126:126,G44,127:127)-SUMIF(126:126,C44,127:127)+100</f>
        <v>98</v>
      </c>
      <c r="I44" s="3509" t="s">
        <v>3885</v>
      </c>
      <c r="J44" s="127">
        <f>SUMIF(126:126,I44,127:127)-SUMIF(126:126,C44,127:127)+100</f>
        <v>100</v>
      </c>
      <c r="K44" s="1890"/>
      <c r="L44" s="2712"/>
      <c r="M44" s="2713"/>
      <c r="N44" s="2713"/>
      <c r="O44" s="2713"/>
      <c r="P44" s="3753"/>
      <c r="Q44" s="1340" t="str">
        <f t="shared" si="11"/>
        <v>尾盘</v>
      </c>
      <c r="R44" s="700" t="s">
        <v>18</v>
      </c>
      <c r="S44" s="701">
        <f t="shared" si="12"/>
        <v>98</v>
      </c>
      <c r="T44" s="700" t="s">
        <v>18</v>
      </c>
      <c r="U44" s="701">
        <f t="shared" si="13"/>
        <v>98</v>
      </c>
      <c r="V44" s="700" t="s">
        <v>18</v>
      </c>
      <c r="W44" s="701">
        <f t="shared" si="14"/>
        <v>100</v>
      </c>
      <c r="X44" s="702"/>
      <c r="Y44" s="3755"/>
      <c r="Z44" s="52" t="str">
        <f t="shared" si="18"/>
        <v>尾盘</v>
      </c>
      <c r="AA44" s="703">
        <f t="shared" si="15"/>
        <v>1.0204081632653061</v>
      </c>
      <c r="AB44" s="703">
        <f t="shared" si="16"/>
        <v>1.0204081632653061</v>
      </c>
      <c r="AC44" s="703">
        <f t="shared" si="17"/>
        <v>1</v>
      </c>
    </row>
    <row r="45" spans="1:29" ht="15">
      <c r="A45" s="423"/>
      <c r="B45" s="3508" t="s">
        <v>3887</v>
      </c>
      <c r="C45" s="3510" t="s">
        <v>3886</v>
      </c>
      <c r="D45" s="386">
        <v>100</v>
      </c>
      <c r="E45" s="3510" t="s">
        <v>3886</v>
      </c>
      <c r="F45" s="412">
        <f>SUMIF(128:128,E45,129:129)-SUMIF(128:128,C45,129:129)+100</f>
        <v>100</v>
      </c>
      <c r="G45" s="3510" t="s">
        <v>3886</v>
      </c>
      <c r="H45" s="386">
        <f>SUMIF(128:128,G45,129:129)-SUMIF(128:128,C45,129:129)+100</f>
        <v>100</v>
      </c>
      <c r="I45" s="3510" t="s">
        <v>3886</v>
      </c>
      <c r="J45" s="386">
        <f>SUMIF(128:128,I45,129:129)-SUMIF(128:128,C45,129:129)+100</f>
        <v>100</v>
      </c>
      <c r="K45" s="1890"/>
      <c r="L45" s="2717"/>
      <c r="M45" s="2711"/>
      <c r="N45" s="2711"/>
      <c r="O45" s="2711"/>
      <c r="P45" s="3753"/>
      <c r="Q45" s="1349" t="str">
        <f t="shared" si="11"/>
        <v>现房</v>
      </c>
      <c r="R45" s="704" t="s">
        <v>18</v>
      </c>
      <c r="S45" s="705">
        <f t="shared" si="12"/>
        <v>100</v>
      </c>
      <c r="T45" s="704" t="s">
        <v>18</v>
      </c>
      <c r="U45" s="705">
        <f t="shared" si="13"/>
        <v>100</v>
      </c>
      <c r="V45" s="704" t="s">
        <v>18</v>
      </c>
      <c r="W45" s="705">
        <f t="shared" si="14"/>
        <v>100</v>
      </c>
      <c r="X45" s="1352"/>
      <c r="Y45" s="3755"/>
      <c r="Z45" s="1353" t="str">
        <f t="shared" si="18"/>
        <v>现房</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54"/>
      <c r="Q46" s="1349">
        <f t="shared" si="11"/>
        <v>111</v>
      </c>
      <c r="R46" s="704" t="s">
        <v>17</v>
      </c>
      <c r="S46" s="705">
        <f t="shared" si="12"/>
        <v>100</v>
      </c>
      <c r="T46" s="704" t="s">
        <v>17</v>
      </c>
      <c r="U46" s="705">
        <f t="shared" si="13"/>
        <v>100</v>
      </c>
      <c r="V46" s="704" t="s">
        <v>17</v>
      </c>
      <c r="W46" s="705">
        <f t="shared" si="14"/>
        <v>100</v>
      </c>
      <c r="X46" s="1352"/>
      <c r="Y46" s="3756"/>
      <c r="Z46" s="1353">
        <f t="shared" si="18"/>
        <v>111</v>
      </c>
      <c r="AA46" s="1350">
        <f t="shared" si="15"/>
        <v>1</v>
      </c>
      <c r="AB46" s="1350">
        <f t="shared" si="16"/>
        <v>1</v>
      </c>
      <c r="AC46" s="1350">
        <f t="shared" si="17"/>
        <v>1</v>
      </c>
    </row>
    <row r="47" spans="1:29" ht="15">
      <c r="A47" s="430" t="s">
        <v>1705</v>
      </c>
      <c r="B47" s="431"/>
      <c r="C47" s="1152" t="s">
        <v>16</v>
      </c>
      <c r="D47" s="1153"/>
      <c r="E47" s="1154">
        <v>38379</v>
      </c>
      <c r="F47" s="1155"/>
      <c r="G47" s="1156">
        <v>35578</v>
      </c>
      <c r="H47" s="1157"/>
      <c r="I47" s="1154">
        <v>30022</v>
      </c>
      <c r="J47" s="1157"/>
      <c r="K47" s="1909"/>
      <c r="L47" s="2719"/>
      <c r="M47" s="2720"/>
      <c r="N47" s="2711"/>
      <c r="O47" s="2720"/>
      <c r="P47" s="3748" t="str">
        <f>A47</f>
        <v>成交单价（元/平方米）</v>
      </c>
      <c r="Q47" s="3748"/>
      <c r="R47" s="3749">
        <f>E47</f>
        <v>38379</v>
      </c>
      <c r="S47" s="3749"/>
      <c r="T47" s="3749">
        <f>G47</f>
        <v>35578</v>
      </c>
      <c r="U47" s="3749"/>
      <c r="V47" s="3749">
        <f>I47</f>
        <v>30022</v>
      </c>
      <c r="W47" s="3749"/>
      <c r="X47" s="689"/>
      <c r="Y47" s="711"/>
      <c r="Z47" s="689"/>
      <c r="AA47" s="689"/>
      <c r="AB47" s="689"/>
      <c r="AC47" s="689"/>
    </row>
    <row r="48" spans="1:29" ht="15.75" thickBot="1">
      <c r="A48" s="437" t="s">
        <v>1706</v>
      </c>
      <c r="B48" s="438"/>
      <c r="C48" s="1158">
        <f>R49</f>
        <v>36657</v>
      </c>
      <c r="D48" s="2312" t="s">
        <v>2134</v>
      </c>
      <c r="E48" s="1159">
        <f>R48</f>
        <v>40373</v>
      </c>
      <c r="F48" s="2313"/>
      <c r="G48" s="1158">
        <f>T48</f>
        <v>37045</v>
      </c>
      <c r="H48" s="2313"/>
      <c r="I48" s="1159">
        <f>V48</f>
        <v>32552</v>
      </c>
      <c r="J48" s="2313"/>
      <c r="K48" s="2314">
        <f>F48+H48+J48</f>
        <v>0</v>
      </c>
      <c r="L48" s="2719"/>
      <c r="M48" s="2720"/>
      <c r="N48" s="2720"/>
      <c r="O48" s="2720"/>
      <c r="P48" s="3748" t="str">
        <f>A48</f>
        <v>比较价值（元/平方米）</v>
      </c>
      <c r="Q48" s="3748"/>
      <c r="R48" s="3749">
        <f>IF(F1="售价",ROUND(PRODUCT(R47,AA7:AA46),0),ROUND(PRODUCT(R47,AA7:AA46),1))</f>
        <v>40373</v>
      </c>
      <c r="S48" s="3749"/>
      <c r="T48" s="3749">
        <f>IF(F1="售价",ROUND(PRODUCT(T47,AB7:AB46),0),ROUND(PRODUCT(T47,AB7:AB46),1))</f>
        <v>37045</v>
      </c>
      <c r="U48" s="3749"/>
      <c r="V48" s="3749">
        <f>IF(F1="售价",ROUND(PRODUCT(V47,AC7:AC46),0),ROUND(PRODUCT(V47,AC7:AC46),1))</f>
        <v>32552</v>
      </c>
      <c r="W48" s="3749"/>
      <c r="X48" s="689"/>
      <c r="Y48" s="689"/>
      <c r="Z48" s="689"/>
      <c r="AA48" s="689"/>
      <c r="AB48" s="689"/>
      <c r="AC48" s="689"/>
    </row>
    <row r="49" spans="1:29" ht="15.75" thickBot="1">
      <c r="A49" s="441" t="s">
        <v>1707</v>
      </c>
      <c r="B49" s="442"/>
      <c r="C49" s="1160">
        <f>R49</f>
        <v>36657</v>
      </c>
      <c r="D49" s="1161"/>
      <c r="E49" s="1161"/>
      <c r="F49" s="1161"/>
      <c r="G49" s="1161"/>
      <c r="H49" s="1161"/>
      <c r="I49" s="1161"/>
      <c r="J49" s="1161"/>
      <c r="K49" s="1910"/>
      <c r="L49" s="2719"/>
      <c r="M49" s="2720"/>
      <c r="N49" s="2720"/>
      <c r="O49" s="2720"/>
      <c r="P49" s="3745" t="str">
        <f>A49</f>
        <v>估价对象XX用房的比较价值（楼面单价，元/平方米）</v>
      </c>
      <c r="Q49" s="3746"/>
      <c r="R49" s="3747">
        <f>IF(F1="售价",ROUND(IF(D48="简单平均",AVERAGE(R48:V48),R48*F48+T48*H48+V48*J48),0),ROUND(IF(D48="简单平均",AVERAGE(R48:V48),R48*F48+T48*H48+V48*J48),1))</f>
        <v>36657</v>
      </c>
      <c r="S49" s="3747"/>
      <c r="T49" s="3747"/>
      <c r="U49" s="3747"/>
      <c r="V49" s="3747"/>
      <c r="W49" s="3747"/>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1708</v>
      </c>
      <c r="D52" s="447"/>
      <c r="E52" s="448">
        <f>IF(E47&lt;E48,E48/E47-1,E47/E48-1)</f>
        <v>5.195549649547937E-2</v>
      </c>
      <c r="F52" s="449" t="str">
        <f>IF(OR(E52&gt;=0.3,E52&lt;=-0.3),"超过30%","")</f>
        <v/>
      </c>
      <c r="G52" s="448">
        <f>IF(G47&lt;G48,G48/G47-1,G47/G48-1)</f>
        <v>4.1233346450053387E-2</v>
      </c>
      <c r="H52" s="449" t="str">
        <f>IF(OR(G52&gt;=0.3,G52&lt;=-0.3),"超过30%","")</f>
        <v/>
      </c>
      <c r="I52" s="448">
        <f>IF(I47&lt;I48,I48/I47-1,I47/I48-1)</f>
        <v>8.4271534208247179E-2</v>
      </c>
      <c r="J52" s="449" t="str">
        <f>IF(OR(I52&gt;=0.3,I52&lt;=-0.3),"超过30%","")</f>
        <v/>
      </c>
      <c r="K52" s="2725"/>
      <c r="L52" s="2721"/>
      <c r="M52" s="2720"/>
      <c r="N52" s="2720"/>
      <c r="O52" s="2720"/>
    </row>
    <row r="53" spans="1:29" ht="13.5" customHeight="1">
      <c r="A53" s="2720"/>
      <c r="B53" s="2720"/>
      <c r="C53" s="446" t="s">
        <v>1709</v>
      </c>
      <c r="D53" s="450"/>
      <c r="E53" s="448">
        <f>IF(E48&lt;G48,G48/E48-1,E48/G48-1)</f>
        <v>8.983668511270082E-2</v>
      </c>
      <c r="F53" s="449" t="str">
        <f>IF(OR(E53&gt;=0.2,E53&lt;=-0.2),"超过20%","")</f>
        <v/>
      </c>
      <c r="G53" s="448">
        <f>IF(G48&lt;I48,I48/G48-1,G48/I48-1)</f>
        <v>0.13802531334480217</v>
      </c>
      <c r="H53" s="449" t="str">
        <f>IF(OR(G53&gt;=0.2,G53&lt;=-0.2),"超过20%","")</f>
        <v/>
      </c>
      <c r="I53" s="448">
        <f>IF(I48&lt;E48,E48/I48-1,I48/E48-1)</f>
        <v>0.24026173507004178</v>
      </c>
      <c r="J53" s="449" t="str">
        <f>IF(OR(I53&gt;=0.2,I53&lt;=-0.2),"超过20%","")</f>
        <v>超过20%</v>
      </c>
      <c r="K53" s="2725"/>
      <c r="L53" s="2721"/>
      <c r="M53" s="2720"/>
      <c r="N53" s="2720"/>
      <c r="O53" s="2720"/>
    </row>
    <row r="54" spans="1:29" s="451" customFormat="1" ht="13.5" customHeight="1">
      <c r="A54" s="2723"/>
      <c r="B54" s="2723"/>
      <c r="C54" s="446" t="s">
        <v>1710</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1711</v>
      </c>
      <c r="B57" s="689"/>
      <c r="C57" s="694"/>
      <c r="D57" s="694"/>
      <c r="E57" s="694"/>
      <c r="F57" s="695"/>
      <c r="G57" s="695"/>
      <c r="H57" s="694"/>
      <c r="I57" s="694"/>
      <c r="J57" s="694"/>
      <c r="K57" s="940"/>
      <c r="L57" s="941"/>
      <c r="M57" s="939"/>
      <c r="N57" s="939"/>
      <c r="O57" s="939"/>
      <c r="P57" s="1913"/>
      <c r="Q57" s="453"/>
    </row>
    <row r="58" spans="1:29" s="457" customFormat="1" ht="15">
      <c r="A58" s="454" t="s">
        <v>1712</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1713</v>
      </c>
      <c r="B60" s="465"/>
      <c r="C60" s="466"/>
      <c r="D60" s="467"/>
      <c r="E60" s="467"/>
      <c r="F60" s="467"/>
      <c r="G60" s="467"/>
      <c r="H60" s="467"/>
      <c r="I60" s="467"/>
      <c r="J60" s="467"/>
      <c r="K60" s="467"/>
      <c r="L60" s="467"/>
      <c r="M60" s="468"/>
      <c r="N60" s="467"/>
      <c r="O60" s="468"/>
      <c r="P60" s="1915"/>
      <c r="Q60" s="453"/>
    </row>
    <row r="61" spans="1:29" s="108" customFormat="1" ht="15">
      <c r="A61" s="470" t="s">
        <v>1714</v>
      </c>
      <c r="B61" s="459"/>
      <c r="C61" s="471" t="s">
        <v>1715</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1716</v>
      </c>
      <c r="B63" s="477" t="s">
        <v>1682</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1685</v>
      </c>
      <c r="C65" s="532" t="s">
        <v>3864</v>
      </c>
      <c r="D65" s="532" t="s">
        <v>3889</v>
      </c>
      <c r="E65" s="532"/>
      <c r="F65" s="532"/>
      <c r="G65" s="532"/>
      <c r="H65" s="532"/>
      <c r="I65" s="532"/>
      <c r="J65" s="532"/>
      <c r="K65" s="532"/>
      <c r="L65" s="532"/>
      <c r="M65" s="532"/>
      <c r="N65" s="933"/>
      <c r="O65" s="933"/>
      <c r="P65" s="1917"/>
      <c r="Q65" s="453"/>
    </row>
    <row r="66" spans="1:17" ht="15.75" thickBot="1">
      <c r="A66" s="483"/>
      <c r="B66" s="492"/>
      <c r="C66" s="485">
        <v>100</v>
      </c>
      <c r="D66" s="485">
        <v>98</v>
      </c>
      <c r="E66" s="485"/>
      <c r="F66" s="485"/>
      <c r="G66" s="485"/>
      <c r="H66" s="485"/>
      <c r="I66" s="485"/>
      <c r="J66" s="485"/>
      <c r="K66" s="485"/>
      <c r="L66" s="485"/>
      <c r="M66" s="486"/>
      <c r="N66" s="933"/>
      <c r="O66" s="933"/>
      <c r="P66" s="1917"/>
      <c r="Q66" s="453"/>
    </row>
    <row r="67" spans="1:17" ht="15.75" thickTop="1">
      <c r="A67" s="483"/>
      <c r="B67" s="495" t="s">
        <v>1686</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1257</v>
      </c>
      <c r="C82" s="488" t="s">
        <v>1725</v>
      </c>
      <c r="D82" s="488" t="s">
        <v>1726</v>
      </c>
      <c r="E82" s="488" t="s">
        <v>1727</v>
      </c>
      <c r="F82" s="488" t="s">
        <v>1728</v>
      </c>
      <c r="G82" s="488" t="s">
        <v>1729</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1731</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1732</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506" t="s">
        <v>4067</v>
      </c>
      <c r="D90" s="3506" t="s">
        <v>4066</v>
      </c>
      <c r="E90" s="3506" t="s">
        <v>4068</v>
      </c>
      <c r="F90" s="3506" t="s">
        <v>4069</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1691</v>
      </c>
      <c r="B100" s="477" t="s">
        <v>1733</v>
      </c>
      <c r="C100" s="3505" t="s">
        <v>3870</v>
      </c>
      <c r="D100" s="3505" t="s">
        <v>3872</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15.75" thickTop="1">
      <c r="A102" s="483"/>
      <c r="B102" s="487" t="s">
        <v>1734</v>
      </c>
      <c r="C102" s="527" t="str">
        <f>C103&amp;"(含)"&amp;"-"&amp;D103</f>
        <v>0(含)-80</v>
      </c>
      <c r="D102" s="527" t="str">
        <f t="shared" ref="D102:L102" si="26">D103&amp;"(含)"&amp;"-"&amp;E103</f>
        <v>80(含)-100</v>
      </c>
      <c r="E102" s="527" t="str">
        <f t="shared" si="26"/>
        <v>100(含)-120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80</v>
      </c>
      <c r="E103" s="544">
        <v>100</v>
      </c>
      <c r="F103" s="544">
        <v>120</v>
      </c>
      <c r="G103" s="544"/>
      <c r="H103" s="544"/>
      <c r="I103" s="544"/>
      <c r="J103" s="545"/>
      <c r="K103" s="545"/>
      <c r="L103" s="546"/>
      <c r="M103" s="547"/>
      <c r="N103" s="934"/>
      <c r="O103" s="934"/>
      <c r="P103" s="1918"/>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3"/>
      <c r="O104" s="933"/>
      <c r="P104" s="1918"/>
      <c r="Q104" s="508"/>
    </row>
    <row r="105" spans="1:17" ht="15" thickTop="1">
      <c r="A105" s="548"/>
      <c r="B105" s="487" t="s">
        <v>1735</v>
      </c>
      <c r="C105" s="3506" t="s">
        <v>3873</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1736</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1737</v>
      </c>
      <c r="C109" s="3506" t="s">
        <v>3875</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1738</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1739</v>
      </c>
      <c r="C116" s="3506" t="s">
        <v>3876</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1740</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1741</v>
      </c>
      <c r="C122" s="3506" t="s">
        <v>3878</v>
      </c>
      <c r="D122" s="3506" t="s">
        <v>3879</v>
      </c>
      <c r="E122" s="3506" t="s">
        <v>3880</v>
      </c>
      <c r="F122" s="3507" t="s">
        <v>3882</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506" t="s">
        <v>3885</v>
      </c>
      <c r="D126" s="3506" t="s">
        <v>3886</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503"/>
      <c r="D128" s="503"/>
      <c r="E128" s="503"/>
      <c r="F128" s="503"/>
      <c r="G128" s="532"/>
      <c r="H128" s="532"/>
      <c r="I128" s="532"/>
      <c r="J128" s="532"/>
      <c r="K128" s="533"/>
      <c r="L128" s="534"/>
      <c r="M128" s="535"/>
      <c r="N128" s="932"/>
      <c r="O128" s="932"/>
      <c r="P128" s="1917"/>
      <c r="Q128" s="453"/>
    </row>
    <row r="129" spans="1:17" ht="15.75" thickBot="1">
      <c r="A129" s="483"/>
      <c r="B129" s="492"/>
      <c r="C129" s="509"/>
      <c r="D129" s="509"/>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1743</v>
      </c>
    </row>
    <row r="137" spans="1:17" ht="15">
      <c r="B137" s="1925" t="s">
        <v>1744</v>
      </c>
      <c r="C137" s="1926"/>
      <c r="D137" s="1926"/>
      <c r="E137" s="1926"/>
      <c r="F137" s="1926"/>
      <c r="G137" s="1927"/>
      <c r="H137" s="1928"/>
      <c r="I137" s="1929" t="s">
        <v>1745</v>
      </c>
      <c r="J137" s="1926"/>
      <c r="K137" s="1930"/>
    </row>
    <row r="138" spans="1:17" ht="15">
      <c r="B138" s="1931"/>
      <c r="C138" s="137" t="s">
        <v>1746</v>
      </c>
      <c r="D138" s="137" t="s">
        <v>1747</v>
      </c>
      <c r="E138" s="1932" t="s">
        <v>1748</v>
      </c>
      <c r="F138" s="1933" t="s">
        <v>1749</v>
      </c>
      <c r="G138" s="137" t="s">
        <v>1747</v>
      </c>
      <c r="H138" s="138" t="s">
        <v>1748</v>
      </c>
      <c r="I138" s="1934"/>
      <c r="J138" s="137" t="s">
        <v>1750</v>
      </c>
      <c r="K138" s="138" t="s">
        <v>1751</v>
      </c>
    </row>
    <row r="139" spans="1:17" ht="15">
      <c r="B139" s="866">
        <v>6</v>
      </c>
      <c r="C139" s="867">
        <v>96</v>
      </c>
      <c r="D139" s="1935" t="s">
        <v>1752</v>
      </c>
      <c r="E139" s="868">
        <v>100</v>
      </c>
      <c r="F139" s="869">
        <v>102.5</v>
      </c>
      <c r="G139" s="1935" t="s">
        <v>1752</v>
      </c>
      <c r="H139" s="870">
        <v>105</v>
      </c>
      <c r="I139" s="1936" t="s">
        <v>1753</v>
      </c>
      <c r="J139" s="867">
        <v>20</v>
      </c>
      <c r="K139" s="871">
        <f>C145/(J139-2)</f>
        <v>4.0555555555555553E-3</v>
      </c>
    </row>
    <row r="140" spans="1:17" ht="15">
      <c r="B140" s="872">
        <v>5</v>
      </c>
      <c r="C140" s="873">
        <v>100</v>
      </c>
      <c r="D140" s="873"/>
      <c r="E140" s="874"/>
      <c r="F140" s="875">
        <v>102</v>
      </c>
      <c r="G140" s="873"/>
      <c r="H140" s="876"/>
      <c r="I140" s="1937" t="s">
        <v>1754</v>
      </c>
      <c r="J140" s="271">
        <f>ROUNDUP((J139-1)/2,0)</f>
        <v>10</v>
      </c>
      <c r="K140" s="877">
        <v>100</v>
      </c>
    </row>
    <row r="141" spans="1:17" ht="15">
      <c r="B141" s="872">
        <v>4</v>
      </c>
      <c r="C141" s="873">
        <v>102</v>
      </c>
      <c r="D141" s="873"/>
      <c r="E141" s="874"/>
      <c r="F141" s="875">
        <v>101.5</v>
      </c>
      <c r="G141" s="873"/>
      <c r="H141" s="876"/>
      <c r="I141" s="1937" t="s">
        <v>1755</v>
      </c>
      <c r="J141" s="271">
        <v>1</v>
      </c>
      <c r="K141" s="878">
        <f>ROUND(100+(J141-J140)*K139*100,1)</f>
        <v>96.4</v>
      </c>
    </row>
    <row r="142" spans="1:17" ht="15">
      <c r="B142" s="872">
        <v>3</v>
      </c>
      <c r="C142" s="873">
        <v>103</v>
      </c>
      <c r="D142" s="873"/>
      <c r="E142" s="874"/>
      <c r="F142" s="875">
        <v>101</v>
      </c>
      <c r="G142" s="873"/>
      <c r="H142" s="876"/>
      <c r="I142" s="1937" t="s">
        <v>1756</v>
      </c>
      <c r="J142" s="271">
        <f>J139</f>
        <v>20</v>
      </c>
      <c r="K142" s="879">
        <v>95</v>
      </c>
    </row>
    <row r="143" spans="1:17" ht="15">
      <c r="B143" s="872">
        <v>2</v>
      </c>
      <c r="C143" s="873">
        <v>100</v>
      </c>
      <c r="D143" s="873"/>
      <c r="E143" s="874"/>
      <c r="F143" s="875">
        <v>100.5</v>
      </c>
      <c r="G143" s="873"/>
      <c r="H143" s="876"/>
      <c r="I143" s="1937" t="s">
        <v>1757</v>
      </c>
      <c r="J143" s="873">
        <v>15</v>
      </c>
      <c r="K143" s="878">
        <f>ROUND(100+(J143-J140)*K139*100,1)</f>
        <v>102</v>
      </c>
    </row>
    <row r="144" spans="1:17" ht="15">
      <c r="B144" s="872">
        <v>1</v>
      </c>
      <c r="C144" s="873">
        <v>98</v>
      </c>
      <c r="D144" s="1938" t="s">
        <v>1758</v>
      </c>
      <c r="E144" s="874">
        <v>102</v>
      </c>
      <c r="F144" s="880">
        <v>100</v>
      </c>
      <c r="G144" s="1938" t="s">
        <v>1758</v>
      </c>
      <c r="H144" s="876">
        <v>105</v>
      </c>
      <c r="I144" s="1937" t="s">
        <v>1757</v>
      </c>
      <c r="J144" s="873">
        <v>18</v>
      </c>
      <c r="K144" s="878">
        <f>ROUND(100+(J144-J140)*K139*100,1)</f>
        <v>103.2</v>
      </c>
    </row>
    <row r="145" spans="2:11" ht="15.75" thickBot="1">
      <c r="B145" s="1939" t="s">
        <v>1759</v>
      </c>
      <c r="C145" s="881">
        <f>ROUND(MAX(C139:C144)/MIN(C139:C144)-1,3)</f>
        <v>7.2999999999999995E-2</v>
      </c>
      <c r="D145" s="882"/>
      <c r="E145" s="882"/>
      <c r="F145" s="1940" t="s">
        <v>1760</v>
      </c>
      <c r="G145" s="1941"/>
      <c r="H145" s="1942"/>
      <c r="I145" s="1943" t="s">
        <v>1757</v>
      </c>
      <c r="J145" s="883">
        <v>8</v>
      </c>
      <c r="K145" s="884">
        <f>ROUND(100+(J145-J140)*K139*100,1)</f>
        <v>99.2</v>
      </c>
    </row>
    <row r="147" spans="2:11">
      <c r="B147" s="1924" t="s">
        <v>1761</v>
      </c>
    </row>
    <row r="148" spans="2:11">
      <c r="B148" s="1924"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4">
        <f>MATCH(B1,'数据-取费表'!A6:A16,0)+5</f>
        <v>8</v>
      </c>
    </row>
    <row r="2" spans="1:9" s="200" customFormat="1" ht="18" customHeight="1">
      <c r="A2" s="201" t="s">
        <v>1459</v>
      </c>
      <c r="B2" s="202">
        <f ca="1">IF(D2="——",C52,C52-E2)</f>
        <v>67</v>
      </c>
      <c r="C2" s="199" t="s">
        <v>1460</v>
      </c>
      <c r="D2" s="1850" t="s">
        <v>43</v>
      </c>
      <c r="E2" s="1167"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5774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7" t="s">
        <v>1469</v>
      </c>
      <c r="B6" s="215" t="s">
        <v>1470</v>
      </c>
      <c r="C6" s="216"/>
      <c r="D6" s="217"/>
      <c r="E6" s="218"/>
      <c r="F6" s="218"/>
      <c r="G6" s="219"/>
    </row>
    <row r="7" spans="1:9" s="214" customFormat="1" ht="13.5" customHeight="1">
      <c r="A7" s="777" t="s">
        <v>1471</v>
      </c>
      <c r="B7" s="215" t="s">
        <v>1472</v>
      </c>
      <c r="C7" s="220">
        <f>ROUND(C6*F7,0)</f>
        <v>0</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3"/>
    </row>
    <row r="9" spans="1:9" s="214" customFormat="1" ht="13.5" customHeight="1">
      <c r="A9" s="778" t="s">
        <v>355</v>
      </c>
      <c r="B9" s="224" t="s">
        <v>1475</v>
      </c>
      <c r="C9" s="225">
        <f ca="1">ROUND(D9*E9/10000,0)</f>
        <v>1</v>
      </c>
      <c r="D9" s="844">
        <f ca="1">IF(B1="",'数据-汇总表'!E5,IF(INDIRECT("'数据-取费表'!c"&amp;$G$1)="住宅",INDIRECT("'数据-取费表'!k"&amp;$G$1),0))</f>
        <v>86.99</v>
      </c>
      <c r="E9" s="225">
        <f>'数据-取费表'!B27</f>
        <v>150</v>
      </c>
      <c r="F9" s="221"/>
      <c r="G9" s="1854"/>
      <c r="H9" s="1135"/>
      <c r="I9" s="1855" t="s">
        <v>1476</v>
      </c>
    </row>
    <row r="10" spans="1:9" s="214" customFormat="1" ht="13.5" customHeight="1">
      <c r="A10" s="778" t="s">
        <v>356</v>
      </c>
      <c r="B10" s="224" t="s">
        <v>1477</v>
      </c>
      <c r="C10" s="225">
        <f ca="1">ROUND(D10*E10/10000,0)</f>
        <v>1</v>
      </c>
      <c r="D10" s="844">
        <f ca="1">IF(B1="",'数据-汇总表'!E6,IF(INDIRECT("'数据-取费表'!c"&amp;$G$1)="住宅",INDIRECT("'数据-取费表'!s"&amp;$G$1),INDIRECT("'数据-取费表'!k"&amp;$G$1)+INDIRECT("'数据-取费表'!s"&amp;$G$1)))</f>
        <v>29.049999999999997</v>
      </c>
      <c r="E10" s="225">
        <f>'数据-取费表'!B28</f>
        <v>190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f ca="1">IF(G19="已包含在土地取得成本中","0",ROUND(D19*E19/10000,0))</f>
        <v>2</v>
      </c>
      <c r="D19" s="848">
        <f ca="1">D9+D10</f>
        <v>116.03999999999999</v>
      </c>
      <c r="E19" s="211">
        <f>'数据-取费表'!B31</f>
        <v>200</v>
      </c>
      <c r="F19" s="231"/>
      <c r="G19" s="1853"/>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2">
        <f ca="1">ROUND(SUM(C23:C25),0)</f>
        <v>0</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9" t="s">
        <v>1499</v>
      </c>
      <c r="B23" s="215" t="s">
        <v>1500</v>
      </c>
      <c r="C23" s="1103">
        <f ca="1">ROUND(IF('数据-取费表'!B22&lt;=1,C5*F22*'数据-取费表'!B23,C5*(POWER((1+F22),'数据-取费表'!B23)-1)),0)</f>
        <v>0</v>
      </c>
      <c r="D23" s="238"/>
      <c r="E23" s="238"/>
      <c r="F23" s="239"/>
      <c r="G23" s="240" t="s">
        <v>1501</v>
      </c>
    </row>
    <row r="24" spans="1:7" s="214" customFormat="1" ht="13.5" customHeight="1">
      <c r="A24" s="779"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9" t="s">
        <v>1505</v>
      </c>
      <c r="B25" s="215" t="s">
        <v>1506</v>
      </c>
      <c r="C25" s="1103">
        <f ca="1">ROUND(IF('数据-取费表'!B22&lt;=1,C20*F22*'数据-取费表'!B23/2,C20*(POWER((1+F22),'数据-取费表'!B23/2)-1)),0)</f>
        <v>0</v>
      </c>
      <c r="D25" s="238"/>
      <c r="E25" s="241"/>
      <c r="F25" s="239"/>
      <c r="G25" s="242" t="s">
        <v>1507</v>
      </c>
    </row>
    <row r="26" spans="1:7" s="214" customFormat="1">
      <c r="A26" s="779"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0</v>
      </c>
      <c r="D27" s="235">
        <f ca="1">C29</f>
        <v>2.3999999999999998E-3</v>
      </c>
      <c r="E27" s="236" t="s">
        <v>1511</v>
      </c>
      <c r="F27" s="246">
        <f ca="1">IF(B1="",'数据-取费表'!Q16,INDIRECT("'数据-取费表'!q"&amp;$G$1))</f>
        <v>0.12</v>
      </c>
      <c r="G27" s="247" t="s">
        <v>1512</v>
      </c>
    </row>
    <row r="28" spans="1:7" s="214" customFormat="1" ht="13.5" customHeight="1">
      <c r="A28" s="779" t="s">
        <v>346</v>
      </c>
      <c r="B28" s="248" t="s">
        <v>1513</v>
      </c>
      <c r="C28" s="249">
        <f ca="1">ROUND((C5+C19+C20)*F27*'数据-取费表'!B21/'数据-取费表'!B20,0)</f>
        <v>0</v>
      </c>
      <c r="D28" s="235"/>
      <c r="E28" s="236"/>
      <c r="F28" s="246"/>
      <c r="G28" s="247"/>
    </row>
    <row r="29" spans="1:7" s="214" customFormat="1" ht="13.5" customHeight="1">
      <c r="A29" s="779" t="s">
        <v>347</v>
      </c>
      <c r="B29" s="248" t="s">
        <v>1514</v>
      </c>
      <c r="C29" s="238">
        <f ca="1">ROUND(C21*F27*'数据-取费表'!B21/'数据-取费表'!B20,4)</f>
        <v>2.3999999999999998E-3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51</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1523</v>
      </c>
    </row>
    <row r="35" spans="1:7" ht="13.5" customHeight="1">
      <c r="A35" s="779" t="s">
        <v>351</v>
      </c>
      <c r="B35" s="215" t="s">
        <v>1524</v>
      </c>
      <c r="C35" s="220">
        <f ca="1">ROUND(C34*F35,0)</f>
        <v>2</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1527</v>
      </c>
    </row>
    <row r="37" spans="1:7" s="258" customFormat="1" ht="13.5" customHeight="1">
      <c r="A37" s="779" t="s">
        <v>353</v>
      </c>
      <c r="B37" s="215" t="s">
        <v>1528</v>
      </c>
      <c r="C37" s="249">
        <f ca="1">ROUND(E37*D37*F34/10000,0)</f>
        <v>2</v>
      </c>
      <c r="D37" s="217">
        <f ca="1">D19</f>
        <v>116.03999999999999</v>
      </c>
      <c r="E37" s="249">
        <f>'数据-取费表'!B35</f>
        <v>200</v>
      </c>
      <c r="F37" s="259"/>
      <c r="G37" s="261" t="s">
        <v>1529</v>
      </c>
    </row>
    <row r="38" spans="1:7" ht="13.5" customHeight="1">
      <c r="A38" s="779" t="s">
        <v>354</v>
      </c>
      <c r="B38" s="215" t="s">
        <v>1530</v>
      </c>
      <c r="C38" s="220">
        <f ca="1">ROUND(C34*F38,0)</f>
        <v>1</v>
      </c>
      <c r="D38" s="220"/>
      <c r="E38" s="220"/>
      <c r="F38" s="259">
        <f>'数据-取费表'!B36</f>
        <v>1.4999999999999999E-2</v>
      </c>
      <c r="G38" s="219" t="s">
        <v>1525</v>
      </c>
    </row>
    <row r="39" spans="1:7" s="214" customFormat="1" ht="13.5" customHeight="1">
      <c r="A39" s="255" t="s">
        <v>1531</v>
      </c>
      <c r="B39" s="210" t="s">
        <v>1532</v>
      </c>
      <c r="C39" s="232">
        <f ca="1">ROUND(C33*F20,0)</f>
        <v>1</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2</v>
      </c>
      <c r="D41" s="235">
        <f ca="1">C44</f>
        <v>6.9999999999999999E-4</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2</v>
      </c>
      <c r="D42" s="238"/>
      <c r="E42" s="238"/>
      <c r="F42" s="239"/>
      <c r="G42" s="3759" t="s">
        <v>1541</v>
      </c>
    </row>
    <row r="43" spans="1:7" ht="13.5" customHeight="1">
      <c r="A43" s="779" t="s">
        <v>347</v>
      </c>
      <c r="B43" s="215" t="s">
        <v>1542</v>
      </c>
      <c r="C43" s="238">
        <f ca="1">ROUND(IF('数据-取费表'!B22&lt;=1,C39*F22*'数据-取费表'!B21/2,C39*(POWER((1+F22),'数据-取费表'!B21/2)-1)),0)</f>
        <v>0</v>
      </c>
      <c r="D43" s="238"/>
      <c r="E43" s="238"/>
      <c r="F43" s="239"/>
      <c r="G43" s="3760"/>
    </row>
    <row r="44" spans="1:7" ht="13.5" customHeight="1">
      <c r="A44" s="779" t="s">
        <v>348</v>
      </c>
      <c r="B44" s="215" t="s">
        <v>1543</v>
      </c>
      <c r="C44" s="238">
        <f ca="1">ROUND(IF('数据-取费表'!B22&lt;=1,C40*F22*'数据-取费表'!B21/2,C40*(POWER((1+F22),'数据-取费表'!B21/2)-1)),4)</f>
        <v>6.9999999999999999E-4</v>
      </c>
      <c r="D44" s="238"/>
      <c r="E44" s="238"/>
      <c r="F44" s="239"/>
      <c r="G44" s="3761"/>
    </row>
    <row r="45" spans="1:7" s="214" customFormat="1" ht="13.5" customHeight="1">
      <c r="A45" s="255" t="s">
        <v>1544</v>
      </c>
      <c r="B45" s="244" t="s">
        <v>1510</v>
      </c>
      <c r="C45" s="245">
        <f ca="1">C46</f>
        <v>6</v>
      </c>
      <c r="D45" s="235">
        <f ca="1">C47</f>
        <v>2.3999999999999998E-3</v>
      </c>
      <c r="E45" s="236" t="s">
        <v>1536</v>
      </c>
      <c r="F45" s="246">
        <f ca="1">F27</f>
        <v>0.12</v>
      </c>
      <c r="G45" s="247" t="s">
        <v>1545</v>
      </c>
    </row>
    <row r="46" spans="1:7" s="214" customFormat="1" ht="13.5" customHeight="1">
      <c r="A46" s="779" t="s">
        <v>346</v>
      </c>
      <c r="B46" s="248" t="s">
        <v>1546</v>
      </c>
      <c r="C46" s="249">
        <f ca="1">ROUND((C33+C39)*F27,0)</f>
        <v>6</v>
      </c>
      <c r="D46" s="263"/>
      <c r="E46" s="236"/>
      <c r="F46" s="246"/>
      <c r="G46" s="247"/>
    </row>
    <row r="47" spans="1:7" s="214" customFormat="1" ht="13.5" customHeight="1">
      <c r="A47" s="779" t="s">
        <v>347</v>
      </c>
      <c r="B47" s="248" t="s">
        <v>1547</v>
      </c>
      <c r="C47" s="238">
        <f ca="1">ROUND(C40*F27,4)</f>
        <v>2.3999999999999998E-3</v>
      </c>
      <c r="D47" s="263"/>
      <c r="E47" s="236"/>
      <c r="F47" s="246"/>
      <c r="G47" s="247"/>
    </row>
    <row r="48" spans="1:7" s="214" customFormat="1" ht="13.5" customHeight="1">
      <c r="A48" s="255" t="s">
        <v>1509</v>
      </c>
      <c r="B48" s="210" t="s">
        <v>1548</v>
      </c>
      <c r="C48" s="1324">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65</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65</v>
      </c>
      <c r="D51" s="232"/>
      <c r="E51" s="232"/>
      <c r="F51" s="264"/>
      <c r="G51" s="234" t="s">
        <v>1557</v>
      </c>
    </row>
    <row r="52" spans="1:7" s="208" customFormat="1" ht="16.5" thickBot="1">
      <c r="A52" s="265" t="s">
        <v>1558</v>
      </c>
      <c r="B52" s="266"/>
      <c r="C52" s="267">
        <f ca="1">C31+C51</f>
        <v>67</v>
      </c>
      <c r="D52" s="266"/>
      <c r="E52" s="266"/>
      <c r="F52" s="266"/>
      <c r="G52" s="268"/>
    </row>
    <row r="55" spans="1:7" ht="15">
      <c r="B55" s="270" t="s">
        <v>1559</v>
      </c>
      <c r="C55" s="271"/>
    </row>
    <row r="56" spans="1:7">
      <c r="B56" s="273" t="s">
        <v>799</v>
      </c>
      <c r="C56" s="275">
        <f ca="1">1-C57</f>
        <v>3.0000000000000027E-2</v>
      </c>
    </row>
    <row r="57" spans="1:7">
      <c r="B57" s="273" t="s">
        <v>800</v>
      </c>
      <c r="C57" s="274">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L42:T233"/>
  <sheetViews>
    <sheetView zoomScale="90" zoomScaleNormal="90" workbookViewId="0">
      <selection activeCell="V242" sqref="V242"/>
    </sheetView>
  </sheetViews>
  <sheetFormatPr defaultColWidth="9" defaultRowHeight="14.25"/>
  <cols>
    <col min="1" max="16384" width="9" style="3464"/>
  </cols>
  <sheetData>
    <row r="42" spans="15:15">
      <c r="O42" s="3464" t="s">
        <v>3379</v>
      </c>
    </row>
    <row r="73" spans="19:19">
      <c r="S73" s="3464">
        <f>1329/15</f>
        <v>88.6</v>
      </c>
    </row>
    <row r="167" spans="12:12">
      <c r="L167" s="3464" t="s">
        <v>3379</v>
      </c>
    </row>
    <row r="193" spans="19:19">
      <c r="S193" s="3464">
        <f>363/4</f>
        <v>90.75</v>
      </c>
    </row>
    <row r="225" spans="12:20">
      <c r="L225" s="3464" t="s">
        <v>3380</v>
      </c>
    </row>
    <row r="226" spans="12:20">
      <c r="L226" s="3464" t="s">
        <v>3381</v>
      </c>
    </row>
    <row r="233" spans="12:20">
      <c r="T233" s="3464">
        <f>17128/151</f>
        <v>113.43046357615894</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pageSetUpPr fitToPage="1"/>
  </sheetPr>
  <dimension ref="A1:H57"/>
  <sheetViews>
    <sheetView view="pageBreakPreview" topLeftCell="A19" zoomScale="80" zoomScaleNormal="70" zoomScaleSheetLayoutView="80" workbookViewId="0">
      <selection activeCell="H33" sqref="H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t="s">
        <v>3756</v>
      </c>
      <c r="C1" s="1856" t="s">
        <v>1560</v>
      </c>
      <c r="D1" s="198"/>
      <c r="E1" s="198"/>
      <c r="F1" s="198"/>
      <c r="G1" s="1124">
        <f>MATCH(B1,'数据-取费表'!A6:A16,0)+5</f>
        <v>6</v>
      </c>
      <c r="H1" s="1059" t="str">
        <f>IF(ISERROR(FIND("住宅",B1)),"非住宅","住宅")</f>
        <v>住宅</v>
      </c>
    </row>
    <row r="2" spans="1:8" s="200" customFormat="1" ht="18" customHeight="1">
      <c r="A2" s="201" t="s">
        <v>1459</v>
      </c>
      <c r="B2" s="3419">
        <f ca="1">ROUND(IF(D2="——",C52/10000,C52/10000-E2),4)</f>
        <v>294.81979999999999</v>
      </c>
      <c r="C2" s="199" t="s">
        <v>1460</v>
      </c>
      <c r="D2" s="1850" t="s">
        <v>43</v>
      </c>
      <c r="E2" s="1167"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33891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1796052.0999999999</v>
      </c>
      <c r="D5" s="211" t="s">
        <v>1466</v>
      </c>
      <c r="E5" s="212" t="s">
        <v>1467</v>
      </c>
      <c r="F5" s="212" t="s">
        <v>1468</v>
      </c>
      <c r="G5" s="213"/>
    </row>
    <row r="6" spans="1:8" s="214" customFormat="1" ht="13.5" customHeight="1">
      <c r="A6" s="777" t="s">
        <v>1469</v>
      </c>
      <c r="B6" s="215" t="s">
        <v>1470</v>
      </c>
      <c r="C6" s="216">
        <f>'土地比较法-住宅、综合'!C47*'土地比较法-住宅、综合'!E56</f>
        <v>1730231.0999999999</v>
      </c>
      <c r="D6" s="217"/>
      <c r="E6" s="218"/>
      <c r="F6" s="218"/>
      <c r="G6" s="219"/>
    </row>
    <row r="7" spans="1:8" s="214" customFormat="1" ht="13.5" customHeight="1">
      <c r="A7" s="777" t="s">
        <v>1471</v>
      </c>
      <c r="B7" s="215" t="s">
        <v>1472</v>
      </c>
      <c r="C7" s="220">
        <f>ROUND(C6*F7,0)</f>
        <v>52772</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13049</v>
      </c>
      <c r="D8" s="222"/>
      <c r="E8" s="220"/>
      <c r="F8" s="221"/>
      <c r="G8" s="1853" t="s">
        <v>4063</v>
      </c>
    </row>
    <row r="9" spans="1:8" s="214" customFormat="1" ht="13.5" customHeight="1">
      <c r="A9" s="778" t="s">
        <v>355</v>
      </c>
      <c r="B9" s="224" t="s">
        <v>1475</v>
      </c>
      <c r="C9" s="225">
        <f ca="1">ROUND(D9*E9,0)</f>
        <v>13049</v>
      </c>
      <c r="D9" s="844">
        <f ca="1">IF(B1="",'数据-汇总表'!E5,IF(INDIRECT("'数据-取费表'!c"&amp;$G$1)="住宅",INDIRECT("'数据-取费表'!k"&amp;$G$1),0))</f>
        <v>86.99</v>
      </c>
      <c r="E9" s="225">
        <f>'数据-取费表'!B27</f>
        <v>150</v>
      </c>
      <c r="F9" s="221"/>
      <c r="G9" s="226"/>
    </row>
    <row r="10" spans="1:8" s="214" customFormat="1" ht="13.5" customHeight="1">
      <c r="A10" s="778" t="s">
        <v>356</v>
      </c>
      <c r="B10" s="224" t="s">
        <v>1477</v>
      </c>
      <c r="C10" s="225">
        <f ca="1">ROUND(D10*E10,0)</f>
        <v>0</v>
      </c>
      <c r="D10" s="844">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t="str">
        <f>IF(G19="已包含在土地取得成本中","0",ROUND(D19*E19,0))</f>
        <v>0</v>
      </c>
      <c r="D19" s="848">
        <f ca="1">D9+D10</f>
        <v>86.99</v>
      </c>
      <c r="E19" s="211">
        <f>'数据-取费表'!B31</f>
        <v>200</v>
      </c>
      <c r="F19" s="231"/>
      <c r="G19" s="1853" t="s">
        <v>4064</v>
      </c>
    </row>
    <row r="20" spans="1:7" s="214" customFormat="1" ht="13.5" customHeight="1">
      <c r="A20" s="255" t="s">
        <v>1571</v>
      </c>
      <c r="B20" s="210" t="s">
        <v>1572</v>
      </c>
      <c r="C20" s="232">
        <f ca="1">ROUND((C5+C19)*F20,0)</f>
        <v>35921</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5">
        <f ca="1">ROUND(SUM(C23:C25),0)</f>
        <v>127304</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9" t="s">
        <v>1469</v>
      </c>
      <c r="B23" s="215" t="s">
        <v>1580</v>
      </c>
      <c r="C23" s="1126">
        <f ca="1">ROUND(IF('数据-取费表'!B22&lt;=1,C5*F22*'数据-取费表'!B22,C5*(POWER((1+F22),'数据-取费表'!B22)-1)),0)</f>
        <v>126065</v>
      </c>
      <c r="D23" s="238"/>
      <c r="E23" s="238"/>
      <c r="F23" s="239"/>
      <c r="G23" s="240" t="s">
        <v>1581</v>
      </c>
    </row>
    <row r="24" spans="1:7" s="214" customFormat="1" ht="13.5" customHeight="1">
      <c r="A24" s="779" t="s">
        <v>1471</v>
      </c>
      <c r="B24" s="215" t="s">
        <v>1582</v>
      </c>
      <c r="C24" s="1126">
        <f ca="1">ROUND(IF('数据-取费表'!B22&lt;=1,C19*F22*('数据-取费表'!B19/2+'数据-取费表'!B20),C19*(POWER((1+F22),('数据-取费表'!B19/2+'数据-取费表'!B20))-1)),0)</f>
        <v>0</v>
      </c>
      <c r="D24" s="238"/>
      <c r="E24" s="238"/>
      <c r="F24" s="239"/>
      <c r="G24" s="240" t="s">
        <v>1583</v>
      </c>
    </row>
    <row r="25" spans="1:7" s="214" customFormat="1" ht="24">
      <c r="A25" s="779" t="s">
        <v>1473</v>
      </c>
      <c r="B25" s="215" t="s">
        <v>1584</v>
      </c>
      <c r="C25" s="1126">
        <f ca="1">ROUND(IF('数据-取费表'!B22&lt;=1,C20*F22*'数据-取费表'!B22/2,C20*(POWER((1+F22),'数据-取费表'!B22/2)-1)),0)</f>
        <v>1239</v>
      </c>
      <c r="D25" s="238"/>
      <c r="E25" s="241"/>
      <c r="F25" s="239"/>
      <c r="G25" s="242" t="s">
        <v>1585</v>
      </c>
    </row>
    <row r="26" spans="1:7" s="214" customFormat="1">
      <c r="A26" s="779"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274796</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ROUND((C5+C19+C20)*F27,0)</f>
        <v>274796</v>
      </c>
      <c r="D28" s="235"/>
      <c r="E28" s="236"/>
      <c r="F28" s="246"/>
      <c r="G28" s="247"/>
    </row>
    <row r="29" spans="1:7" s="214" customFormat="1" ht="13.5" customHeight="1">
      <c r="A29" s="779"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2418090</v>
      </c>
      <c r="D31" s="230"/>
      <c r="E31" s="211"/>
      <c r="F31" s="250"/>
      <c r="G31" s="234" t="s">
        <v>1519</v>
      </c>
    </row>
    <row r="32" spans="1:7" s="208" customFormat="1" ht="15.75">
      <c r="A32" s="252" t="s">
        <v>1586</v>
      </c>
      <c r="B32" s="253"/>
      <c r="C32" s="253"/>
      <c r="D32" s="253"/>
      <c r="E32" s="253"/>
      <c r="F32" s="253"/>
      <c r="G32" s="254"/>
    </row>
    <row r="33" spans="1:8" s="214" customFormat="1" ht="13.5" customHeight="1">
      <c r="A33" s="255" t="s">
        <v>337</v>
      </c>
      <c r="B33" s="210" t="s">
        <v>1587</v>
      </c>
      <c r="C33" s="256">
        <f ca="1">SUM(C34:C38)</f>
        <v>405373</v>
      </c>
      <c r="D33" s="232"/>
      <c r="E33" s="212"/>
      <c r="F33" s="241"/>
      <c r="G33" s="234"/>
      <c r="H33" s="214">
        <f ca="1">C33/D19</f>
        <v>4659.9954017703185</v>
      </c>
    </row>
    <row r="34" spans="1:8" s="258" customFormat="1" ht="13.5" customHeight="1">
      <c r="A34" s="779" t="s">
        <v>346</v>
      </c>
      <c r="B34" s="215" t="s">
        <v>1522</v>
      </c>
      <c r="C34" s="220">
        <f ca="1">ROUND(IF(B1="",SUMPRODUCT('数据-取费表'!K6:K14,'数据-取费表'!L6:L14),INDIRECT("'数据-取费表'!l"&amp;$G$1)*INDIRECT("'数据-取费表'!k"&amp;$G$1)+'数据-取费表'!L14*INDIRECT("'数据-取费表'!S"&amp;$G$1)),0)</f>
        <v>347960</v>
      </c>
      <c r="D34" s="217"/>
      <c r="E34" s="220"/>
      <c r="F34" s="257"/>
      <c r="G34" s="219"/>
    </row>
    <row r="35" spans="1:8" ht="13.5" customHeight="1">
      <c r="A35" s="779" t="s">
        <v>351</v>
      </c>
      <c r="B35" s="215" t="s">
        <v>1524</v>
      </c>
      <c r="C35" s="220">
        <f ca="1">ROUND(C34*F35,0)</f>
        <v>17398</v>
      </c>
      <c r="D35" s="220"/>
      <c r="E35" s="220"/>
      <c r="F35" s="259">
        <f>'数据-取费表'!B33</f>
        <v>0.05</v>
      </c>
      <c r="G35" s="219" t="s">
        <v>1525</v>
      </c>
    </row>
    <row r="36" spans="1:8" ht="24">
      <c r="A36" s="779" t="s">
        <v>352</v>
      </c>
      <c r="B36" s="215" t="s">
        <v>1526</v>
      </c>
      <c r="C36" s="220">
        <f ca="1">ROUND(IF(B1="",SUM('数据-取费表'!AP6:AP13)*F36,IF(INDIRECT("'数据-取费表'!c"&amp;$G$1)="住宅",INDIRECT("'数据-取费表'!k"&amp;$G$1)*INDIRECT("'数据-取费表'!l"&amp;$G$1)*F36,0)),0)</f>
        <v>17398</v>
      </c>
      <c r="D36" s="220"/>
      <c r="E36" s="220"/>
      <c r="F36" s="259">
        <f>'数据-取费表'!B34</f>
        <v>0.05</v>
      </c>
      <c r="G36" s="260" t="s">
        <v>1527</v>
      </c>
    </row>
    <row r="37" spans="1:8" s="258" customFormat="1" ht="13.5" customHeight="1">
      <c r="A37" s="779" t="s">
        <v>353</v>
      </c>
      <c r="B37" s="215" t="s">
        <v>1528</v>
      </c>
      <c r="C37" s="249">
        <f ca="1">ROUND(E37*D37,0)</f>
        <v>17398</v>
      </c>
      <c r="D37" s="217">
        <f ca="1">D19</f>
        <v>86.99</v>
      </c>
      <c r="E37" s="249">
        <f>'数据-取费表'!B35</f>
        <v>200</v>
      </c>
      <c r="F37" s="259"/>
      <c r="G37" s="261"/>
    </row>
    <row r="38" spans="1:8" ht="13.5" customHeight="1">
      <c r="A38" s="779" t="s">
        <v>354</v>
      </c>
      <c r="B38" s="215" t="s">
        <v>1530</v>
      </c>
      <c r="C38" s="220">
        <f ca="1">ROUND(C34*F38,0)</f>
        <v>5219</v>
      </c>
      <c r="D38" s="220"/>
      <c r="E38" s="220"/>
      <c r="F38" s="259">
        <f>'数据-取费表'!B36</f>
        <v>1.4999999999999999E-2</v>
      </c>
      <c r="G38" s="219" t="s">
        <v>1525</v>
      </c>
    </row>
    <row r="39" spans="1:8" s="214" customFormat="1" ht="13.5" customHeight="1">
      <c r="A39" s="255" t="s">
        <v>1531</v>
      </c>
      <c r="B39" s="210" t="s">
        <v>1532</v>
      </c>
      <c r="C39" s="232">
        <f ca="1">ROUND(C33*F20,0)</f>
        <v>8107</v>
      </c>
      <c r="D39" s="232"/>
      <c r="E39" s="232"/>
      <c r="F39" s="233">
        <f>F20</f>
        <v>0.02</v>
      </c>
      <c r="G39" s="234" t="s">
        <v>1533</v>
      </c>
    </row>
    <row r="40" spans="1:8" s="214" customFormat="1" ht="13.5" customHeight="1">
      <c r="A40" s="255" t="s">
        <v>1534</v>
      </c>
      <c r="B40" s="210" t="s">
        <v>1535</v>
      </c>
      <c r="C40" s="1324">
        <f>F21</f>
        <v>0.02</v>
      </c>
      <c r="D40" s="236" t="s">
        <v>1536</v>
      </c>
      <c r="E40" s="232"/>
      <c r="F40" s="233">
        <f>F21</f>
        <v>0.02</v>
      </c>
      <c r="G40" s="234" t="s">
        <v>1537</v>
      </c>
    </row>
    <row r="41" spans="1:8" s="214" customFormat="1" ht="13.5" customHeight="1">
      <c r="A41" s="255" t="s">
        <v>1538</v>
      </c>
      <c r="B41" s="210" t="s">
        <v>1539</v>
      </c>
      <c r="C41" s="232">
        <f ca="1">ROUND(SUM(C42:C43),0)</f>
        <v>14265</v>
      </c>
      <c r="D41" s="235">
        <f ca="1">C44</f>
        <v>6.9999999999999999E-4</v>
      </c>
      <c r="E41" s="236" t="s">
        <v>1536</v>
      </c>
      <c r="F41" s="237">
        <f ca="1">F22</f>
        <v>3.4500000000000003E-2</v>
      </c>
      <c r="G41" s="234" t="str">
        <f>IF('数据-取费表'!B22&lt;=1,"单利计息","复利计息")</f>
        <v>复利计息</v>
      </c>
    </row>
    <row r="42" spans="1:8" ht="13.5" customHeight="1">
      <c r="A42" s="779" t="s">
        <v>346</v>
      </c>
      <c r="B42" s="215" t="s">
        <v>1540</v>
      </c>
      <c r="C42" s="238">
        <f ca="1">ROUND(IF('数据-取费表'!B22&lt;=1,C33*F22*'数据-取费表'!B20/2,C33*(POWER((1+F22),'数据-取费表'!B20/2)-1)),0)</f>
        <v>13985</v>
      </c>
      <c r="D42" s="238"/>
      <c r="E42" s="238"/>
      <c r="F42" s="239"/>
      <c r="G42" s="3759" t="s">
        <v>1588</v>
      </c>
    </row>
    <row r="43" spans="1:8" ht="13.5" customHeight="1">
      <c r="A43" s="779" t="s">
        <v>347</v>
      </c>
      <c r="B43" s="215" t="s">
        <v>1542</v>
      </c>
      <c r="C43" s="238">
        <f ca="1">ROUND(IF('数据-取费表'!B22&lt;=1,C39*F22*'数据-取费表'!B20/2,C39*(POWER((1+F22),'数据-取费表'!B20/2)-1)),0)</f>
        <v>280</v>
      </c>
      <c r="D43" s="238"/>
      <c r="E43" s="238"/>
      <c r="F43" s="239"/>
      <c r="G43" s="3760"/>
    </row>
    <row r="44" spans="1:8" ht="13.5" customHeight="1">
      <c r="A44" s="779" t="s">
        <v>348</v>
      </c>
      <c r="B44" s="215" t="s">
        <v>1543</v>
      </c>
      <c r="C44" s="238">
        <f ca="1">ROUND(IF('数据-取费表'!B22&lt;=1,C40*F22*'数据-取费表'!B20/2,C40*(POWER((1+F22),'数据-取费表'!B20/2)-1)),4)</f>
        <v>6.9999999999999999E-4</v>
      </c>
      <c r="D44" s="238"/>
      <c r="E44" s="238"/>
      <c r="F44" s="239"/>
      <c r="G44" s="3761"/>
    </row>
    <row r="45" spans="1:8" s="214" customFormat="1" ht="13.5" customHeight="1">
      <c r="A45" s="255" t="s">
        <v>1544</v>
      </c>
      <c r="B45" s="244" t="s">
        <v>1510</v>
      </c>
      <c r="C45" s="245">
        <f ca="1">C46</f>
        <v>62022</v>
      </c>
      <c r="D45" s="235">
        <f ca="1">C47</f>
        <v>3.0000000000000001E-3</v>
      </c>
      <c r="E45" s="236" t="s">
        <v>1536</v>
      </c>
      <c r="F45" s="246">
        <f ca="1">F27</f>
        <v>0.15</v>
      </c>
      <c r="G45" s="247" t="s">
        <v>1545</v>
      </c>
    </row>
    <row r="46" spans="1:8" s="214" customFormat="1" ht="13.5" customHeight="1">
      <c r="A46" s="779" t="s">
        <v>346</v>
      </c>
      <c r="B46" s="248" t="s">
        <v>1546</v>
      </c>
      <c r="C46" s="249">
        <f ca="1">ROUND((C33+C39)*F27,0)</f>
        <v>62022</v>
      </c>
      <c r="D46" s="263"/>
      <c r="E46" s="236"/>
      <c r="F46" s="246"/>
      <c r="G46" s="247"/>
    </row>
    <row r="47" spans="1:8" s="214" customFormat="1" ht="13.5" customHeight="1">
      <c r="A47" s="779" t="s">
        <v>347</v>
      </c>
      <c r="B47" s="248" t="s">
        <v>1547</v>
      </c>
      <c r="C47" s="238">
        <f ca="1">ROUND(C40*F27,4)</f>
        <v>3.0000000000000001E-3</v>
      </c>
      <c r="D47" s="263"/>
      <c r="E47" s="236"/>
      <c r="F47" s="246"/>
      <c r="G47" s="247"/>
    </row>
    <row r="48" spans="1:8"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530108</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530108</v>
      </c>
      <c r="D51" s="232"/>
      <c r="E51" s="232"/>
      <c r="F51" s="264"/>
      <c r="G51" s="234" t="s">
        <v>1557</v>
      </c>
    </row>
    <row r="52" spans="1:7" s="208" customFormat="1" ht="16.5" thickBot="1">
      <c r="A52" s="265" t="s">
        <v>1558</v>
      </c>
      <c r="B52" s="266"/>
      <c r="C52" s="267">
        <f ca="1">C31+C51</f>
        <v>2948198</v>
      </c>
      <c r="D52" s="266"/>
      <c r="E52" s="266"/>
      <c r="F52" s="266"/>
      <c r="G52" s="268"/>
    </row>
    <row r="55" spans="1:7" ht="15">
      <c r="B55" s="270" t="s">
        <v>1559</v>
      </c>
      <c r="C55" s="271"/>
    </row>
    <row r="56" spans="1:7">
      <c r="B56" s="273" t="s">
        <v>799</v>
      </c>
      <c r="C56" s="275">
        <f ca="1">1-C57</f>
        <v>0.82000000000000006</v>
      </c>
    </row>
    <row r="57" spans="1:7">
      <c r="B57" s="273" t="s">
        <v>800</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88"/>
      <c r="C1" s="1189"/>
      <c r="D1" s="1187"/>
      <c r="E1" s="2801"/>
      <c r="F1" s="2801"/>
      <c r="G1" s="2666"/>
      <c r="H1" s="2801"/>
      <c r="I1" s="2801"/>
      <c r="J1" s="2801"/>
      <c r="K1" s="2802">
        <f>MATCH(C1,'数据-取费表'!A6:A16,0)+5</f>
        <v>8</v>
      </c>
    </row>
    <row r="2" spans="1:33" ht="18" customHeight="1">
      <c r="A2" s="201" t="s">
        <v>1459</v>
      </c>
      <c r="B2" s="204">
        <f ca="1">C32</f>
        <v>-2</v>
      </c>
      <c r="C2" s="276" t="s">
        <v>1592</v>
      </c>
      <c r="D2" s="276"/>
      <c r="E2" s="2801"/>
      <c r="F2" s="2801"/>
      <c r="G2" s="2801"/>
      <c r="H2" s="2801"/>
      <c r="I2" s="2801"/>
      <c r="J2" s="2801"/>
      <c r="K2" s="2801"/>
    </row>
    <row r="3" spans="1:33" ht="18" customHeight="1" thickBot="1">
      <c r="A3" s="203" t="s">
        <v>1461</v>
      </c>
      <c r="B3" s="204">
        <f ca="1">ROUND(B2*10000/IF(C1="",'数据-汇总表'!E3,INDIRECT("'数据-取费表'!K"&amp;$K$1)),0)</f>
        <v>-172</v>
      </c>
      <c r="C3" s="276" t="s">
        <v>1593</v>
      </c>
      <c r="D3" s="276"/>
      <c r="E3" s="2801"/>
      <c r="F3" s="2801"/>
      <c r="G3" s="2801"/>
      <c r="H3" s="2801"/>
      <c r="I3" s="2801"/>
      <c r="J3" s="2801"/>
      <c r="K3" s="2801"/>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0.05</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116.03999999999999</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1.4999999999999999E-2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116.03999999999999</v>
      </c>
      <c r="E17" s="21">
        <f>'数据-取费表'!B32</f>
        <v>0</v>
      </c>
      <c r="F17" s="805"/>
      <c r="G17" s="131" t="s">
        <v>1620</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2</v>
      </c>
      <c r="D18" s="845"/>
      <c r="E18" s="21"/>
      <c r="F18" s="803"/>
      <c r="G18" s="1859"/>
      <c r="H18" s="1184"/>
      <c r="I18" s="1860" t="s">
        <v>1622</v>
      </c>
      <c r="J18" s="806"/>
      <c r="K18" s="807"/>
    </row>
    <row r="19" spans="1:33" s="802" customFormat="1" ht="13.5" customHeight="1">
      <c r="A19" s="799" t="s">
        <v>360</v>
      </c>
      <c r="B19" s="800" t="s">
        <v>1623</v>
      </c>
      <c r="C19" s="21">
        <f ca="1">ROUND(D19*E19/10000,0)</f>
        <v>1</v>
      </c>
      <c r="D19" s="845">
        <f ca="1">IF(C1="",'数据-汇总表'!E5,IF(INDIRECT("'数据-取费表'!c"&amp;$K$1)="住宅",INDIRECT("'数据-取费表'!k"&amp;$K$1),0))</f>
        <v>86.99</v>
      </c>
      <c r="E19" s="21">
        <f>'数据-取费表'!B27</f>
        <v>150</v>
      </c>
      <c r="F19" s="803"/>
      <c r="G19" s="12"/>
      <c r="H19" s="1186"/>
      <c r="I19" s="808"/>
      <c r="J19" s="808"/>
      <c r="K19" s="809"/>
    </row>
    <row r="20" spans="1:33" s="802" customFormat="1" ht="13.5" customHeight="1">
      <c r="A20" s="799" t="s">
        <v>361</v>
      </c>
      <c r="B20" s="800" t="s">
        <v>1624</v>
      </c>
      <c r="C20" s="21">
        <f ca="1">ROUND(D20*E20/10000,0)</f>
        <v>1</v>
      </c>
      <c r="D20" s="845">
        <f ca="1">IF(C1="",'数据-汇总表'!E6,IF(INDIRECT("'数据-取费表'!c"&amp;$K$1)="住宅",INDIRECT("'数据-取费表'!s"&amp;$K$1),INDIRECT("'数据-取费表'!k"&amp;$K$1)+INDIRECT("'数据-取费表'!s"&amp;$K$1)))</f>
        <v>29.049999999999997</v>
      </c>
      <c r="E20" s="21">
        <f>'数据-取费表'!B28</f>
        <v>190</v>
      </c>
      <c r="F20" s="803"/>
      <c r="G20" s="12"/>
      <c r="H20" s="808"/>
      <c r="I20" s="808"/>
      <c r="J20" s="808"/>
      <c r="K20" s="809"/>
    </row>
    <row r="21" spans="1:33" s="802" customFormat="1" ht="13.5" customHeight="1">
      <c r="A21" s="789" t="s">
        <v>357</v>
      </c>
      <c r="B21" s="812" t="s">
        <v>1625</v>
      </c>
      <c r="C21" s="813">
        <f ca="1">C16+C17+C18</f>
        <v>2</v>
      </c>
      <c r="D21" s="814"/>
      <c r="E21" s="281"/>
      <c r="F21" s="281"/>
      <c r="G21" s="131" t="s">
        <v>1626</v>
      </c>
      <c r="H21" s="806"/>
      <c r="I21" s="806"/>
      <c r="J21" s="806"/>
      <c r="K21" s="807"/>
    </row>
    <row r="22" spans="1:33" s="802" customFormat="1" ht="13.5" customHeight="1">
      <c r="A22" s="789" t="s">
        <v>1598</v>
      </c>
      <c r="B22" s="812" t="s">
        <v>1627</v>
      </c>
      <c r="C22" s="813">
        <f ca="1">ROUND(C21*F22,0)</f>
        <v>0</v>
      </c>
      <c r="D22" s="281"/>
      <c r="E22" s="281"/>
      <c r="F22" s="815">
        <f>'数据-取费表'!B37</f>
        <v>0.02</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0.02</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1638</v>
      </c>
      <c r="B28" s="1862" t="s">
        <v>1639</v>
      </c>
      <c r="C28" s="287">
        <f ca="1">C30</f>
        <v>0</v>
      </c>
      <c r="D28" s="280">
        <f ca="1">C29</f>
        <v>0</v>
      </c>
      <c r="E28" s="282" t="s">
        <v>12</v>
      </c>
      <c r="F28" s="288">
        <f ca="1">IF(C1="",'数据-取费表'!Q16,INDIRECT("'数据-取费表'!q"&amp;$K$1))</f>
        <v>0.12</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0</v>
      </c>
      <c r="D30" s="284"/>
      <c r="E30" s="285"/>
      <c r="F30" s="290"/>
      <c r="G30" s="131"/>
      <c r="H30" s="806"/>
      <c r="I30" s="806"/>
      <c r="J30" s="806"/>
      <c r="K30" s="807"/>
    </row>
    <row r="31" spans="1:33" s="802" customFormat="1" ht="13.5" customHeight="1" thickBot="1">
      <c r="A31" s="1863" t="s">
        <v>1643</v>
      </c>
      <c r="B31" s="832" t="s">
        <v>1644</v>
      </c>
      <c r="C31" s="833">
        <f>ROUND(C4*F31/(1+'数据-取费表'!C42),0)</f>
        <v>0</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-2</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9">
        <f>F65</f>
        <v>174</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1461</v>
      </c>
      <c r="B3" s="558">
        <f>ROUND(IF(D3="",B2*10000/'数据-汇总表'!E3,B2*10000/D3),0)</f>
        <v>14995</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1766</v>
      </c>
      <c r="B4" s="356"/>
      <c r="C4" s="3731" t="s">
        <v>1767</v>
      </c>
      <c r="D4" s="3732"/>
      <c r="E4" s="3733" t="s">
        <v>1768</v>
      </c>
      <c r="F4" s="3734"/>
      <c r="G4" s="3731" t="s">
        <v>1769</v>
      </c>
      <c r="H4" s="3732"/>
      <c r="I4" s="3731" t="s">
        <v>1770</v>
      </c>
      <c r="J4" s="3732"/>
      <c r="K4" s="559" t="s">
        <v>1771</v>
      </c>
      <c r="L4" s="2710"/>
      <c r="M4" s="2711"/>
      <c r="N4" s="2711"/>
      <c r="O4" s="2711"/>
      <c r="P4" s="3735" t="s">
        <v>1772</v>
      </c>
      <c r="Q4" s="3736"/>
      <c r="R4" s="3717" t="s">
        <v>1768</v>
      </c>
      <c r="S4" s="3718"/>
      <c r="T4" s="3717" t="s">
        <v>1769</v>
      </c>
      <c r="U4" s="3718"/>
      <c r="V4" s="3743" t="s">
        <v>1770</v>
      </c>
      <c r="W4" s="3743"/>
      <c r="X4" s="1352"/>
      <c r="Y4" s="3717" t="s">
        <v>1772</v>
      </c>
      <c r="Z4" s="3718"/>
      <c r="AA4" s="3712" t="s">
        <v>1768</v>
      </c>
      <c r="AB4" s="3713" t="s">
        <v>1769</v>
      </c>
      <c r="AC4" s="3712" t="s">
        <v>1770</v>
      </c>
    </row>
    <row r="5" spans="1:30" ht="15">
      <c r="A5" s="358"/>
      <c r="B5" s="359"/>
      <c r="C5" s="3723" t="s">
        <v>1670</v>
      </c>
      <c r="D5" s="3724"/>
      <c r="E5" s="3762" t="str">
        <f>土地案例!$A$6</f>
        <v>北京市大兴区大兴新城西片区一期A组团土地一级开发项目DX00-0407-0002地块R2二类居住用地</v>
      </c>
      <c r="F5" s="3722"/>
      <c r="G5" s="3723" t="str">
        <f>土地案例!$A$13</f>
        <v>北京市房山区良乡大学城主园区FS00-0120-0023地块R2二类居住用地</v>
      </c>
      <c r="H5" s="3724"/>
      <c r="I5" s="3723" t="str">
        <f>土地案例!$A$14</f>
        <v>北京市门头沟区永定镇南区棚户区改造和环境整治项目MC00-0015-6050地块R2二类居住用地</v>
      </c>
      <c r="J5" s="3724"/>
      <c r="K5" s="559"/>
      <c r="L5" s="2710"/>
      <c r="M5" s="2711"/>
      <c r="N5" s="2711"/>
      <c r="O5" s="2711"/>
      <c r="P5" s="3737"/>
      <c r="Q5" s="3738"/>
      <c r="R5" s="3719"/>
      <c r="S5" s="3720"/>
      <c r="T5" s="3719"/>
      <c r="U5" s="3720"/>
      <c r="V5" s="3743"/>
      <c r="W5" s="3743"/>
      <c r="X5" s="1352"/>
      <c r="Y5" s="3719"/>
      <c r="Z5" s="3720"/>
      <c r="AA5" s="3713"/>
      <c r="AB5" s="3713"/>
      <c r="AC5" s="3713"/>
    </row>
    <row r="6" spans="1:30" ht="15.75" thickBot="1">
      <c r="A6" s="360"/>
      <c r="B6" s="361"/>
      <c r="C6" s="3725" t="s">
        <v>1674</v>
      </c>
      <c r="D6" s="3726"/>
      <c r="E6" s="3728" t="s">
        <v>1674</v>
      </c>
      <c r="F6" s="3729"/>
      <c r="G6" s="3725" t="s">
        <v>1674</v>
      </c>
      <c r="H6" s="3726"/>
      <c r="I6" s="3725" t="s">
        <v>1674</v>
      </c>
      <c r="J6" s="3726"/>
      <c r="K6" s="559" t="s">
        <v>1675</v>
      </c>
      <c r="L6" s="2710"/>
      <c r="M6" s="2711"/>
      <c r="N6" s="2711"/>
      <c r="O6" s="2711"/>
      <c r="P6" s="3739"/>
      <c r="Q6" s="3740"/>
      <c r="R6" s="3719"/>
      <c r="S6" s="3720"/>
      <c r="T6" s="3741"/>
      <c r="U6" s="3742"/>
      <c r="V6" s="3743"/>
      <c r="W6" s="3743"/>
      <c r="X6" s="1352"/>
      <c r="Y6" s="3741"/>
      <c r="Z6" s="3742"/>
      <c r="AA6" s="3714"/>
      <c r="AB6" s="3714"/>
      <c r="AC6" s="3714"/>
    </row>
    <row r="7" spans="1:30" s="108" customFormat="1" ht="15.75" thickBot="1">
      <c r="A7" s="362" t="s">
        <v>1676</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715" t="s">
        <v>1677</v>
      </c>
      <c r="Q7" s="3744"/>
      <c r="R7" s="700" t="s">
        <v>14</v>
      </c>
      <c r="S7" s="701">
        <f t="shared" ref="S7:S15" si="0">F7</f>
        <v>99</v>
      </c>
      <c r="T7" s="700" t="s">
        <v>14</v>
      </c>
      <c r="U7" s="701">
        <f t="shared" ref="U7:U15" si="1">H7</f>
        <v>98.5</v>
      </c>
      <c r="V7" s="700" t="s">
        <v>14</v>
      </c>
      <c r="W7" s="701">
        <f t="shared" ref="W7:W15" si="2">J7</f>
        <v>98</v>
      </c>
      <c r="X7" s="702"/>
      <c r="Y7" s="3715" t="s">
        <v>1677</v>
      </c>
      <c r="Z7" s="3716"/>
      <c r="AA7" s="703">
        <f>D7/F7</f>
        <v>1.0101010101010102</v>
      </c>
      <c r="AB7" s="703">
        <f>D7/H7</f>
        <v>1.015228426395939</v>
      </c>
      <c r="AC7" s="703">
        <f>D7/J7</f>
        <v>1.0204081632653061</v>
      </c>
    </row>
    <row r="8" spans="1:30" s="108" customFormat="1" ht="15.75" thickBot="1">
      <c r="A8" s="362" t="s">
        <v>1678</v>
      </c>
      <c r="B8" s="363"/>
      <c r="C8" s="368" t="s">
        <v>1679</v>
      </c>
      <c r="D8" s="365">
        <v>100</v>
      </c>
      <c r="E8" s="368" t="s">
        <v>3862</v>
      </c>
      <c r="F8" s="367">
        <f>SUMIF(72:72,E8,73:73)-SUMIF(72:72,C8,73:73)+100</f>
        <v>100</v>
      </c>
      <c r="G8" s="368" t="s">
        <v>3862</v>
      </c>
      <c r="H8" s="365">
        <f>SUMIF(72:72,G8,73:73)-SUMIF(72:72,C8,73:73)+100</f>
        <v>100</v>
      </c>
      <c r="I8" s="368" t="s">
        <v>3862</v>
      </c>
      <c r="J8" s="365">
        <f>SUMIF(72:72,I8,73:73)-SUMIF(72:72,C8,73:73)+100</f>
        <v>100</v>
      </c>
      <c r="K8" s="560"/>
      <c r="L8" s="2712"/>
      <c r="M8" s="2713"/>
      <c r="N8" s="2713"/>
      <c r="O8" s="2713"/>
      <c r="P8" s="3715" t="s">
        <v>1680</v>
      </c>
      <c r="Q8" s="3716"/>
      <c r="R8" s="700" t="s">
        <v>14</v>
      </c>
      <c r="S8" s="701">
        <f t="shared" si="0"/>
        <v>100</v>
      </c>
      <c r="T8" s="700" t="s">
        <v>14</v>
      </c>
      <c r="U8" s="701">
        <f t="shared" si="1"/>
        <v>100</v>
      </c>
      <c r="V8" s="700" t="s">
        <v>14</v>
      </c>
      <c r="W8" s="701">
        <f t="shared" si="2"/>
        <v>100</v>
      </c>
      <c r="X8" s="702"/>
      <c r="Y8" s="3715" t="s">
        <v>1680</v>
      </c>
      <c r="Z8" s="3716"/>
      <c r="AA8" s="703">
        <f t="shared" ref="AA8:AA45" si="3">D8/F8</f>
        <v>1</v>
      </c>
      <c r="AB8" s="703">
        <f t="shared" ref="AB8:AB45" si="4">D8/H8</f>
        <v>1</v>
      </c>
      <c r="AC8" s="703">
        <f t="shared" ref="AC8:AC45" si="5">D8/J8</f>
        <v>1</v>
      </c>
    </row>
    <row r="9" spans="1:30" s="108" customFormat="1">
      <c r="A9" s="369" t="s">
        <v>1681</v>
      </c>
      <c r="B9" s="63" t="s">
        <v>1682</v>
      </c>
      <c r="C9" s="1972" t="s">
        <v>3756</v>
      </c>
      <c r="D9" s="126">
        <v>100</v>
      </c>
      <c r="E9" s="1972" t="s">
        <v>3756</v>
      </c>
      <c r="F9" s="126">
        <f>SUMIF(74:74,E9,75:75)-SUMIF(74:74,C9,75:75)+100</f>
        <v>100</v>
      </c>
      <c r="G9" s="1972" t="s">
        <v>3756</v>
      </c>
      <c r="H9" s="126">
        <f>SUMIF(74:74,G9,75:75)-SUMIF(74:74,C9,75:75)+100</f>
        <v>100</v>
      </c>
      <c r="I9" s="1972" t="s">
        <v>3756</v>
      </c>
      <c r="J9" s="126">
        <f>SUMIF(74:74,I9,75:75)-SUMIF(74:74,C9,75:75)+100</f>
        <v>100</v>
      </c>
      <c r="K9" s="560"/>
      <c r="L9" s="2712"/>
      <c r="M9" s="2713"/>
      <c r="N9" s="2713"/>
      <c r="O9" s="2767"/>
      <c r="P9" s="3748" t="s">
        <v>1683</v>
      </c>
      <c r="Q9" s="1340" t="str">
        <f t="shared" ref="Q9:Q15" si="6">B9</f>
        <v>用途</v>
      </c>
      <c r="R9" s="700" t="s">
        <v>14</v>
      </c>
      <c r="S9" s="701">
        <f t="shared" si="0"/>
        <v>100</v>
      </c>
      <c r="T9" s="700" t="s">
        <v>14</v>
      </c>
      <c r="U9" s="701">
        <f t="shared" si="1"/>
        <v>100</v>
      </c>
      <c r="V9" s="700" t="s">
        <v>14</v>
      </c>
      <c r="W9" s="701">
        <f t="shared" si="2"/>
        <v>100</v>
      </c>
      <c r="X9" s="702"/>
      <c r="Y9" s="3688"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748"/>
      <c r="Q10" s="1340" t="str">
        <f t="shared" si="6"/>
        <v>土地使用年限（年）</v>
      </c>
      <c r="R10" s="700" t="s">
        <v>14</v>
      </c>
      <c r="S10" s="701">
        <f t="shared" si="0"/>
        <v>101</v>
      </c>
      <c r="T10" s="700" t="s">
        <v>14</v>
      </c>
      <c r="U10" s="701">
        <f t="shared" si="1"/>
        <v>101</v>
      </c>
      <c r="V10" s="700" t="s">
        <v>14</v>
      </c>
      <c r="W10" s="701">
        <f t="shared" si="2"/>
        <v>101</v>
      </c>
      <c r="X10" s="702"/>
      <c r="Y10" s="3688"/>
      <c r="Z10" s="52" t="str">
        <f t="shared" si="7"/>
        <v>土地使用年限（年）</v>
      </c>
      <c r="AA10" s="703">
        <f t="shared" si="3"/>
        <v>0.99009900990099009</v>
      </c>
      <c r="AB10" s="703">
        <f t="shared" si="4"/>
        <v>0.99009900990099009</v>
      </c>
      <c r="AC10" s="703">
        <f t="shared" si="5"/>
        <v>0.99009900990099009</v>
      </c>
    </row>
    <row r="11" spans="1:30" ht="15">
      <c r="A11" s="379"/>
      <c r="B11" s="375" t="s">
        <v>1686</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748"/>
      <c r="Q11" s="1340" t="str">
        <f t="shared" si="6"/>
        <v>容积率</v>
      </c>
      <c r="R11" s="700" t="s">
        <v>14</v>
      </c>
      <c r="S11" s="701">
        <f t="shared" si="0"/>
        <v>103</v>
      </c>
      <c r="T11" s="700" t="s">
        <v>14</v>
      </c>
      <c r="U11" s="701">
        <f t="shared" si="1"/>
        <v>97</v>
      </c>
      <c r="V11" s="700" t="s">
        <v>14</v>
      </c>
      <c r="W11" s="701">
        <f t="shared" si="2"/>
        <v>106</v>
      </c>
      <c r="X11" s="702"/>
      <c r="Y11" s="3688"/>
      <c r="Z11" s="52" t="str">
        <f t="shared" si="7"/>
        <v>容积率</v>
      </c>
      <c r="AA11" s="703">
        <f t="shared" si="3"/>
        <v>0.970873786407767</v>
      </c>
      <c r="AB11" s="703">
        <f t="shared" si="4"/>
        <v>1.0309278350515463</v>
      </c>
      <c r="AC11" s="703">
        <f t="shared" si="5"/>
        <v>0.94339622641509435</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48"/>
      <c r="Q12" s="1340" t="str">
        <f t="shared" si="6"/>
        <v>配建</v>
      </c>
      <c r="R12" s="700" t="s">
        <v>14</v>
      </c>
      <c r="S12" s="701">
        <f t="shared" si="0"/>
        <v>100</v>
      </c>
      <c r="T12" s="700" t="s">
        <v>14</v>
      </c>
      <c r="U12" s="701">
        <f t="shared" si="1"/>
        <v>100</v>
      </c>
      <c r="V12" s="700" t="s">
        <v>14</v>
      </c>
      <c r="W12" s="701">
        <f t="shared" si="2"/>
        <v>100</v>
      </c>
      <c r="X12" s="702"/>
      <c r="Y12" s="3688"/>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48"/>
      <c r="Q13" s="1340">
        <f t="shared" si="6"/>
        <v>111</v>
      </c>
      <c r="R13" s="700" t="s">
        <v>14</v>
      </c>
      <c r="S13" s="701">
        <f t="shared" si="0"/>
        <v>100</v>
      </c>
      <c r="T13" s="700" t="s">
        <v>14</v>
      </c>
      <c r="U13" s="701">
        <f t="shared" si="1"/>
        <v>100</v>
      </c>
      <c r="V13" s="700" t="s">
        <v>14</v>
      </c>
      <c r="W13" s="701">
        <f t="shared" si="2"/>
        <v>100</v>
      </c>
      <c r="X13" s="702"/>
      <c r="Y13" s="3688"/>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48"/>
      <c r="Q14" s="1340">
        <f t="shared" si="6"/>
        <v>111</v>
      </c>
      <c r="R14" s="700" t="s">
        <v>14</v>
      </c>
      <c r="S14" s="701">
        <f t="shared" si="0"/>
        <v>100</v>
      </c>
      <c r="T14" s="700" t="s">
        <v>14</v>
      </c>
      <c r="U14" s="701">
        <f t="shared" si="1"/>
        <v>100</v>
      </c>
      <c r="V14" s="700" t="s">
        <v>14</v>
      </c>
      <c r="W14" s="701">
        <f t="shared" si="2"/>
        <v>100</v>
      </c>
      <c r="X14" s="702"/>
      <c r="Y14" s="3688"/>
      <c r="Z14" s="52">
        <f t="shared" si="7"/>
        <v>111</v>
      </c>
      <c r="AA14" s="703">
        <f>D14/F14</f>
        <v>1</v>
      </c>
      <c r="AB14" s="703">
        <f>D14/H14</f>
        <v>1</v>
      </c>
      <c r="AC14" s="703">
        <f>D14/J14</f>
        <v>1</v>
      </c>
    </row>
    <row r="15" spans="1:30" ht="85.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750" t="s">
        <v>1688</v>
      </c>
      <c r="Q15" s="1349" t="str">
        <f t="shared" si="6"/>
        <v>居住社区成熟度</v>
      </c>
      <c r="R15" s="704" t="s">
        <v>14</v>
      </c>
      <c r="S15" s="705">
        <f t="shared" si="0"/>
        <v>100</v>
      </c>
      <c r="T15" s="704" t="s">
        <v>14</v>
      </c>
      <c r="U15" s="705">
        <f t="shared" si="1"/>
        <v>110</v>
      </c>
      <c r="V15" s="704" t="s">
        <v>14</v>
      </c>
      <c r="W15" s="705">
        <f t="shared" si="2"/>
        <v>110</v>
      </c>
      <c r="X15" s="1352"/>
      <c r="Y15" s="3750" t="s">
        <v>1688</v>
      </c>
      <c r="Z15" s="1353" t="str">
        <f t="shared" si="7"/>
        <v>居住社区成熟度</v>
      </c>
      <c r="AA15" s="1350">
        <f t="shared" si="3"/>
        <v>1</v>
      </c>
      <c r="AB15" s="1350">
        <f t="shared" si="4"/>
        <v>0.90909090909090906</v>
      </c>
      <c r="AC15" s="1350">
        <f t="shared" si="5"/>
        <v>0.90909090909090906</v>
      </c>
    </row>
    <row r="16" spans="1:30" ht="15">
      <c r="A16" s="379"/>
      <c r="B16" s="397"/>
      <c r="C16" s="398" t="s">
        <v>3867</v>
      </c>
      <c r="D16" s="399"/>
      <c r="E16" s="1894" t="s">
        <v>3867</v>
      </c>
      <c r="F16" s="399"/>
      <c r="G16" s="1894" t="s">
        <v>3883</v>
      </c>
      <c r="H16" s="401"/>
      <c r="I16" s="1893" t="s">
        <v>3883</v>
      </c>
      <c r="J16" s="399"/>
      <c r="K16" s="620"/>
      <c r="L16" s="2717"/>
      <c r="M16" s="2711"/>
      <c r="N16" s="2711"/>
      <c r="O16" s="2769"/>
      <c r="P16" s="3751"/>
      <c r="Q16" s="1349"/>
      <c r="R16" s="704"/>
      <c r="S16" s="705"/>
      <c r="T16" s="704"/>
      <c r="U16" s="705"/>
      <c r="V16" s="704"/>
      <c r="W16" s="705"/>
      <c r="X16" s="1352"/>
      <c r="Y16" s="3751"/>
      <c r="Z16" s="1353"/>
      <c r="AA16" s="1350">
        <v>1</v>
      </c>
      <c r="AB16" s="1350">
        <v>1</v>
      </c>
      <c r="AC16" s="1350">
        <v>1</v>
      </c>
    </row>
    <row r="17" spans="1:29" ht="57" hidden="1">
      <c r="A17" s="379"/>
      <c r="B17" s="402" t="s">
        <v>1774</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51"/>
      <c r="Q17" s="1349" t="str">
        <f>B17</f>
        <v>商业繁华度</v>
      </c>
      <c r="R17" s="704" t="s">
        <v>14</v>
      </c>
      <c r="S17" s="705">
        <f>F17</f>
        <v>100</v>
      </c>
      <c r="T17" s="704" t="s">
        <v>14</v>
      </c>
      <c r="U17" s="705">
        <f>H17</f>
        <v>100</v>
      </c>
      <c r="V17" s="704" t="s">
        <v>14</v>
      </c>
      <c r="W17" s="705">
        <f>J17</f>
        <v>100</v>
      </c>
      <c r="X17" s="1352"/>
      <c r="Y17" s="3751"/>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751"/>
      <c r="Q18" s="1349"/>
      <c r="R18" s="704"/>
      <c r="S18" s="705"/>
      <c r="T18" s="704"/>
      <c r="U18" s="705"/>
      <c r="V18" s="704"/>
      <c r="W18" s="705"/>
      <c r="X18" s="1352"/>
      <c r="Y18" s="3751"/>
      <c r="Z18" s="1353"/>
      <c r="AA18" s="1350">
        <v>1</v>
      </c>
      <c r="AB18" s="1350">
        <v>1</v>
      </c>
      <c r="AC18" s="1350">
        <v>1</v>
      </c>
    </row>
    <row r="19" spans="1:29" ht="71.25" hidden="1">
      <c r="A19" s="379"/>
      <c r="B19" s="402" t="s">
        <v>1808</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51"/>
      <c r="Q19" s="1349" t="str">
        <f>B19</f>
        <v>办公集聚程度</v>
      </c>
      <c r="R19" s="704" t="s">
        <v>14</v>
      </c>
      <c r="S19" s="705">
        <f>F19</f>
        <v>100</v>
      </c>
      <c r="T19" s="704" t="s">
        <v>14</v>
      </c>
      <c r="U19" s="705">
        <f>H19</f>
        <v>100</v>
      </c>
      <c r="V19" s="704" t="s">
        <v>14</v>
      </c>
      <c r="W19" s="705">
        <f>J19</f>
        <v>100</v>
      </c>
      <c r="X19" s="1352"/>
      <c r="Y19" s="3751"/>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751"/>
      <c r="Q20" s="1349"/>
      <c r="R20" s="704"/>
      <c r="S20" s="705"/>
      <c r="T20" s="704"/>
      <c r="U20" s="705"/>
      <c r="V20" s="704"/>
      <c r="W20" s="705"/>
      <c r="X20" s="1352"/>
      <c r="Y20" s="3751"/>
      <c r="Z20" s="1353"/>
      <c r="AA20" s="1350">
        <v>1</v>
      </c>
      <c r="AB20" s="1350">
        <v>1</v>
      </c>
      <c r="AC20" s="1350">
        <v>1</v>
      </c>
    </row>
    <row r="21" spans="1:29" ht="71.2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751"/>
      <c r="Q21" s="1349" t="str">
        <f>B21</f>
        <v>交通便捷度</v>
      </c>
      <c r="R21" s="704" t="s">
        <v>14</v>
      </c>
      <c r="S21" s="705">
        <f>F21</f>
        <v>100</v>
      </c>
      <c r="T21" s="704" t="s">
        <v>14</v>
      </c>
      <c r="U21" s="705">
        <f>H21</f>
        <v>103</v>
      </c>
      <c r="V21" s="704" t="s">
        <v>14</v>
      </c>
      <c r="W21" s="705">
        <f>J21</f>
        <v>103</v>
      </c>
      <c r="X21" s="1352"/>
      <c r="Y21" s="3751"/>
      <c r="Z21" s="1353" t="str">
        <f>Q21</f>
        <v>交通便捷度</v>
      </c>
      <c r="AA21" s="1350">
        <f t="shared" si="3"/>
        <v>1</v>
      </c>
      <c r="AB21" s="1350">
        <f t="shared" si="4"/>
        <v>0.970873786407767</v>
      </c>
      <c r="AC21" s="1350">
        <f t="shared" si="5"/>
        <v>0.970873786407767</v>
      </c>
    </row>
    <row r="22" spans="1:29" ht="15">
      <c r="A22" s="379"/>
      <c r="B22" s="1129"/>
      <c r="C22" s="398" t="s">
        <v>3866</v>
      </c>
      <c r="D22" s="401"/>
      <c r="E22" s="1894" t="s">
        <v>3866</v>
      </c>
      <c r="F22" s="399"/>
      <c r="G22" s="1894" t="s">
        <v>3883</v>
      </c>
      <c r="H22" s="399"/>
      <c r="I22" s="1894" t="s">
        <v>3883</v>
      </c>
      <c r="J22" s="399"/>
      <c r="K22" s="620"/>
      <c r="L22" s="2717"/>
      <c r="M22" s="2711"/>
      <c r="N22" s="2711"/>
      <c r="O22" s="2769"/>
      <c r="P22" s="3751"/>
      <c r="Q22" s="1349"/>
      <c r="R22" s="704"/>
      <c r="S22" s="705"/>
      <c r="T22" s="704"/>
      <c r="U22" s="705"/>
      <c r="V22" s="704"/>
      <c r="W22" s="705"/>
      <c r="X22" s="1352"/>
      <c r="Y22" s="3751"/>
      <c r="Z22" s="1353"/>
      <c r="AA22" s="1350">
        <v>1</v>
      </c>
      <c r="AB22" s="1350">
        <v>1</v>
      </c>
      <c r="AC22" s="1350">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751"/>
      <c r="Q23" s="1349" t="str">
        <f t="shared" ref="Q23:Q37" si="8">B23</f>
        <v>区域土地利用方向</v>
      </c>
      <c r="R23" s="704" t="s">
        <v>14</v>
      </c>
      <c r="S23" s="705">
        <f>F23</f>
        <v>100</v>
      </c>
      <c r="T23" s="704" t="s">
        <v>14</v>
      </c>
      <c r="U23" s="705">
        <f>H23</f>
        <v>100</v>
      </c>
      <c r="V23" s="704" t="s">
        <v>14</v>
      </c>
      <c r="W23" s="705">
        <f>J23</f>
        <v>100</v>
      </c>
      <c r="X23" s="1352"/>
      <c r="Y23" s="3751"/>
      <c r="Z23" s="1353" t="str">
        <f>Q23</f>
        <v>区域土地利用方向</v>
      </c>
      <c r="AA23" s="1350">
        <f t="shared" si="3"/>
        <v>1</v>
      </c>
      <c r="AB23" s="1350">
        <f t="shared" si="4"/>
        <v>1</v>
      </c>
      <c r="AC23" s="1350">
        <f t="shared" si="5"/>
        <v>1</v>
      </c>
    </row>
    <row r="24" spans="1:29" ht="15">
      <c r="A24" s="358"/>
      <c r="B24" s="407"/>
      <c r="C24" s="565" t="s">
        <v>3883</v>
      </c>
      <c r="D24" s="399"/>
      <c r="E24" s="565" t="s">
        <v>3883</v>
      </c>
      <c r="F24" s="399"/>
      <c r="G24" s="565" t="s">
        <v>3883</v>
      </c>
      <c r="H24" s="399"/>
      <c r="I24" s="565" t="s">
        <v>3883</v>
      </c>
      <c r="J24" s="399"/>
      <c r="K24" s="739"/>
      <c r="L24" s="2717"/>
      <c r="M24" s="2711"/>
      <c r="N24" s="2711"/>
      <c r="O24" s="2769"/>
      <c r="P24" s="3751"/>
      <c r="Q24" s="1349"/>
      <c r="R24" s="704"/>
      <c r="S24" s="705"/>
      <c r="T24" s="704"/>
      <c r="U24" s="705"/>
      <c r="V24" s="704"/>
      <c r="W24" s="705"/>
      <c r="X24" s="1352"/>
      <c r="Y24" s="3751"/>
      <c r="Z24" s="1353"/>
      <c r="AA24" s="1350"/>
      <c r="AB24" s="1350"/>
      <c r="AC24" s="1350"/>
    </row>
    <row r="25" spans="1:29" ht="42.75">
      <c r="A25" s="358"/>
      <c r="B25" s="1129" t="s">
        <v>1869</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751"/>
      <c r="Q25" s="1349" t="str">
        <f t="shared" si="8"/>
        <v>自然及人文环境状况</v>
      </c>
      <c r="R25" s="704" t="s">
        <v>14</v>
      </c>
      <c r="S25" s="705">
        <f>F25</f>
        <v>103</v>
      </c>
      <c r="T25" s="704" t="s">
        <v>14</v>
      </c>
      <c r="U25" s="705">
        <f>H25</f>
        <v>103</v>
      </c>
      <c r="V25" s="704" t="s">
        <v>14</v>
      </c>
      <c r="W25" s="705">
        <f>J25</f>
        <v>100</v>
      </c>
      <c r="X25" s="1352"/>
      <c r="Y25" s="3751"/>
      <c r="Z25" s="1353" t="str">
        <f>Q25</f>
        <v>自然及人文环境状况</v>
      </c>
      <c r="AA25" s="1350">
        <f t="shared" si="3"/>
        <v>0.970873786407767</v>
      </c>
      <c r="AB25" s="1350">
        <f t="shared" si="4"/>
        <v>0.970873786407767</v>
      </c>
      <c r="AC25" s="1350">
        <f t="shared" si="5"/>
        <v>1</v>
      </c>
    </row>
    <row r="26" spans="1:29" ht="15">
      <c r="A26" s="358"/>
      <c r="B26" s="407"/>
      <c r="C26" s="398" t="s">
        <v>3866</v>
      </c>
      <c r="D26" s="399"/>
      <c r="E26" s="1900" t="s">
        <v>3883</v>
      </c>
      <c r="F26" s="399"/>
      <c r="G26" s="1900" t="s">
        <v>3883</v>
      </c>
      <c r="H26" s="399"/>
      <c r="I26" s="1900" t="s">
        <v>3866</v>
      </c>
      <c r="J26" s="399"/>
      <c r="K26" s="620"/>
      <c r="L26" s="2717"/>
      <c r="M26" s="2711"/>
      <c r="N26" s="2711"/>
      <c r="O26" s="2769"/>
      <c r="P26" s="3751"/>
      <c r="Q26" s="1349"/>
      <c r="R26" s="704"/>
      <c r="S26" s="705"/>
      <c r="T26" s="704"/>
      <c r="U26" s="705"/>
      <c r="V26" s="704"/>
      <c r="W26" s="705"/>
      <c r="X26" s="1352"/>
      <c r="Y26" s="3751"/>
      <c r="Z26" s="1353"/>
      <c r="AA26" s="1350">
        <v>1</v>
      </c>
      <c r="AB26" s="1350">
        <v>1</v>
      </c>
      <c r="AC26" s="1350">
        <v>1</v>
      </c>
    </row>
    <row r="27" spans="1:29" s="108" customFormat="1" ht="42.75">
      <c r="A27" s="597"/>
      <c r="B27" s="1129"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751"/>
      <c r="Q27" s="1340" t="str">
        <f t="shared" si="8"/>
        <v>公共配套设施</v>
      </c>
      <c r="R27" s="700" t="s">
        <v>14</v>
      </c>
      <c r="S27" s="701">
        <f>F27</f>
        <v>100</v>
      </c>
      <c r="T27" s="700" t="s">
        <v>14</v>
      </c>
      <c r="U27" s="701">
        <f>H27</f>
        <v>103</v>
      </c>
      <c r="V27" s="700" t="s">
        <v>14</v>
      </c>
      <c r="W27" s="701">
        <f>J27</f>
        <v>103</v>
      </c>
      <c r="X27" s="702"/>
      <c r="Y27" s="3751"/>
      <c r="Z27" s="52" t="str">
        <f>Q27</f>
        <v>公共配套设施</v>
      </c>
      <c r="AA27" s="1350">
        <f>D27/F27</f>
        <v>1</v>
      </c>
      <c r="AB27" s="1350">
        <f>D27/H27</f>
        <v>0.970873786407767</v>
      </c>
      <c r="AC27" s="1350">
        <f>D27/J27</f>
        <v>0.970873786407767</v>
      </c>
    </row>
    <row r="28" spans="1:29" s="108" customFormat="1" ht="15">
      <c r="A28" s="597"/>
      <c r="B28" s="407"/>
      <c r="C28" s="1973" t="s">
        <v>3866</v>
      </c>
      <c r="D28" s="399"/>
      <c r="E28" s="1973" t="s">
        <v>3866</v>
      </c>
      <c r="F28" s="399"/>
      <c r="G28" s="1900" t="s">
        <v>3883</v>
      </c>
      <c r="H28" s="399"/>
      <c r="I28" s="1900" t="s">
        <v>3883</v>
      </c>
      <c r="J28" s="399"/>
      <c r="K28" s="620"/>
      <c r="L28" s="2712"/>
      <c r="M28" s="2713"/>
      <c r="N28" s="2713"/>
      <c r="O28" s="2767"/>
      <c r="P28" s="3751"/>
      <c r="Q28" s="1340"/>
      <c r="R28" s="700"/>
      <c r="S28" s="701"/>
      <c r="T28" s="700"/>
      <c r="U28" s="701"/>
      <c r="V28" s="700"/>
      <c r="W28" s="701"/>
      <c r="X28" s="702"/>
      <c r="Y28" s="3751"/>
      <c r="Z28" s="52"/>
      <c r="AA28" s="1350">
        <v>1</v>
      </c>
      <c r="AB28" s="1350">
        <v>1</v>
      </c>
      <c r="AC28" s="1350">
        <v>1</v>
      </c>
    </row>
    <row r="29" spans="1:29" s="108" customFormat="1" ht="28.5">
      <c r="A29" s="597"/>
      <c r="B29" s="1129"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51"/>
      <c r="Q29" s="1340" t="str">
        <f t="shared" ref="Q29" si="9">B29</f>
        <v>基础设施水平</v>
      </c>
      <c r="R29" s="700" t="s">
        <v>14</v>
      </c>
      <c r="S29" s="701">
        <f>F29</f>
        <v>100</v>
      </c>
      <c r="T29" s="700" t="s">
        <v>14</v>
      </c>
      <c r="U29" s="701">
        <f>H29</f>
        <v>100</v>
      </c>
      <c r="V29" s="700" t="s">
        <v>14</v>
      </c>
      <c r="W29" s="701">
        <f>J29</f>
        <v>100</v>
      </c>
      <c r="X29" s="702"/>
      <c r="Y29" s="3751"/>
      <c r="Z29" s="52" t="str">
        <f>Q29</f>
        <v>基础设施水平</v>
      </c>
      <c r="AA29" s="1350">
        <f>D29/F29</f>
        <v>1</v>
      </c>
      <c r="AB29" s="1350">
        <f>D29/H29</f>
        <v>1</v>
      </c>
      <c r="AC29" s="1350">
        <f>D29/J29</f>
        <v>1</v>
      </c>
    </row>
    <row r="30" spans="1:29" s="108" customFormat="1" ht="15">
      <c r="A30" s="597"/>
      <c r="B30" s="407"/>
      <c r="C30" s="1973" t="s">
        <v>3868</v>
      </c>
      <c r="D30" s="399"/>
      <c r="E30" s="1973" t="s">
        <v>3868</v>
      </c>
      <c r="F30" s="399"/>
      <c r="G30" s="1973" t="s">
        <v>3868</v>
      </c>
      <c r="H30" s="399"/>
      <c r="I30" s="1973" t="s">
        <v>3868</v>
      </c>
      <c r="J30" s="399"/>
      <c r="K30" s="620"/>
      <c r="L30" s="2712"/>
      <c r="M30" s="2713"/>
      <c r="N30" s="2713"/>
      <c r="O30" s="2767"/>
      <c r="P30" s="3751"/>
      <c r="Q30" s="1340"/>
      <c r="R30" s="700"/>
      <c r="S30" s="701"/>
      <c r="T30" s="700"/>
      <c r="U30" s="701"/>
      <c r="V30" s="700"/>
      <c r="W30" s="701"/>
      <c r="X30" s="702"/>
      <c r="Y30" s="3751"/>
      <c r="Z30" s="52"/>
      <c r="AA30" s="1350">
        <v>1</v>
      </c>
      <c r="AB30" s="1350">
        <v>1</v>
      </c>
      <c r="AC30" s="1350">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51"/>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51"/>
      <c r="Z31" s="1353" t="str">
        <f t="shared" ref="Z31:Z45" si="13">Q31</f>
        <v>临街状况</v>
      </c>
      <c r="AA31" s="1350">
        <f t="shared" si="3"/>
        <v>1</v>
      </c>
      <c r="AB31" s="1350">
        <f t="shared" si="4"/>
        <v>1</v>
      </c>
      <c r="AC31" s="1350">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51"/>
      <c r="Q32" s="1349" t="str">
        <f t="shared" si="8"/>
        <v>毗邻道路的类型与等级</v>
      </c>
      <c r="R32" s="704" t="s">
        <v>14</v>
      </c>
      <c r="S32" s="705">
        <f t="shared" si="10"/>
        <v>100</v>
      </c>
      <c r="T32" s="704" t="s">
        <v>14</v>
      </c>
      <c r="U32" s="705">
        <f t="shared" si="11"/>
        <v>100</v>
      </c>
      <c r="V32" s="704" t="s">
        <v>14</v>
      </c>
      <c r="W32" s="705">
        <f t="shared" si="12"/>
        <v>100</v>
      </c>
      <c r="X32" s="1352"/>
      <c r="Y32" s="3751"/>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751"/>
      <c r="Q33" s="1349"/>
      <c r="R33" s="704"/>
      <c r="S33" s="705"/>
      <c r="T33" s="704"/>
      <c r="U33" s="705"/>
      <c r="V33" s="704"/>
      <c r="W33" s="705"/>
      <c r="X33" s="1352"/>
      <c r="Y33" s="3751"/>
      <c r="Z33" s="1353"/>
      <c r="AA33" s="1350">
        <v>1</v>
      </c>
      <c r="AB33" s="1350">
        <v>1</v>
      </c>
      <c r="AC33" s="1350">
        <v>1</v>
      </c>
    </row>
    <row r="34" spans="1:29" ht="15">
      <c r="A34" s="379"/>
      <c r="B34" s="375" t="s">
        <v>1870</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751"/>
      <c r="Q34" s="1349" t="str">
        <f t="shared" si="8"/>
        <v>土地级别</v>
      </c>
      <c r="R34" s="704" t="s">
        <v>14</v>
      </c>
      <c r="S34" s="705">
        <f t="shared" si="10"/>
        <v>102</v>
      </c>
      <c r="T34" s="704" t="s">
        <v>14</v>
      </c>
      <c r="U34" s="705">
        <f t="shared" si="11"/>
        <v>104</v>
      </c>
      <c r="V34" s="704" t="s">
        <v>14</v>
      </c>
      <c r="W34" s="705">
        <f t="shared" si="12"/>
        <v>104</v>
      </c>
      <c r="X34" s="1352"/>
      <c r="Y34" s="3751"/>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51"/>
      <c r="Q35" s="1349">
        <f t="shared" si="8"/>
        <v>111</v>
      </c>
      <c r="R35" s="704" t="s">
        <v>14</v>
      </c>
      <c r="S35" s="705">
        <f t="shared" si="10"/>
        <v>100</v>
      </c>
      <c r="T35" s="704" t="s">
        <v>14</v>
      </c>
      <c r="U35" s="705">
        <f t="shared" si="11"/>
        <v>100</v>
      </c>
      <c r="V35" s="704" t="s">
        <v>14</v>
      </c>
      <c r="W35" s="705">
        <f t="shared" si="12"/>
        <v>100</v>
      </c>
      <c r="X35" s="1352"/>
      <c r="Y35" s="3751"/>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3" t="s">
        <v>1693</v>
      </c>
      <c r="Q36" s="1349">
        <f t="shared" si="8"/>
        <v>111</v>
      </c>
      <c r="R36" s="704" t="s">
        <v>14</v>
      </c>
      <c r="S36" s="705">
        <f t="shared" si="10"/>
        <v>100</v>
      </c>
      <c r="T36" s="704" t="s">
        <v>14</v>
      </c>
      <c r="U36" s="705">
        <f t="shared" si="11"/>
        <v>100</v>
      </c>
      <c r="V36" s="704" t="s">
        <v>14</v>
      </c>
      <c r="W36" s="705">
        <f t="shared" si="12"/>
        <v>100</v>
      </c>
      <c r="X36" s="1352"/>
      <c r="Y36" s="3755" t="s">
        <v>1693</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55"/>
      <c r="Q37" s="1349">
        <f t="shared" si="8"/>
        <v>111</v>
      </c>
      <c r="R37" s="707" t="s">
        <v>14</v>
      </c>
      <c r="S37" s="708">
        <f t="shared" si="10"/>
        <v>100</v>
      </c>
      <c r="T37" s="707" t="s">
        <v>14</v>
      </c>
      <c r="U37" s="708">
        <f t="shared" si="11"/>
        <v>100</v>
      </c>
      <c r="V37" s="707" t="s">
        <v>14</v>
      </c>
      <c r="W37" s="708">
        <f t="shared" si="12"/>
        <v>100</v>
      </c>
      <c r="X37" s="709"/>
      <c r="Y37" s="3755"/>
      <c r="Z37" s="710">
        <f t="shared" si="13"/>
        <v>111</v>
      </c>
      <c r="AA37" s="1350">
        <f t="shared" si="3"/>
        <v>1</v>
      </c>
      <c r="AB37" s="1350">
        <f t="shared" si="4"/>
        <v>1</v>
      </c>
      <c r="AC37" s="1350">
        <f t="shared" si="5"/>
        <v>1</v>
      </c>
    </row>
    <row r="38" spans="1:29" ht="15">
      <c r="A38" s="423" t="s">
        <v>1691</v>
      </c>
      <c r="B38" s="407" t="s">
        <v>1871</v>
      </c>
      <c r="C38" s="627">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755"/>
      <c r="Q38" s="1349" t="str">
        <f>B38</f>
        <v>宗地面积</v>
      </c>
      <c r="R38" s="704" t="s">
        <v>14</v>
      </c>
      <c r="S38" s="705">
        <f t="shared" si="10"/>
        <v>99</v>
      </c>
      <c r="T38" s="704" t="s">
        <v>14</v>
      </c>
      <c r="U38" s="705">
        <f t="shared" si="11"/>
        <v>99</v>
      </c>
      <c r="V38" s="704" t="s">
        <v>14</v>
      </c>
      <c r="W38" s="705">
        <f t="shared" si="12"/>
        <v>99</v>
      </c>
      <c r="X38" s="1352"/>
      <c r="Y38" s="3755"/>
      <c r="Z38" s="1353" t="str">
        <f t="shared" si="13"/>
        <v>宗地面积</v>
      </c>
      <c r="AA38" s="1350">
        <f t="shared" si="3"/>
        <v>1.0101010101010102</v>
      </c>
      <c r="AB38" s="1350">
        <f t="shared" si="4"/>
        <v>1.0101010101010102</v>
      </c>
      <c r="AC38" s="1350">
        <f t="shared" si="5"/>
        <v>1.0101010101010102</v>
      </c>
    </row>
    <row r="39" spans="1:29" ht="15">
      <c r="A39" s="423"/>
      <c r="B39" s="375" t="s">
        <v>1872</v>
      </c>
      <c r="C39" s="1902" t="s">
        <v>4053</v>
      </c>
      <c r="D39" s="386">
        <v>100</v>
      </c>
      <c r="E39" s="1902" t="s">
        <v>4053</v>
      </c>
      <c r="F39" s="386">
        <f>SUMIF(118:118,E39,119:119)-SUMIF(118:118,C39,119:119)+100</f>
        <v>100</v>
      </c>
      <c r="G39" s="1902" t="s">
        <v>4053</v>
      </c>
      <c r="H39" s="386">
        <f>SUMIF(118:118,G39,119:119)-SUMIF(118:118,C39,119:119)+100</f>
        <v>100</v>
      </c>
      <c r="I39" s="1902" t="s">
        <v>4053</v>
      </c>
      <c r="J39" s="386">
        <f>SUMIF(118:118,I39,119:119)-SUMIF(118:118,C39,119:119)+100</f>
        <v>100</v>
      </c>
      <c r="K39" s="561">
        <v>2</v>
      </c>
      <c r="L39" s="2717"/>
      <c r="M39" s="2711"/>
      <c r="N39" s="2711"/>
      <c r="O39" s="2769"/>
      <c r="P39" s="3755"/>
      <c r="Q39" s="1349" t="str">
        <f t="shared" ref="Q39:Q45" si="14">B39</f>
        <v>宗地形状</v>
      </c>
      <c r="R39" s="704" t="s">
        <v>14</v>
      </c>
      <c r="S39" s="705">
        <f t="shared" si="10"/>
        <v>100</v>
      </c>
      <c r="T39" s="704" t="s">
        <v>14</v>
      </c>
      <c r="U39" s="705">
        <f t="shared" si="11"/>
        <v>100</v>
      </c>
      <c r="V39" s="704" t="s">
        <v>14</v>
      </c>
      <c r="W39" s="705">
        <f t="shared" si="12"/>
        <v>100</v>
      </c>
      <c r="X39" s="1352"/>
      <c r="Y39" s="3755"/>
      <c r="Z39" s="1353" t="str">
        <f t="shared" si="13"/>
        <v>宗地形状</v>
      </c>
      <c r="AA39" s="1350">
        <f t="shared" si="3"/>
        <v>1</v>
      </c>
      <c r="AB39" s="1350">
        <f t="shared" si="4"/>
        <v>1</v>
      </c>
      <c r="AC39" s="1350">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55"/>
      <c r="Q40" s="1349" t="str">
        <f t="shared" si="14"/>
        <v>临街宽度及深度</v>
      </c>
      <c r="R40" s="704" t="s">
        <v>14</v>
      </c>
      <c r="S40" s="705">
        <f t="shared" si="10"/>
        <v>100</v>
      </c>
      <c r="T40" s="704" t="s">
        <v>14</v>
      </c>
      <c r="U40" s="705">
        <f t="shared" si="11"/>
        <v>100</v>
      </c>
      <c r="V40" s="704" t="s">
        <v>14</v>
      </c>
      <c r="W40" s="705">
        <f t="shared" si="12"/>
        <v>100</v>
      </c>
      <c r="X40" s="1352"/>
      <c r="Y40" s="3755"/>
      <c r="Z40" s="1353" t="str">
        <f t="shared" si="13"/>
        <v>临街宽度及深度</v>
      </c>
      <c r="AA40" s="1350">
        <f t="shared" si="3"/>
        <v>1</v>
      </c>
      <c r="AB40" s="1350">
        <f t="shared" si="4"/>
        <v>1</v>
      </c>
      <c r="AC40" s="1350">
        <f t="shared" si="5"/>
        <v>1</v>
      </c>
    </row>
    <row r="41" spans="1:29" s="108" customFormat="1" ht="15">
      <c r="A41" s="424"/>
      <c r="B41" s="375" t="s">
        <v>1874</v>
      </c>
      <c r="C41" s="1975" t="s">
        <v>3868</v>
      </c>
      <c r="D41" s="127">
        <v>100</v>
      </c>
      <c r="E41" s="1975" t="s">
        <v>4058</v>
      </c>
      <c r="F41" s="386">
        <f>SUMIF(122:122,E41,123:123)-SUMIF(122:122,C41,123:123)+100</f>
        <v>99</v>
      </c>
      <c r="G41" s="1975" t="s">
        <v>4058</v>
      </c>
      <c r="H41" s="386">
        <f>SUMIF(122:122,G41,123:123)-SUMIF(122:122,C41,123:123)+100</f>
        <v>99</v>
      </c>
      <c r="I41" s="1975" t="s">
        <v>4060</v>
      </c>
      <c r="J41" s="386">
        <f>SUMIF(122:122,I41,123:123)-SUMIF(122:122,C41,123:123)+100</f>
        <v>98</v>
      </c>
      <c r="K41" s="561">
        <v>1</v>
      </c>
      <c r="L41" s="2712"/>
      <c r="M41" s="2713"/>
      <c r="N41" s="2713"/>
      <c r="O41" s="2767"/>
      <c r="P41" s="3755"/>
      <c r="Q41" s="1349" t="str">
        <f t="shared" si="14"/>
        <v>宗地开发程度</v>
      </c>
      <c r="R41" s="700" t="s">
        <v>14</v>
      </c>
      <c r="S41" s="701">
        <f t="shared" si="10"/>
        <v>99</v>
      </c>
      <c r="T41" s="700" t="s">
        <v>14</v>
      </c>
      <c r="U41" s="701">
        <f t="shared" si="11"/>
        <v>99</v>
      </c>
      <c r="V41" s="700" t="s">
        <v>14</v>
      </c>
      <c r="W41" s="701">
        <f t="shared" si="12"/>
        <v>98</v>
      </c>
      <c r="X41" s="702"/>
      <c r="Y41" s="3755"/>
      <c r="Z41" s="52" t="str">
        <f t="shared" si="13"/>
        <v>宗地开发程度</v>
      </c>
      <c r="AA41" s="703">
        <f t="shared" si="3"/>
        <v>1.0101010101010102</v>
      </c>
      <c r="AB41" s="703">
        <f t="shared" si="4"/>
        <v>1.0101010101010102</v>
      </c>
      <c r="AC41" s="703">
        <f t="shared" si="5"/>
        <v>1.0204081632653061</v>
      </c>
    </row>
    <row r="42" spans="1:29" ht="15">
      <c r="A42" s="423"/>
      <c r="B42" s="375" t="s">
        <v>1875</v>
      </c>
      <c r="C42" s="1902" t="s">
        <v>3883</v>
      </c>
      <c r="D42" s="386">
        <v>100</v>
      </c>
      <c r="E42" s="1902" t="s">
        <v>3883</v>
      </c>
      <c r="F42" s="386">
        <f>SUMIF(124:124,E42,125:125)-SUMIF(124:124,C42,125:125)+100</f>
        <v>100</v>
      </c>
      <c r="G42" s="1902" t="s">
        <v>3883</v>
      </c>
      <c r="H42" s="386">
        <f>SUMIF(124:124,G42,125:125)-SUMIF(124:124,C42,125:125)+100</f>
        <v>100</v>
      </c>
      <c r="I42" s="1902" t="s">
        <v>3883</v>
      </c>
      <c r="J42" s="386">
        <f>SUMIF(124:124,I42,125:125)-SUMIF(124:124,C42,125:125)+100</f>
        <v>100</v>
      </c>
      <c r="K42" s="561">
        <v>2</v>
      </c>
      <c r="L42" s="2717"/>
      <c r="M42" s="2711"/>
      <c r="N42" s="2711"/>
      <c r="O42" s="2769"/>
      <c r="P42" s="3755" t="s">
        <v>1693</v>
      </c>
      <c r="Q42" s="1349" t="str">
        <f t="shared" si="14"/>
        <v>工程地质条件</v>
      </c>
      <c r="R42" s="704" t="s">
        <v>14</v>
      </c>
      <c r="S42" s="705">
        <f t="shared" si="10"/>
        <v>100</v>
      </c>
      <c r="T42" s="704" t="s">
        <v>14</v>
      </c>
      <c r="U42" s="705">
        <f t="shared" si="11"/>
        <v>100</v>
      </c>
      <c r="V42" s="704" t="s">
        <v>14</v>
      </c>
      <c r="W42" s="705">
        <f t="shared" si="12"/>
        <v>100</v>
      </c>
      <c r="X42" s="1352"/>
      <c r="Y42" s="3755" t="s">
        <v>1693</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55"/>
      <c r="Q43" s="1349">
        <f t="shared" si="14"/>
        <v>111</v>
      </c>
      <c r="R43" s="704" t="s">
        <v>14</v>
      </c>
      <c r="S43" s="705">
        <f t="shared" si="10"/>
        <v>100</v>
      </c>
      <c r="T43" s="704" t="s">
        <v>14</v>
      </c>
      <c r="U43" s="705">
        <f t="shared" si="11"/>
        <v>100</v>
      </c>
      <c r="V43" s="704" t="s">
        <v>14</v>
      </c>
      <c r="W43" s="705">
        <f t="shared" si="12"/>
        <v>100</v>
      </c>
      <c r="X43" s="1352"/>
      <c r="Y43" s="3755"/>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55"/>
      <c r="Q44" s="1349">
        <f t="shared" si="14"/>
        <v>111</v>
      </c>
      <c r="R44" s="704" t="s">
        <v>14</v>
      </c>
      <c r="S44" s="705">
        <f t="shared" si="10"/>
        <v>100</v>
      </c>
      <c r="T44" s="704" t="s">
        <v>14</v>
      </c>
      <c r="U44" s="705">
        <f t="shared" si="11"/>
        <v>100</v>
      </c>
      <c r="V44" s="704" t="s">
        <v>14</v>
      </c>
      <c r="W44" s="705">
        <f t="shared" si="12"/>
        <v>100</v>
      </c>
      <c r="X44" s="1352"/>
      <c r="Y44" s="3755"/>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55"/>
      <c r="Q45" s="1349">
        <f t="shared" si="14"/>
        <v>111</v>
      </c>
      <c r="R45" s="707" t="s">
        <v>14</v>
      </c>
      <c r="S45" s="708">
        <f t="shared" si="10"/>
        <v>100</v>
      </c>
      <c r="T45" s="707" t="s">
        <v>14</v>
      </c>
      <c r="U45" s="708">
        <f t="shared" si="11"/>
        <v>100</v>
      </c>
      <c r="V45" s="707" t="s">
        <v>14</v>
      </c>
      <c r="W45" s="708">
        <f t="shared" si="12"/>
        <v>100</v>
      </c>
      <c r="X45" s="709"/>
      <c r="Y45" s="3755"/>
      <c r="Z45" s="710">
        <f t="shared" si="13"/>
        <v>111</v>
      </c>
      <c r="AA45" s="1350">
        <f t="shared" si="3"/>
        <v>1</v>
      </c>
      <c r="AB45" s="1350">
        <f t="shared" si="4"/>
        <v>1</v>
      </c>
      <c r="AC45" s="1350">
        <f t="shared" si="5"/>
        <v>1</v>
      </c>
    </row>
    <row r="46" spans="1:29" ht="15">
      <c r="A46" s="430" t="s">
        <v>1841</v>
      </c>
      <c r="B46" s="1977" t="s">
        <v>1876</v>
      </c>
      <c r="C46" s="630" t="s">
        <v>0</v>
      </c>
      <c r="D46" s="432"/>
      <c r="E46" s="433">
        <v>22464</v>
      </c>
      <c r="F46" s="434"/>
      <c r="G46" s="435">
        <v>22029</v>
      </c>
      <c r="H46" s="436"/>
      <c r="I46" s="433">
        <v>24530</v>
      </c>
      <c r="J46" s="436"/>
      <c r="K46" s="713"/>
      <c r="L46" s="2719"/>
      <c r="M46" s="2720"/>
      <c r="N46" s="2711"/>
      <c r="O46" s="2720"/>
      <c r="P46" s="3748" t="str">
        <f>A46</f>
        <v>成交单价</v>
      </c>
      <c r="Q46" s="3748"/>
      <c r="R46" s="3743">
        <f>E46</f>
        <v>22464</v>
      </c>
      <c r="S46" s="3743"/>
      <c r="T46" s="3743">
        <f>G46</f>
        <v>22029</v>
      </c>
      <c r="U46" s="3743"/>
      <c r="V46" s="3743">
        <f>I46</f>
        <v>24530</v>
      </c>
      <c r="W46" s="3743"/>
      <c r="X46" s="689"/>
      <c r="Y46" s="711"/>
      <c r="Z46" s="689"/>
      <c r="AA46" s="689"/>
      <c r="AB46" s="689"/>
      <c r="AC46" s="689"/>
    </row>
    <row r="47" spans="1:29" ht="15.75" thickBot="1">
      <c r="A47" s="437" t="s">
        <v>1790</v>
      </c>
      <c r="B47" s="631"/>
      <c r="C47" s="440">
        <f>R48</f>
        <v>19890</v>
      </c>
      <c r="D47" s="2312" t="s">
        <v>2134</v>
      </c>
      <c r="E47" s="440">
        <f>R47</f>
        <v>21183</v>
      </c>
      <c r="F47" s="2313"/>
      <c r="G47" s="439">
        <f>T47</f>
        <v>18632</v>
      </c>
      <c r="H47" s="2313"/>
      <c r="I47" s="440">
        <f>V47</f>
        <v>19856</v>
      </c>
      <c r="J47" s="2313"/>
      <c r="K47" s="2315">
        <f>F47+H47+J47</f>
        <v>0</v>
      </c>
      <c r="L47" s="2719"/>
      <c r="M47" s="2720"/>
      <c r="N47" s="2720"/>
      <c r="O47" s="2720"/>
      <c r="P47" s="3748" t="str">
        <f>A47</f>
        <v>比较价值（元/平方米）</v>
      </c>
      <c r="Q47" s="3748"/>
      <c r="R47" s="3764">
        <f>ROUND(PRODUCT(R46,AA7:AA45),0)</f>
        <v>21183</v>
      </c>
      <c r="S47" s="3764"/>
      <c r="T47" s="3764">
        <f>ROUND(PRODUCT(T46,AB7:AB45),0)</f>
        <v>18632</v>
      </c>
      <c r="U47" s="3764"/>
      <c r="V47" s="3764">
        <f>ROUND(PRODUCT(V46,AC7:AC45),0)</f>
        <v>19856</v>
      </c>
      <c r="W47" s="3764"/>
      <c r="X47" s="689"/>
      <c r="Y47" s="689"/>
      <c r="Z47" s="689"/>
      <c r="AA47" s="689"/>
      <c r="AB47" s="689"/>
      <c r="AC47" s="689"/>
    </row>
    <row r="48" spans="1:29" ht="15.75" thickBot="1">
      <c r="A48" s="441" t="s">
        <v>1877</v>
      </c>
      <c r="B48" s="442"/>
      <c r="C48" s="443">
        <f>R48</f>
        <v>19890</v>
      </c>
      <c r="D48" s="443"/>
      <c r="E48" s="443"/>
      <c r="F48" s="443"/>
      <c r="G48" s="443"/>
      <c r="H48" s="443"/>
      <c r="I48" s="443"/>
      <c r="J48" s="443"/>
      <c r="K48" s="714"/>
      <c r="L48" s="2719"/>
      <c r="M48" s="2720"/>
      <c r="N48" s="2720"/>
      <c r="O48" s="2720"/>
      <c r="P48" s="3745" t="str">
        <f>A48</f>
        <v>估价对象XX用房的比较价值（楼面单价，元/平方米）</v>
      </c>
      <c r="Q48" s="3746"/>
      <c r="R48" s="3765">
        <f>ROUND(IF(D47="简单平均",AVERAGE(R47:W47),R47*F47+T47*H47+V47*J47),0)</f>
        <v>19890</v>
      </c>
      <c r="S48" s="3765"/>
      <c r="T48" s="3765"/>
      <c r="U48" s="3765"/>
      <c r="V48" s="3765"/>
      <c r="W48" s="3765"/>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1792</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1793</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1794</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1878</v>
      </c>
      <c r="B55" s="633" t="s">
        <v>1879</v>
      </c>
      <c r="C55" s="1978" t="s">
        <v>1880</v>
      </c>
      <c r="D55" s="1979" t="s">
        <v>1881</v>
      </c>
      <c r="E55" s="634" t="s">
        <v>1882</v>
      </c>
      <c r="F55" s="889" t="s">
        <v>1883</v>
      </c>
      <c r="G55" s="3731" t="s">
        <v>1884</v>
      </c>
      <c r="H55" s="3766"/>
      <c r="I55" s="135" t="s">
        <v>1885</v>
      </c>
      <c r="J55" s="1980">
        <f>项目基本情况!F35</f>
        <v>0</v>
      </c>
      <c r="K55" s="1981" t="s">
        <v>1886</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1887</v>
      </c>
      <c r="B56" s="637">
        <f>C48</f>
        <v>19890</v>
      </c>
      <c r="C56" s="638">
        <v>1</v>
      </c>
      <c r="D56" s="943">
        <v>1</v>
      </c>
      <c r="E56" s="638">
        <f>'数据-汇总表'!E8+'数据-汇总表'!E9</f>
        <v>86.99</v>
      </c>
      <c r="F56" s="885">
        <f t="shared" ref="F56:F64" si="15">ROUND(B56*E56/10000,0)</f>
        <v>173</v>
      </c>
      <c r="G56" s="3730"/>
      <c r="H56" s="3748"/>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1888</v>
      </c>
      <c r="B57" s="218">
        <f>ROUND($C$48*C57*D57,0)</f>
        <v>0</v>
      </c>
      <c r="C57" s="171">
        <f t="shared" ref="C57:C64" si="16">IF($C$55="北京市系数",I57,J57)</f>
        <v>0</v>
      </c>
      <c r="D57" s="944">
        <v>0.25</v>
      </c>
      <c r="E57" s="642"/>
      <c r="F57" s="885">
        <f t="shared" si="15"/>
        <v>0</v>
      </c>
      <c r="G57" s="3001" t="s">
        <v>1889</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1890</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1891</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1892</v>
      </c>
      <c r="B60" s="218">
        <f t="shared" si="17"/>
        <v>0</v>
      </c>
      <c r="C60" s="171">
        <f t="shared" si="16"/>
        <v>0</v>
      </c>
      <c r="D60" s="944">
        <v>0.25</v>
      </c>
      <c r="E60" s="217">
        <f>'数据-汇总表'!E11</f>
        <v>0</v>
      </c>
      <c r="F60" s="885">
        <f t="shared" si="15"/>
        <v>0</v>
      </c>
      <c r="G60" s="1982" t="s">
        <v>1893</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1894</v>
      </c>
      <c r="B61" s="218">
        <f t="shared" si="17"/>
        <v>0</v>
      </c>
      <c r="C61" s="171">
        <f t="shared" si="16"/>
        <v>0</v>
      </c>
      <c r="D61" s="944">
        <v>0.25</v>
      </c>
      <c r="E61" s="217">
        <f>'数据-汇总表'!E12</f>
        <v>0</v>
      </c>
      <c r="F61" s="885">
        <f t="shared" si="15"/>
        <v>0</v>
      </c>
      <c r="G61" s="891" t="s">
        <v>1895</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1896</v>
      </c>
      <c r="B62" s="218">
        <f t="shared" si="17"/>
        <v>497</v>
      </c>
      <c r="C62" s="171">
        <f t="shared" si="16"/>
        <v>0.1</v>
      </c>
      <c r="D62" s="944">
        <v>0.25</v>
      </c>
      <c r="E62" s="217">
        <f>'数据-汇总表'!E13</f>
        <v>29.05</v>
      </c>
      <c r="F62" s="885">
        <f t="shared" si="15"/>
        <v>1</v>
      </c>
      <c r="G62" s="891" t="s">
        <v>1897</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1898</v>
      </c>
      <c r="B63" s="218">
        <f t="shared" si="17"/>
        <v>0</v>
      </c>
      <c r="C63" s="171">
        <f t="shared" si="16"/>
        <v>0</v>
      </c>
      <c r="D63" s="944">
        <v>0.25</v>
      </c>
      <c r="E63" s="217">
        <f>'数据-汇总表'!E14</f>
        <v>0</v>
      </c>
      <c r="F63" s="885">
        <f t="shared" si="15"/>
        <v>0</v>
      </c>
      <c r="G63" s="1982" t="s">
        <v>1889</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1899</v>
      </c>
      <c r="B64" s="218">
        <f t="shared" si="17"/>
        <v>0</v>
      </c>
      <c r="C64" s="171">
        <f t="shared" si="16"/>
        <v>0</v>
      </c>
      <c r="D64" s="944">
        <v>0.25</v>
      </c>
      <c r="E64" s="217">
        <f>'数据-汇总表'!E15</f>
        <v>0</v>
      </c>
      <c r="F64" s="885">
        <f t="shared" si="15"/>
        <v>0</v>
      </c>
      <c r="G64" s="1983" t="s">
        <v>1893</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1900</v>
      </c>
      <c r="B65" s="644" t="s">
        <v>22</v>
      </c>
      <c r="C65" s="644" t="s">
        <v>23</v>
      </c>
      <c r="D65" s="644" t="s">
        <v>392</v>
      </c>
      <c r="E65" s="644">
        <f>IF(B46="楼面地价",SUM(E56:E64),'数据-汇总表'!D3)</f>
        <v>116.03999999999999</v>
      </c>
      <c r="F65" s="645">
        <f>IF(B46="楼面地价",SUM(F56:F64),ROUND(C48*E65/10000,0))</f>
        <v>174</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1795</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1901</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1902</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1713</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1678</v>
      </c>
      <c r="B72" s="459"/>
      <c r="C72" s="471" t="s">
        <v>1773</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1716</v>
      </c>
      <c r="B74" s="477" t="s">
        <v>1682</v>
      </c>
      <c r="C74" s="3505" t="s">
        <v>4040</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1685</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1686</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1687</v>
      </c>
      <c r="B87" s="477" t="s">
        <v>1717</v>
      </c>
      <c r="C87" s="522" t="s">
        <v>1718</v>
      </c>
      <c r="D87" s="522" t="s">
        <v>1719</v>
      </c>
      <c r="E87" s="522" t="s">
        <v>1720</v>
      </c>
      <c r="F87" s="522" t="s">
        <v>1721</v>
      </c>
      <c r="G87" s="522" t="s">
        <v>1722</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1903</v>
      </c>
      <c r="C89" s="527" t="s">
        <v>1718</v>
      </c>
      <c r="D89" s="527" t="s">
        <v>1719</v>
      </c>
      <c r="E89" s="527" t="s">
        <v>1720</v>
      </c>
      <c r="F89" s="527" t="s">
        <v>1721</v>
      </c>
      <c r="G89" s="527" t="s">
        <v>1722</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1818</v>
      </c>
      <c r="C91" s="527" t="s">
        <v>1718</v>
      </c>
      <c r="D91" s="527" t="s">
        <v>1719</v>
      </c>
      <c r="E91" s="527" t="s">
        <v>1720</v>
      </c>
      <c r="F91" s="527" t="s">
        <v>1721</v>
      </c>
      <c r="G91" s="527" t="s">
        <v>1722</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1723</v>
      </c>
      <c r="C93" s="527" t="s">
        <v>1718</v>
      </c>
      <c r="D93" s="527" t="s">
        <v>1719</v>
      </c>
      <c r="E93" s="527" t="s">
        <v>1720</v>
      </c>
      <c r="F93" s="527" t="s">
        <v>1721</v>
      </c>
      <c r="G93" s="527" t="s">
        <v>1722</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1812</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1870</v>
      </c>
      <c r="C107" s="3507" t="s">
        <v>4049</v>
      </c>
      <c r="D107" s="3507" t="s">
        <v>4050</v>
      </c>
      <c r="E107" s="3507" t="s">
        <v>4051</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1691</v>
      </c>
      <c r="B115" s="477" t="s">
        <v>1910</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1911</v>
      </c>
      <c r="C118" s="3507" t="s">
        <v>4052</v>
      </c>
      <c r="D118" s="3507" t="s">
        <v>4054</v>
      </c>
      <c r="E118" s="3507" t="s">
        <v>4055</v>
      </c>
      <c r="F118" s="3507" t="s">
        <v>4056</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1912</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1913</v>
      </c>
      <c r="C122" s="3506" t="s">
        <v>4057</v>
      </c>
      <c r="D122" s="3506" t="s">
        <v>4059</v>
      </c>
      <c r="E122" s="3506" t="s">
        <v>4061</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1914</v>
      </c>
      <c r="C124" s="3506" t="s">
        <v>4062</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59" priority="18" stopIfTrue="1" operator="containsText" text="超过">
      <formula>NOT(ISERROR(SEARCH("超过",F51)))</formula>
    </cfRule>
  </conditionalFormatting>
  <conditionalFormatting sqref="J53">
    <cfRule type="containsText" dxfId="158" priority="17" stopIfTrue="1" operator="containsText" text="超过">
      <formula>NOT(ISERROR(SEARCH("超过",J53)))</formula>
    </cfRule>
  </conditionalFormatting>
  <conditionalFormatting sqref="H53">
    <cfRule type="containsText" dxfId="157" priority="16" stopIfTrue="1" operator="containsText" text="超过">
      <formula>NOT(ISERROR(SEARCH("超过",H53)))</formula>
    </cfRule>
  </conditionalFormatting>
  <conditionalFormatting sqref="F53">
    <cfRule type="containsText" dxfId="156" priority="15" stopIfTrue="1" operator="containsText" text="超过">
      <formula>NOT(ISERROR(SEARCH("超过",F53)))</formula>
    </cfRule>
  </conditionalFormatting>
  <conditionalFormatting sqref="F52 H52 J52">
    <cfRule type="containsText" dxfId="155" priority="14" stopIfTrue="1" operator="containsText" text="超过">
      <formula>NOT(ISERROR(SEARCH("超过",F52)))</formula>
    </cfRule>
  </conditionalFormatting>
  <conditionalFormatting sqref="E51">
    <cfRule type="expression" dxfId="154" priority="13" stopIfTrue="1">
      <formula>$F$51="超过30%"</formula>
    </cfRule>
  </conditionalFormatting>
  <conditionalFormatting sqref="G53">
    <cfRule type="expression" dxfId="153" priority="12" stopIfTrue="1">
      <formula>$H$53="超过30%"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G51">
    <cfRule type="expression" dxfId="150" priority="9" stopIfTrue="1">
      <formula>$H$53+$H$51="超过30%"</formula>
    </cfRule>
  </conditionalFormatting>
  <conditionalFormatting sqref="G52">
    <cfRule type="expression" dxfId="149" priority="8" stopIfTrue="1">
      <formula>$H$52="超过20%"</formula>
    </cfRule>
  </conditionalFormatting>
  <conditionalFormatting sqref="I51">
    <cfRule type="expression" dxfId="148" priority="7" stopIfTrue="1">
      <formula>$J$51="超过30%"</formula>
    </cfRule>
  </conditionalFormatting>
  <conditionalFormatting sqref="I52">
    <cfRule type="expression" dxfId="147" priority="6" stopIfTrue="1">
      <formula>$J$52="超过20%"</formula>
    </cfRule>
  </conditionalFormatting>
  <conditionalFormatting sqref="I53">
    <cfRule type="expression" dxfId="146" priority="5" stopIfTrue="1">
      <formula>$J$53="超过30%"</formula>
    </cfRule>
  </conditionalFormatting>
  <conditionalFormatting sqref="F47">
    <cfRule type="expression" dxfId="145" priority="4">
      <formula>$D$47="简单平均"</formula>
    </cfRule>
  </conditionalFormatting>
  <conditionalFormatting sqref="H47">
    <cfRule type="expression" dxfId="144" priority="3">
      <formula>$D$47="简单平均"</formula>
    </cfRule>
  </conditionalFormatting>
  <conditionalFormatting sqref="J47">
    <cfRule type="expression" dxfId="143" priority="2">
      <formula>$D$47="简单平均"</formula>
    </cfRule>
  </conditionalFormatting>
  <conditionalFormatting sqref="F7:F45 H7:H45 J7:J45">
    <cfRule type="cellIs" dxfId="1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Z30"/>
  <sheetViews>
    <sheetView topLeftCell="A61" zoomScale="80" zoomScaleNormal="80" workbookViewId="0">
      <selection activeCell="P74" sqref="P74"/>
    </sheetView>
  </sheetViews>
  <sheetFormatPr defaultColWidth="9" defaultRowHeight="14.25"/>
  <cols>
    <col min="1" max="1" width="28.5" style="3511" customWidth="1"/>
    <col min="2" max="2" width="6.25" style="3511" customWidth="1"/>
    <col min="3" max="3" width="20" style="3511" customWidth="1"/>
    <col min="4" max="4" width="9" style="3511" customWidth="1"/>
    <col min="5" max="6" width="10.875" style="3511" customWidth="1"/>
    <col min="7" max="7" width="11.125" style="3511" customWidth="1"/>
    <col min="8" max="8" width="8.375" style="3511" customWidth="1"/>
    <col min="9" max="9" width="20" style="3511" customWidth="1"/>
    <col min="10" max="11" width="10.75" style="3511" customWidth="1"/>
    <col min="12" max="12" width="9.5" style="3511" customWidth="1"/>
    <col min="13" max="13" width="7.625" style="3511" customWidth="1"/>
    <col min="14" max="14" width="15.375" style="3511" customWidth="1"/>
    <col min="15" max="15" width="9.875" style="3511" customWidth="1"/>
    <col min="16" max="16" width="10.5" style="3511" customWidth="1"/>
    <col min="17" max="17" width="13.25" style="3511" customWidth="1"/>
    <col min="18" max="18" width="10.375" style="3511" customWidth="1"/>
    <col min="19" max="19" width="10.25" style="3511" customWidth="1"/>
    <col min="20" max="20" width="8.5" style="3511" customWidth="1"/>
    <col min="21" max="21" width="7.875" style="3511" customWidth="1"/>
    <col min="22" max="22" width="13.25" style="3511" customWidth="1"/>
    <col min="23" max="23" width="10.25" style="3511" customWidth="1"/>
    <col min="24" max="24" width="8.125" style="3511" customWidth="1"/>
    <col min="25" max="25" width="6.25" style="3511" customWidth="1"/>
    <col min="26" max="26" width="6.625" style="3511" customWidth="1"/>
    <col min="27" max="27" width="20" style="3511" customWidth="1"/>
    <col min="28" max="16384" width="9" style="3511"/>
  </cols>
  <sheetData>
    <row r="1" spans="1:26">
      <c r="A1" s="3511" t="s">
        <v>3894</v>
      </c>
      <c r="B1" s="3511" t="s">
        <v>3895</v>
      </c>
      <c r="C1" s="3511" t="s">
        <v>3896</v>
      </c>
      <c r="D1" s="3511" t="s">
        <v>3897</v>
      </c>
      <c r="E1" s="3511" t="s">
        <v>3898</v>
      </c>
      <c r="F1" s="3511" t="s">
        <v>3899</v>
      </c>
      <c r="G1" s="3511" t="s">
        <v>3900</v>
      </c>
      <c r="H1" s="3511" t="s">
        <v>3901</v>
      </c>
      <c r="I1" s="3511" t="s">
        <v>3902</v>
      </c>
      <c r="J1" s="3511" t="s">
        <v>3903</v>
      </c>
      <c r="K1" s="3511" t="s">
        <v>3904</v>
      </c>
      <c r="L1" s="3511" t="s">
        <v>3905</v>
      </c>
      <c r="M1" s="3511" t="s">
        <v>3906</v>
      </c>
      <c r="N1" s="3511" t="s">
        <v>3907</v>
      </c>
      <c r="O1" s="3511" t="s">
        <v>3908</v>
      </c>
      <c r="P1" s="3511" t="s">
        <v>3909</v>
      </c>
      <c r="Q1" s="3511" t="s">
        <v>3910</v>
      </c>
      <c r="R1" s="3511" t="s">
        <v>3911</v>
      </c>
      <c r="S1" s="3511" t="s">
        <v>3912</v>
      </c>
      <c r="T1" s="3511" t="s">
        <v>3913</v>
      </c>
      <c r="U1" s="3511" t="s">
        <v>3914</v>
      </c>
      <c r="V1" s="3511" t="s">
        <v>3915</v>
      </c>
      <c r="W1" s="3511" t="s">
        <v>3916</v>
      </c>
      <c r="X1" s="3511" t="s">
        <v>3917</v>
      </c>
      <c r="Y1" s="3511" t="s">
        <v>3918</v>
      </c>
      <c r="Z1" s="3511" t="s">
        <v>3919</v>
      </c>
    </row>
    <row r="2" spans="1:26">
      <c r="A2" s="3511" t="s">
        <v>3920</v>
      </c>
      <c r="B2" s="3511" t="s">
        <v>3377</v>
      </c>
      <c r="C2" s="3511" t="s">
        <v>3921</v>
      </c>
      <c r="D2" s="3511" t="s">
        <v>3922</v>
      </c>
      <c r="E2" s="3511">
        <v>69837.09</v>
      </c>
      <c r="F2" s="3511">
        <v>104756</v>
      </c>
      <c r="G2" s="3511">
        <v>1.5</v>
      </c>
      <c r="H2" s="3511" t="s">
        <v>3923</v>
      </c>
      <c r="I2" s="3511" t="s">
        <v>3924</v>
      </c>
      <c r="J2" s="3511" t="s">
        <v>3925</v>
      </c>
      <c r="K2" s="3512">
        <v>45195.000497685185</v>
      </c>
      <c r="L2" s="3512">
        <v>45195.000497685185</v>
      </c>
      <c r="M2" s="3511" t="s">
        <v>3926</v>
      </c>
      <c r="N2" s="3511" t="s">
        <v>3927</v>
      </c>
      <c r="O2" s="3511">
        <v>120000</v>
      </c>
      <c r="P2" s="3511">
        <v>24000</v>
      </c>
      <c r="Q2" s="3511" t="s">
        <v>633</v>
      </c>
      <c r="R2" s="3511">
        <v>120000</v>
      </c>
      <c r="S2" s="3511">
        <v>17182.84</v>
      </c>
      <c r="T2" s="3511">
        <v>11455</v>
      </c>
      <c r="U2" s="3511">
        <v>0</v>
      </c>
      <c r="V2" s="3511" t="s">
        <v>3928</v>
      </c>
      <c r="W2" s="3511">
        <v>138000</v>
      </c>
      <c r="X2" s="3511" t="s">
        <v>3929</v>
      </c>
      <c r="Y2" s="3511" t="s">
        <v>3930</v>
      </c>
      <c r="Z2" s="3511" t="s">
        <v>3931</v>
      </c>
    </row>
    <row r="3" spans="1:26">
      <c r="A3" s="3511" t="s">
        <v>3932</v>
      </c>
      <c r="B3" s="3511" t="s">
        <v>3377</v>
      </c>
      <c r="C3" s="3511" t="s">
        <v>3933</v>
      </c>
      <c r="D3" s="3511" t="s">
        <v>3922</v>
      </c>
      <c r="E3" s="3511">
        <v>45954.22</v>
      </c>
      <c r="F3" s="3511">
        <v>91908.44</v>
      </c>
      <c r="G3" s="3511">
        <v>2</v>
      </c>
      <c r="H3" s="3511" t="s">
        <v>3923</v>
      </c>
      <c r="I3" s="3511" t="s">
        <v>3924</v>
      </c>
      <c r="J3" s="3511" t="s">
        <v>3925</v>
      </c>
      <c r="K3" s="3512">
        <v>45141.000497685185</v>
      </c>
      <c r="L3" s="3512">
        <v>45141.000497685185</v>
      </c>
      <c r="M3" s="3511" t="s">
        <v>3926</v>
      </c>
      <c r="N3" s="3511" t="s">
        <v>3934</v>
      </c>
      <c r="O3" s="3511">
        <v>250000</v>
      </c>
      <c r="P3" s="3511">
        <v>50000</v>
      </c>
      <c r="Q3" s="3511" t="s">
        <v>633</v>
      </c>
      <c r="R3" s="3511">
        <v>287500</v>
      </c>
      <c r="S3" s="3511">
        <v>62562.26</v>
      </c>
      <c r="T3" s="3511">
        <v>31281</v>
      </c>
      <c r="U3" s="3511">
        <v>15</v>
      </c>
      <c r="V3" s="3511" t="s">
        <v>3928</v>
      </c>
      <c r="W3" s="3511">
        <v>287500</v>
      </c>
      <c r="X3" s="3511" t="s">
        <v>3935</v>
      </c>
      <c r="Y3" s="3511">
        <v>59000</v>
      </c>
      <c r="Z3" s="3511">
        <v>59000</v>
      </c>
    </row>
    <row r="4" spans="1:26">
      <c r="A4" s="3511" t="s">
        <v>3936</v>
      </c>
      <c r="B4" s="3511" t="s">
        <v>3377</v>
      </c>
      <c r="C4" s="3511" t="s">
        <v>3937</v>
      </c>
      <c r="D4" s="3511" t="s">
        <v>3922</v>
      </c>
      <c r="E4" s="3511">
        <v>57292.65</v>
      </c>
      <c r="F4" s="3511">
        <v>134221.63</v>
      </c>
      <c r="G4" s="3511" t="s">
        <v>3938</v>
      </c>
      <c r="H4" s="3511" t="s">
        <v>3923</v>
      </c>
      <c r="I4" s="3511" t="s">
        <v>3939</v>
      </c>
      <c r="J4" s="3511" t="s">
        <v>3925</v>
      </c>
      <c r="K4" s="3512">
        <v>45132.000497685185</v>
      </c>
      <c r="L4" s="3512">
        <v>45132.000497685185</v>
      </c>
      <c r="M4" s="3511" t="s">
        <v>3926</v>
      </c>
      <c r="N4" s="3511" t="s">
        <v>3940</v>
      </c>
      <c r="O4" s="3511">
        <v>470000</v>
      </c>
      <c r="P4" s="3511">
        <v>94000</v>
      </c>
      <c r="Q4" s="3511" t="s">
        <v>3941</v>
      </c>
      <c r="R4" s="3511">
        <v>540500</v>
      </c>
      <c r="S4" s="3511">
        <v>94340.19</v>
      </c>
      <c r="T4" s="3511">
        <v>40269</v>
      </c>
      <c r="U4" s="3511">
        <v>15</v>
      </c>
      <c r="V4" s="3511" t="s">
        <v>3928</v>
      </c>
      <c r="W4" s="3511">
        <v>540500</v>
      </c>
      <c r="X4" s="3511" t="s">
        <v>3935</v>
      </c>
      <c r="Y4" s="3511">
        <v>66000</v>
      </c>
      <c r="Z4" s="3511">
        <v>66000</v>
      </c>
    </row>
    <row r="5" spans="1:26">
      <c r="A5" s="3511" t="s">
        <v>3942</v>
      </c>
      <c r="B5" s="3511" t="s">
        <v>3377</v>
      </c>
      <c r="C5" s="3511" t="s">
        <v>3943</v>
      </c>
      <c r="D5" s="3511" t="s">
        <v>3922</v>
      </c>
      <c r="E5" s="3511">
        <v>31558.240000000002</v>
      </c>
      <c r="F5" s="3511">
        <v>88363.07</v>
      </c>
      <c r="G5" s="3511" t="s">
        <v>3944</v>
      </c>
      <c r="H5" s="3511" t="s">
        <v>3923</v>
      </c>
      <c r="I5" s="3511" t="s">
        <v>3924</v>
      </c>
      <c r="J5" s="3511" t="s">
        <v>3925</v>
      </c>
      <c r="K5" s="3512">
        <v>45107.000497685185</v>
      </c>
      <c r="L5" s="3512">
        <v>45107.000497685185</v>
      </c>
      <c r="M5" s="3511" t="s">
        <v>3926</v>
      </c>
      <c r="N5" s="3511" t="s">
        <v>3945</v>
      </c>
      <c r="O5" s="3511">
        <v>88100</v>
      </c>
      <c r="P5" s="3511">
        <v>18000</v>
      </c>
      <c r="Q5" s="3511" t="s">
        <v>3946</v>
      </c>
      <c r="R5" s="3511">
        <v>88100</v>
      </c>
      <c r="S5" s="3511">
        <v>27916.63</v>
      </c>
      <c r="T5" s="3511">
        <v>9970</v>
      </c>
      <c r="U5" s="3511">
        <v>0</v>
      </c>
      <c r="V5" s="3511" t="s">
        <v>3928</v>
      </c>
      <c r="W5" s="3511">
        <v>101315</v>
      </c>
      <c r="X5" s="3511" t="s">
        <v>3929</v>
      </c>
      <c r="Y5" s="3511">
        <v>27000</v>
      </c>
      <c r="Z5" s="3511">
        <v>27000</v>
      </c>
    </row>
    <row r="6" spans="1:26" s="3513" customFormat="1">
      <c r="A6" s="3513" t="s">
        <v>3947</v>
      </c>
      <c r="B6" s="3513" t="s">
        <v>3377</v>
      </c>
      <c r="C6" s="3513" t="s">
        <v>3948</v>
      </c>
      <c r="D6" s="3513" t="s">
        <v>3922</v>
      </c>
      <c r="E6" s="3513">
        <v>27822.39</v>
      </c>
      <c r="F6" s="3513">
        <v>44515.82</v>
      </c>
      <c r="G6" s="3513">
        <v>1.6</v>
      </c>
      <c r="H6" s="3513" t="s">
        <v>3923</v>
      </c>
      <c r="I6" s="3513" t="s">
        <v>3924</v>
      </c>
      <c r="J6" s="3513" t="s">
        <v>3925</v>
      </c>
      <c r="K6" s="3514">
        <v>45097.000497685185</v>
      </c>
      <c r="L6" s="3514">
        <v>45097.000497685185</v>
      </c>
      <c r="M6" s="3513" t="s">
        <v>3926</v>
      </c>
      <c r="N6" s="3513" t="s">
        <v>3949</v>
      </c>
      <c r="O6" s="3513">
        <v>100000</v>
      </c>
      <c r="P6" s="3513">
        <v>20000</v>
      </c>
      <c r="Q6" s="3513" t="s">
        <v>633</v>
      </c>
      <c r="R6" s="3513">
        <v>100000</v>
      </c>
      <c r="S6" s="3513">
        <v>35942.269999999997</v>
      </c>
      <c r="T6" s="3513">
        <v>22464</v>
      </c>
      <c r="U6" s="3513">
        <v>0</v>
      </c>
      <c r="V6" s="3513" t="s">
        <v>3950</v>
      </c>
      <c r="W6" s="3513">
        <v>115000</v>
      </c>
      <c r="X6" s="3513" t="s">
        <v>3929</v>
      </c>
      <c r="Y6" s="3513">
        <v>50000</v>
      </c>
      <c r="Z6" s="3513">
        <v>50000</v>
      </c>
    </row>
    <row r="7" spans="1:26">
      <c r="A7" s="3511" t="s">
        <v>3951</v>
      </c>
      <c r="B7" s="3511" t="s">
        <v>3377</v>
      </c>
      <c r="C7" s="3511" t="s">
        <v>3952</v>
      </c>
      <c r="D7" s="3511" t="s">
        <v>3922</v>
      </c>
      <c r="E7" s="3511">
        <v>45880.63</v>
      </c>
      <c r="F7" s="3511">
        <v>100937.39</v>
      </c>
      <c r="G7" s="3511">
        <v>2.2000000000000002</v>
      </c>
      <c r="H7" s="3511" t="s">
        <v>3923</v>
      </c>
      <c r="I7" s="3511" t="s">
        <v>3924</v>
      </c>
      <c r="J7" s="3511" t="s">
        <v>3925</v>
      </c>
      <c r="K7" s="3512">
        <v>45097.000497685185</v>
      </c>
      <c r="L7" s="3512">
        <v>45097.000497685185</v>
      </c>
      <c r="M7" s="3511" t="s">
        <v>3926</v>
      </c>
      <c r="N7" s="3511" t="s">
        <v>3953</v>
      </c>
      <c r="O7" s="3511">
        <v>259000</v>
      </c>
      <c r="P7" s="3511">
        <v>52000</v>
      </c>
      <c r="Q7" s="3511" t="s">
        <v>633</v>
      </c>
      <c r="R7" s="3511">
        <v>259000</v>
      </c>
      <c r="S7" s="3511">
        <v>56450.83</v>
      </c>
      <c r="T7" s="3511">
        <v>25659</v>
      </c>
      <c r="U7" s="3511">
        <v>0</v>
      </c>
      <c r="V7" s="3511" t="s">
        <v>3950</v>
      </c>
      <c r="W7" s="3511">
        <v>297850</v>
      </c>
      <c r="X7" s="3511" t="s">
        <v>3929</v>
      </c>
      <c r="Y7" s="3511">
        <v>55000</v>
      </c>
      <c r="Z7" s="3511">
        <v>55000</v>
      </c>
    </row>
    <row r="8" spans="1:26">
      <c r="A8" s="3511" t="s">
        <v>3954</v>
      </c>
      <c r="B8" s="3511" t="s">
        <v>3377</v>
      </c>
      <c r="C8" s="3511" t="s">
        <v>3955</v>
      </c>
      <c r="D8" s="3511" t="s">
        <v>3922</v>
      </c>
      <c r="E8" s="3511">
        <v>77391.100000000006</v>
      </c>
      <c r="F8" s="3511">
        <v>177999.53</v>
      </c>
      <c r="G8" s="3511">
        <v>2.2999999999999998</v>
      </c>
      <c r="H8" s="3511" t="s">
        <v>3923</v>
      </c>
      <c r="I8" s="3511" t="s">
        <v>3924</v>
      </c>
      <c r="J8" s="3511" t="s">
        <v>3925</v>
      </c>
      <c r="K8" s="3512">
        <v>45093.000497685185</v>
      </c>
      <c r="L8" s="3512">
        <v>45093.000497685185</v>
      </c>
      <c r="M8" s="3511" t="s">
        <v>3926</v>
      </c>
      <c r="N8" s="3511" t="s">
        <v>3956</v>
      </c>
      <c r="O8" s="3511">
        <v>688000</v>
      </c>
      <c r="P8" s="3511">
        <v>138000</v>
      </c>
      <c r="Q8" s="3511" t="s">
        <v>633</v>
      </c>
      <c r="R8" s="3511">
        <v>791200</v>
      </c>
      <c r="S8" s="3511">
        <v>102233.98</v>
      </c>
      <c r="T8" s="3511">
        <v>44450</v>
      </c>
      <c r="U8" s="3511">
        <v>15</v>
      </c>
      <c r="V8" s="3511" t="s">
        <v>3957</v>
      </c>
      <c r="W8" s="3511">
        <v>791200</v>
      </c>
      <c r="X8" s="3511" t="s">
        <v>3935</v>
      </c>
      <c r="Y8" s="3511">
        <v>77000</v>
      </c>
      <c r="Z8" s="3511">
        <v>77000</v>
      </c>
    </row>
    <row r="9" spans="1:26">
      <c r="A9" s="3511" t="s">
        <v>3958</v>
      </c>
      <c r="B9" s="3511" t="s">
        <v>3377</v>
      </c>
      <c r="C9" s="3511" t="s">
        <v>3959</v>
      </c>
      <c r="D9" s="3511" t="s">
        <v>3922</v>
      </c>
      <c r="E9" s="3511">
        <v>43400</v>
      </c>
      <c r="F9" s="3511">
        <v>86800</v>
      </c>
      <c r="G9" s="3511">
        <v>2</v>
      </c>
      <c r="H9" s="3511" t="s">
        <v>3923</v>
      </c>
      <c r="I9" s="3511" t="s">
        <v>3924</v>
      </c>
      <c r="J9" s="3511" t="s">
        <v>3925</v>
      </c>
      <c r="K9" s="3512">
        <v>45078.000497685185</v>
      </c>
      <c r="L9" s="3512">
        <v>45078.000497685185</v>
      </c>
      <c r="M9" s="3511" t="s">
        <v>3926</v>
      </c>
      <c r="N9" s="3511" t="s">
        <v>3960</v>
      </c>
      <c r="O9" s="3511">
        <v>287000</v>
      </c>
      <c r="P9" s="3511">
        <v>58000</v>
      </c>
      <c r="Q9" s="3511" t="s">
        <v>633</v>
      </c>
      <c r="R9" s="3511">
        <v>330050</v>
      </c>
      <c r="S9" s="3511">
        <v>76048.39</v>
      </c>
      <c r="T9" s="3511">
        <v>38024</v>
      </c>
      <c r="U9" s="3511">
        <v>15</v>
      </c>
      <c r="V9" s="3511" t="s">
        <v>3928</v>
      </c>
      <c r="W9" s="3511">
        <v>330050</v>
      </c>
      <c r="X9" s="3511" t="s">
        <v>3935</v>
      </c>
      <c r="Y9" s="3511">
        <v>58000</v>
      </c>
      <c r="Z9" s="3511">
        <v>58000</v>
      </c>
    </row>
    <row r="10" spans="1:26">
      <c r="A10" s="3511" t="s">
        <v>3961</v>
      </c>
      <c r="B10" s="3511" t="s">
        <v>3377</v>
      </c>
      <c r="C10" s="3511" t="s">
        <v>3962</v>
      </c>
      <c r="D10" s="3511" t="s">
        <v>3922</v>
      </c>
      <c r="E10" s="3511">
        <v>29561.58</v>
      </c>
      <c r="F10" s="3511">
        <v>65035.47</v>
      </c>
      <c r="G10" s="3511">
        <v>2.2000000000000002</v>
      </c>
      <c r="H10" s="3511" t="s">
        <v>3923</v>
      </c>
      <c r="I10" s="3511" t="s">
        <v>3924</v>
      </c>
      <c r="J10" s="3511" t="s">
        <v>3925</v>
      </c>
      <c r="K10" s="3512">
        <v>45044.000497685185</v>
      </c>
      <c r="L10" s="3512">
        <v>45044.000497685185</v>
      </c>
      <c r="M10" s="3511" t="s">
        <v>3926</v>
      </c>
      <c r="N10" s="3511" t="s">
        <v>3960</v>
      </c>
      <c r="O10" s="3511">
        <v>202000</v>
      </c>
      <c r="P10" s="3511">
        <v>41000</v>
      </c>
      <c r="Q10" s="3511" t="s">
        <v>3963</v>
      </c>
      <c r="R10" s="3511">
        <v>232000</v>
      </c>
      <c r="S10" s="3511">
        <v>78480.240000000005</v>
      </c>
      <c r="T10" s="3511">
        <v>35673</v>
      </c>
      <c r="U10" s="3511">
        <v>14.85</v>
      </c>
      <c r="V10" s="3511" t="s">
        <v>3964</v>
      </c>
      <c r="W10" s="3511">
        <v>232000</v>
      </c>
      <c r="X10" s="3511" t="s">
        <v>3935</v>
      </c>
      <c r="Y10" s="3511">
        <v>62000</v>
      </c>
      <c r="Z10" s="3511">
        <v>62000</v>
      </c>
    </row>
    <row r="11" spans="1:26">
      <c r="A11" s="3511" t="s">
        <v>3965</v>
      </c>
      <c r="B11" s="3511" t="s">
        <v>3377</v>
      </c>
      <c r="C11" s="3511" t="s">
        <v>3966</v>
      </c>
      <c r="D11" s="3511" t="s">
        <v>3922</v>
      </c>
      <c r="E11" s="3511">
        <v>59523.360000000001</v>
      </c>
      <c r="F11" s="3511">
        <v>130951.38</v>
      </c>
      <c r="G11" s="3511">
        <v>2.2000000000000002</v>
      </c>
      <c r="H11" s="3511" t="s">
        <v>3923</v>
      </c>
      <c r="I11" s="3511" t="s">
        <v>3967</v>
      </c>
      <c r="J11" s="3511" t="s">
        <v>3925</v>
      </c>
      <c r="K11" s="3512">
        <v>45039.000497685185</v>
      </c>
      <c r="L11" s="3512">
        <v>45039.000497685185</v>
      </c>
      <c r="M11" s="3511" t="s">
        <v>3926</v>
      </c>
      <c r="N11" s="3511" t="s">
        <v>3968</v>
      </c>
      <c r="O11" s="3511">
        <v>188205.82</v>
      </c>
      <c r="P11" s="3511">
        <v>57000</v>
      </c>
      <c r="Q11" s="3511" t="s">
        <v>633</v>
      </c>
      <c r="R11" s="3511">
        <v>188205.82</v>
      </c>
      <c r="S11" s="3511">
        <v>31618.81</v>
      </c>
      <c r="T11" s="3511">
        <v>14372</v>
      </c>
      <c r="U11" s="3511">
        <v>0</v>
      </c>
      <c r="V11" s="3511" t="s">
        <v>3969</v>
      </c>
      <c r="W11" s="3511" t="s">
        <v>3930</v>
      </c>
      <c r="X11" s="3511" t="s">
        <v>3931</v>
      </c>
      <c r="Y11" s="3511">
        <v>29000</v>
      </c>
      <c r="Z11" s="3511">
        <v>29000</v>
      </c>
    </row>
    <row r="12" spans="1:26">
      <c r="A12" s="3511" t="s">
        <v>3970</v>
      </c>
      <c r="B12" s="3511" t="s">
        <v>3377</v>
      </c>
      <c r="C12" s="3511" t="s">
        <v>3971</v>
      </c>
      <c r="D12" s="3511" t="s">
        <v>3922</v>
      </c>
      <c r="E12" s="3511">
        <v>87287.8</v>
      </c>
      <c r="F12" s="3511">
        <v>192033.17</v>
      </c>
      <c r="G12" s="3511">
        <v>2.2000000000000002</v>
      </c>
      <c r="H12" s="3511" t="s">
        <v>3923</v>
      </c>
      <c r="I12" s="3511" t="s">
        <v>3967</v>
      </c>
      <c r="J12" s="3511" t="s">
        <v>3925</v>
      </c>
      <c r="K12" s="3512">
        <v>45040.000497685185</v>
      </c>
      <c r="L12" s="3512">
        <v>45040.000497685185</v>
      </c>
      <c r="M12" s="3511" t="s">
        <v>3926</v>
      </c>
      <c r="N12" s="3511" t="s">
        <v>3972</v>
      </c>
      <c r="O12" s="3511">
        <v>275143.78999999998</v>
      </c>
      <c r="P12" s="3511">
        <v>83000</v>
      </c>
      <c r="Q12" s="3511" t="s">
        <v>633</v>
      </c>
      <c r="R12" s="3511">
        <v>275143.78999999998</v>
      </c>
      <c r="S12" s="3511">
        <v>31521.45</v>
      </c>
      <c r="T12" s="3511">
        <v>14328</v>
      </c>
      <c r="U12" s="3511">
        <v>0</v>
      </c>
      <c r="V12" s="3511" t="s">
        <v>3969</v>
      </c>
      <c r="W12" s="3511" t="s">
        <v>3930</v>
      </c>
      <c r="X12" s="3511" t="s">
        <v>3931</v>
      </c>
      <c r="Y12" s="3511">
        <v>29000</v>
      </c>
      <c r="Z12" s="3511" t="s">
        <v>3931</v>
      </c>
    </row>
    <row r="13" spans="1:26" s="3513" customFormat="1">
      <c r="A13" s="3513" t="s">
        <v>3973</v>
      </c>
      <c r="B13" s="3513" t="s">
        <v>3377</v>
      </c>
      <c r="C13" s="3513" t="s">
        <v>3974</v>
      </c>
      <c r="D13" s="3513" t="s">
        <v>3922</v>
      </c>
      <c r="E13" s="3513">
        <v>31231.38</v>
      </c>
      <c r="F13" s="3513">
        <v>78078.45</v>
      </c>
      <c r="G13" s="3513">
        <v>2.5</v>
      </c>
      <c r="H13" s="3513" t="s">
        <v>3923</v>
      </c>
      <c r="I13" s="3513" t="s">
        <v>3924</v>
      </c>
      <c r="J13" s="3513" t="s">
        <v>3975</v>
      </c>
      <c r="K13" s="3514">
        <v>44964.000497685185</v>
      </c>
      <c r="L13" s="3514">
        <v>44964.000497685185</v>
      </c>
      <c r="M13" s="3513" t="s">
        <v>3926</v>
      </c>
      <c r="N13" s="3513" t="s">
        <v>3976</v>
      </c>
      <c r="O13" s="3513">
        <v>172000</v>
      </c>
      <c r="P13" s="3513">
        <v>35000</v>
      </c>
      <c r="Q13" s="3513" t="s">
        <v>3977</v>
      </c>
      <c r="R13" s="3513">
        <v>172000</v>
      </c>
      <c r="S13" s="3513">
        <v>55072.81</v>
      </c>
      <c r="T13" s="3513">
        <v>22029</v>
      </c>
      <c r="U13" s="3513">
        <v>0</v>
      </c>
      <c r="V13" s="3513" t="s">
        <v>3950</v>
      </c>
      <c r="W13" s="3513">
        <v>197800</v>
      </c>
      <c r="X13" s="3513" t="s">
        <v>3929</v>
      </c>
      <c r="Y13" s="3513">
        <v>45000</v>
      </c>
      <c r="Z13" s="3513">
        <v>45000</v>
      </c>
    </row>
    <row r="14" spans="1:26" s="3513" customFormat="1">
      <c r="A14" s="3513" t="s">
        <v>3978</v>
      </c>
      <c r="B14" s="3513" t="s">
        <v>3377</v>
      </c>
      <c r="C14" s="3513" t="s">
        <v>3979</v>
      </c>
      <c r="D14" s="3513" t="s">
        <v>3922</v>
      </c>
      <c r="E14" s="3513">
        <v>23004.15</v>
      </c>
      <c r="F14" s="3513">
        <v>32205.81</v>
      </c>
      <c r="G14" s="3513">
        <v>1.4</v>
      </c>
      <c r="H14" s="3513" t="s">
        <v>3923</v>
      </c>
      <c r="I14" s="3513" t="s">
        <v>3924</v>
      </c>
      <c r="J14" s="3513" t="s">
        <v>3980</v>
      </c>
      <c r="K14" s="3514">
        <v>44893.000497685185</v>
      </c>
      <c r="L14" s="3514">
        <v>44893.000497685185</v>
      </c>
      <c r="M14" s="3513" t="s">
        <v>3926</v>
      </c>
      <c r="N14" s="3513" t="s">
        <v>3981</v>
      </c>
      <c r="O14" s="3513">
        <v>79000</v>
      </c>
      <c r="P14" s="3513">
        <v>16000</v>
      </c>
      <c r="Q14" s="3513" t="s">
        <v>3982</v>
      </c>
      <c r="R14" s="3513">
        <v>79000</v>
      </c>
      <c r="S14" s="3513">
        <v>34341.629999999997</v>
      </c>
      <c r="T14" s="3513">
        <v>24530</v>
      </c>
      <c r="U14" s="3513">
        <v>0</v>
      </c>
      <c r="V14" s="3513" t="s">
        <v>3928</v>
      </c>
      <c r="W14" s="3513">
        <v>90850</v>
      </c>
      <c r="X14" s="3513" t="s">
        <v>3929</v>
      </c>
      <c r="Y14" s="3513">
        <v>61000</v>
      </c>
      <c r="Z14" s="3513">
        <v>61000</v>
      </c>
    </row>
    <row r="15" spans="1:26">
      <c r="A15" s="3511" t="s">
        <v>3983</v>
      </c>
      <c r="B15" s="3511" t="s">
        <v>3377</v>
      </c>
      <c r="C15" s="3511" t="s">
        <v>3984</v>
      </c>
      <c r="D15" s="3511" t="s">
        <v>3922</v>
      </c>
      <c r="E15" s="3511">
        <v>24837.200000000001</v>
      </c>
      <c r="F15" s="3511">
        <v>49674.400000000001</v>
      </c>
      <c r="G15" s="3511">
        <v>2</v>
      </c>
      <c r="H15" s="3511" t="s">
        <v>3923</v>
      </c>
      <c r="I15" s="3511" t="s">
        <v>3924</v>
      </c>
      <c r="J15" s="3511" t="s">
        <v>3980</v>
      </c>
      <c r="K15" s="3512">
        <v>44893.000497685185</v>
      </c>
      <c r="L15" s="3512">
        <v>44893.000497685185</v>
      </c>
      <c r="M15" s="3511" t="s">
        <v>3926</v>
      </c>
      <c r="N15" s="3511" t="s">
        <v>3985</v>
      </c>
      <c r="O15" s="3511">
        <v>166000</v>
      </c>
      <c r="P15" s="3511">
        <v>34000</v>
      </c>
      <c r="Q15" s="3511" t="s">
        <v>3982</v>
      </c>
      <c r="R15" s="3511">
        <v>166900</v>
      </c>
      <c r="S15" s="3511">
        <v>67197.59</v>
      </c>
      <c r="T15" s="3511">
        <v>33599</v>
      </c>
      <c r="U15" s="3511">
        <v>0.54</v>
      </c>
      <c r="V15" s="3511" t="s">
        <v>3986</v>
      </c>
      <c r="W15" s="3511">
        <v>190900</v>
      </c>
      <c r="X15" s="3511" t="s">
        <v>3929</v>
      </c>
      <c r="Y15" s="3511">
        <v>65000</v>
      </c>
      <c r="Z15" s="3511">
        <v>65000</v>
      </c>
    </row>
    <row r="16" spans="1:26">
      <c r="A16" s="3511" t="s">
        <v>3987</v>
      </c>
      <c r="B16" s="3511" t="s">
        <v>3377</v>
      </c>
      <c r="C16" s="3511" t="s">
        <v>3988</v>
      </c>
      <c r="D16" s="3511" t="s">
        <v>3922</v>
      </c>
      <c r="E16" s="3511">
        <v>21625</v>
      </c>
      <c r="F16" s="3511">
        <v>43250</v>
      </c>
      <c r="G16" s="3511" t="s">
        <v>3989</v>
      </c>
      <c r="H16" s="3511" t="s">
        <v>3923</v>
      </c>
      <c r="I16" s="3511" t="s">
        <v>3924</v>
      </c>
      <c r="J16" s="3511" t="s">
        <v>3990</v>
      </c>
      <c r="K16" s="3512">
        <v>44826.000497685185</v>
      </c>
      <c r="L16" s="3512">
        <v>44826.000497685185</v>
      </c>
      <c r="M16" s="3511" t="s">
        <v>3926</v>
      </c>
      <c r="N16" s="3511" t="s">
        <v>3991</v>
      </c>
      <c r="O16" s="3511">
        <v>143000</v>
      </c>
      <c r="P16" s="3511">
        <v>29000</v>
      </c>
      <c r="Q16" s="3511" t="s">
        <v>3992</v>
      </c>
      <c r="R16" s="3511">
        <v>143000</v>
      </c>
      <c r="S16" s="3511">
        <v>66127.16</v>
      </c>
      <c r="T16" s="3511">
        <v>33064</v>
      </c>
      <c r="U16" s="3511">
        <v>0</v>
      </c>
      <c r="V16" s="3511" t="s">
        <v>3950</v>
      </c>
      <c r="W16" s="3511">
        <v>164450</v>
      </c>
      <c r="X16" s="3511" t="s">
        <v>3929</v>
      </c>
      <c r="Y16" s="3511" t="s">
        <v>3930</v>
      </c>
      <c r="Z16" s="3511">
        <v>59000</v>
      </c>
    </row>
    <row r="17" spans="1:26">
      <c r="A17" s="3511" t="s">
        <v>3993</v>
      </c>
      <c r="B17" s="3511" t="s">
        <v>3377</v>
      </c>
      <c r="C17" s="3511" t="s">
        <v>3994</v>
      </c>
      <c r="D17" s="3511" t="s">
        <v>3922</v>
      </c>
      <c r="E17" s="3511">
        <v>22115.200000000001</v>
      </c>
      <c r="F17" s="3511">
        <v>44230.400000000001</v>
      </c>
      <c r="G17" s="3511">
        <v>2</v>
      </c>
      <c r="H17" s="3511" t="s">
        <v>3923</v>
      </c>
      <c r="I17" s="3511" t="s">
        <v>3924</v>
      </c>
      <c r="J17" s="3511" t="s">
        <v>3995</v>
      </c>
      <c r="K17" s="3512">
        <v>44608.000497685185</v>
      </c>
      <c r="L17" s="3512">
        <v>44609.000497685185</v>
      </c>
      <c r="M17" s="3511" t="s">
        <v>3926</v>
      </c>
      <c r="N17" s="3511" t="s">
        <v>3996</v>
      </c>
      <c r="O17" s="3511">
        <v>146000</v>
      </c>
      <c r="P17" s="3511">
        <v>30000</v>
      </c>
      <c r="Q17" s="3511" t="s">
        <v>3997</v>
      </c>
      <c r="R17" s="3511">
        <v>147600</v>
      </c>
      <c r="S17" s="3511">
        <v>66741.429999999993</v>
      </c>
      <c r="T17" s="3511">
        <v>33371</v>
      </c>
      <c r="U17" s="3511">
        <v>1.1000000000000001</v>
      </c>
      <c r="V17" s="3511" t="s">
        <v>3969</v>
      </c>
      <c r="W17" s="3511">
        <v>153300</v>
      </c>
      <c r="X17" s="3511" t="s">
        <v>3929</v>
      </c>
      <c r="Y17" s="3511">
        <v>58000</v>
      </c>
      <c r="Z17" s="3511">
        <v>58000</v>
      </c>
    </row>
    <row r="18" spans="1:26">
      <c r="A18" s="3511" t="s">
        <v>3998</v>
      </c>
      <c r="B18" s="3511" t="s">
        <v>3377</v>
      </c>
      <c r="C18" s="3511" t="s">
        <v>3999</v>
      </c>
      <c r="D18" s="3511" t="s">
        <v>3922</v>
      </c>
      <c r="E18" s="3511">
        <v>32057.19</v>
      </c>
      <c r="F18" s="3511">
        <v>51292</v>
      </c>
      <c r="G18" s="3511">
        <v>1.6</v>
      </c>
      <c r="H18" s="3511" t="s">
        <v>3923</v>
      </c>
      <c r="I18" s="3511" t="s">
        <v>3924</v>
      </c>
      <c r="J18" s="3511" t="s">
        <v>3995</v>
      </c>
      <c r="K18" s="3512">
        <v>44608.000497685185</v>
      </c>
      <c r="L18" s="3512">
        <v>44608.000497685185</v>
      </c>
      <c r="M18" s="3511" t="s">
        <v>3926</v>
      </c>
      <c r="N18" s="3511" t="s">
        <v>3976</v>
      </c>
      <c r="O18" s="3511">
        <v>81000</v>
      </c>
      <c r="P18" s="3511">
        <v>17000</v>
      </c>
      <c r="Q18" s="3511" t="s">
        <v>3997</v>
      </c>
      <c r="R18" s="3511">
        <v>81000</v>
      </c>
      <c r="S18" s="3511">
        <v>25267.34</v>
      </c>
      <c r="T18" s="3511">
        <v>15792</v>
      </c>
      <c r="U18" s="3511">
        <v>0</v>
      </c>
      <c r="V18" s="3511" t="s">
        <v>3969</v>
      </c>
      <c r="W18" s="3511">
        <v>93150</v>
      </c>
      <c r="X18" s="3511" t="s">
        <v>3929</v>
      </c>
      <c r="Y18" s="3511">
        <v>45000</v>
      </c>
      <c r="Z18" s="3511">
        <v>45000</v>
      </c>
    </row>
    <row r="19" spans="1:26">
      <c r="A19" s="3511" t="s">
        <v>4000</v>
      </c>
      <c r="B19" s="3511" t="s">
        <v>3377</v>
      </c>
      <c r="C19" s="3511" t="s">
        <v>4001</v>
      </c>
      <c r="D19" s="3511" t="s">
        <v>3922</v>
      </c>
      <c r="E19" s="3511">
        <v>23519.8</v>
      </c>
      <c r="F19" s="3511">
        <v>58799.5</v>
      </c>
      <c r="G19" s="3511">
        <v>2.5</v>
      </c>
      <c r="H19" s="3511" t="s">
        <v>3923</v>
      </c>
      <c r="I19" s="3511" t="s">
        <v>3924</v>
      </c>
      <c r="J19" s="3511" t="s">
        <v>3995</v>
      </c>
      <c r="K19" s="3512">
        <v>44608.000497685185</v>
      </c>
      <c r="L19" s="3512">
        <v>44609.000497685185</v>
      </c>
      <c r="M19" s="3511" t="s">
        <v>3926</v>
      </c>
      <c r="N19" s="3511" t="s">
        <v>4002</v>
      </c>
      <c r="O19" s="3511">
        <v>223000</v>
      </c>
      <c r="P19" s="3511">
        <v>45000</v>
      </c>
      <c r="Q19" s="3511" t="s">
        <v>3997</v>
      </c>
      <c r="R19" s="3511">
        <v>248000</v>
      </c>
      <c r="S19" s="3511">
        <v>105443.07</v>
      </c>
      <c r="T19" s="3511">
        <v>42177</v>
      </c>
      <c r="U19" s="3511">
        <v>11.21</v>
      </c>
      <c r="V19" s="3511" t="s">
        <v>3969</v>
      </c>
      <c r="W19" s="3511">
        <v>256450</v>
      </c>
      <c r="X19" s="3511" t="s">
        <v>3929</v>
      </c>
      <c r="Y19" s="3511">
        <v>73000</v>
      </c>
      <c r="Z19" s="3511">
        <v>73000</v>
      </c>
    </row>
    <row r="20" spans="1:26">
      <c r="A20" s="3511" t="s">
        <v>4003</v>
      </c>
      <c r="B20" s="3511" t="s">
        <v>3377</v>
      </c>
      <c r="C20" s="3511" t="s">
        <v>4004</v>
      </c>
      <c r="D20" s="3511" t="s">
        <v>3922</v>
      </c>
      <c r="E20" s="3511">
        <v>45509.77</v>
      </c>
      <c r="F20" s="3511">
        <v>113774</v>
      </c>
      <c r="G20" s="3511">
        <v>2.5</v>
      </c>
      <c r="H20" s="3511" t="s">
        <v>3923</v>
      </c>
      <c r="I20" s="3511" t="s">
        <v>3924</v>
      </c>
      <c r="J20" s="3511" t="s">
        <v>4005</v>
      </c>
      <c r="K20" s="3512">
        <v>44554.000497685185</v>
      </c>
      <c r="L20" s="3512">
        <v>44557.000497685185</v>
      </c>
      <c r="M20" s="3511" t="s">
        <v>3926</v>
      </c>
      <c r="N20" s="3511" t="s">
        <v>3976</v>
      </c>
      <c r="O20" s="3511">
        <v>162000</v>
      </c>
      <c r="P20" s="3511">
        <v>33000</v>
      </c>
      <c r="Q20" s="3511" t="s">
        <v>4006</v>
      </c>
      <c r="R20" s="3511">
        <v>186300</v>
      </c>
      <c r="S20" s="3511">
        <v>40936.26</v>
      </c>
      <c r="T20" s="3511">
        <v>16375</v>
      </c>
      <c r="U20" s="3511">
        <v>15</v>
      </c>
      <c r="V20" s="3511" t="s">
        <v>4007</v>
      </c>
      <c r="W20" s="3511">
        <v>186300</v>
      </c>
      <c r="X20" s="3511" t="s">
        <v>3935</v>
      </c>
      <c r="Y20" s="3511">
        <v>45000</v>
      </c>
      <c r="Z20" s="3511">
        <v>45000</v>
      </c>
    </row>
    <row r="21" spans="1:26">
      <c r="A21" s="3511" t="s">
        <v>4008</v>
      </c>
      <c r="B21" s="3511" t="s">
        <v>3377</v>
      </c>
      <c r="C21" s="3511" t="s">
        <v>4009</v>
      </c>
      <c r="D21" s="3511" t="s">
        <v>3922</v>
      </c>
      <c r="E21" s="3511">
        <v>25036.44</v>
      </c>
      <c r="F21" s="3511">
        <v>67598.39</v>
      </c>
      <c r="G21" s="3511">
        <v>2.7</v>
      </c>
      <c r="H21" s="3511" t="s">
        <v>3923</v>
      </c>
      <c r="I21" s="3511" t="s">
        <v>3924</v>
      </c>
      <c r="J21" s="3511" t="s">
        <v>4005</v>
      </c>
      <c r="K21" s="3512">
        <v>44554.000497685185</v>
      </c>
      <c r="L21" s="3512">
        <v>44554.000497685185</v>
      </c>
      <c r="M21" s="3511" t="s">
        <v>3926</v>
      </c>
      <c r="N21" s="3511" t="s">
        <v>4010</v>
      </c>
      <c r="O21" s="3511">
        <v>146000</v>
      </c>
      <c r="P21" s="3511">
        <v>30000</v>
      </c>
      <c r="Q21" s="3511" t="s">
        <v>4006</v>
      </c>
      <c r="R21" s="3511">
        <v>148400</v>
      </c>
      <c r="S21" s="3511">
        <v>59273.599999999999</v>
      </c>
      <c r="T21" s="3511">
        <v>21953</v>
      </c>
      <c r="U21" s="3511">
        <v>1.64</v>
      </c>
      <c r="V21" s="3511" t="s">
        <v>4011</v>
      </c>
      <c r="W21" s="3511">
        <v>167900</v>
      </c>
      <c r="X21" s="3511" t="s">
        <v>3929</v>
      </c>
      <c r="Y21" s="3511">
        <v>61000</v>
      </c>
      <c r="Z21" s="3511">
        <v>61000</v>
      </c>
    </row>
    <row r="22" spans="1:26">
      <c r="A22" s="3511" t="s">
        <v>4012</v>
      </c>
      <c r="B22" s="3511" t="s">
        <v>3377</v>
      </c>
      <c r="C22" s="3511" t="s">
        <v>4013</v>
      </c>
      <c r="D22" s="3511" t="s">
        <v>3922</v>
      </c>
      <c r="E22" s="3511">
        <v>26791.21</v>
      </c>
      <c r="F22" s="3511">
        <v>53582.42</v>
      </c>
      <c r="G22" s="3511">
        <v>2</v>
      </c>
      <c r="H22" s="3511" t="s">
        <v>3923</v>
      </c>
      <c r="I22" s="3511" t="s">
        <v>3924</v>
      </c>
      <c r="J22" s="3511" t="s">
        <v>4005</v>
      </c>
      <c r="K22" s="3512">
        <v>44554.000497685185</v>
      </c>
      <c r="L22" s="3512">
        <v>44554.000497685185</v>
      </c>
      <c r="M22" s="3511" t="s">
        <v>3926</v>
      </c>
      <c r="N22" s="3511" t="s">
        <v>4014</v>
      </c>
      <c r="O22" s="3511">
        <v>115000</v>
      </c>
      <c r="P22" s="3511">
        <v>23000</v>
      </c>
      <c r="Q22" s="3511" t="s">
        <v>4006</v>
      </c>
      <c r="R22" s="3511">
        <v>116800</v>
      </c>
      <c r="S22" s="3511">
        <v>43596.38</v>
      </c>
      <c r="T22" s="3511">
        <v>21798</v>
      </c>
      <c r="U22" s="3511">
        <v>1.57</v>
      </c>
      <c r="V22" s="3511" t="s">
        <v>4015</v>
      </c>
      <c r="W22" s="3511">
        <v>132250</v>
      </c>
      <c r="X22" s="3511" t="s">
        <v>3929</v>
      </c>
      <c r="Y22" s="3511">
        <v>61000</v>
      </c>
      <c r="Z22" s="3511">
        <v>61000</v>
      </c>
    </row>
    <row r="23" spans="1:26">
      <c r="A23" s="3511" t="s">
        <v>4016</v>
      </c>
      <c r="B23" s="3511" t="s">
        <v>3377</v>
      </c>
      <c r="C23" s="3511" t="s">
        <v>4017</v>
      </c>
      <c r="D23" s="3511" t="s">
        <v>3922</v>
      </c>
      <c r="E23" s="3511">
        <v>40082.199999999997</v>
      </c>
      <c r="F23" s="3511">
        <v>60123.3</v>
      </c>
      <c r="G23" s="3511">
        <v>1.5</v>
      </c>
      <c r="H23" s="3511" t="s">
        <v>3923</v>
      </c>
      <c r="I23" s="3511" t="s">
        <v>4018</v>
      </c>
      <c r="J23" s="3511" t="s">
        <v>3925</v>
      </c>
      <c r="K23" s="3512">
        <v>44550.000497685185</v>
      </c>
      <c r="L23" s="3512">
        <v>44550.000497685185</v>
      </c>
      <c r="M23" s="3511" t="s">
        <v>3926</v>
      </c>
      <c r="N23" s="3511" t="s">
        <v>4019</v>
      </c>
      <c r="O23" s="3511">
        <v>81924.009999999995</v>
      </c>
      <c r="P23" s="3511">
        <v>16400</v>
      </c>
      <c r="Q23" s="3511" t="s">
        <v>633</v>
      </c>
      <c r="R23" s="3511">
        <v>81924.009999999995</v>
      </c>
      <c r="S23" s="3511">
        <v>20439</v>
      </c>
      <c r="T23" s="3511">
        <v>13626</v>
      </c>
      <c r="U23" s="3511">
        <v>0</v>
      </c>
      <c r="V23" s="3511">
        <v>50</v>
      </c>
      <c r="W23" s="3511" t="s">
        <v>3930</v>
      </c>
      <c r="X23" s="3511" t="s">
        <v>3931</v>
      </c>
      <c r="Y23" s="3511" t="s">
        <v>3930</v>
      </c>
      <c r="Z23" s="3511" t="s">
        <v>3931</v>
      </c>
    </row>
    <row r="24" spans="1:26">
      <c r="A24" s="3511" t="s">
        <v>4020</v>
      </c>
      <c r="B24" s="3511" t="s">
        <v>3377</v>
      </c>
      <c r="C24" s="3511" t="s">
        <v>4021</v>
      </c>
      <c r="D24" s="3511" t="s">
        <v>3922</v>
      </c>
      <c r="E24" s="3511">
        <v>71316.899999999994</v>
      </c>
      <c r="F24" s="3511">
        <v>178292.25</v>
      </c>
      <c r="G24" s="3511" t="s">
        <v>4022</v>
      </c>
      <c r="H24" s="3511" t="s">
        <v>3923</v>
      </c>
      <c r="I24" s="3511" t="s">
        <v>3924</v>
      </c>
      <c r="J24" s="3511" t="s">
        <v>4023</v>
      </c>
      <c r="K24" s="3512">
        <v>44481.000497685185</v>
      </c>
      <c r="L24" s="3512">
        <v>44481.000497685185</v>
      </c>
      <c r="M24" s="3511" t="s">
        <v>3926</v>
      </c>
      <c r="N24" s="3511" t="s">
        <v>4024</v>
      </c>
      <c r="O24" s="3511">
        <v>685000</v>
      </c>
      <c r="P24" s="3511">
        <v>137000</v>
      </c>
      <c r="Q24" s="3511" t="s">
        <v>4025</v>
      </c>
      <c r="R24" s="3511">
        <v>685000</v>
      </c>
      <c r="S24" s="3511">
        <v>96050.16</v>
      </c>
      <c r="T24" s="3511">
        <v>38420</v>
      </c>
      <c r="U24" s="3511">
        <v>0</v>
      </c>
      <c r="V24" s="3511" t="s">
        <v>4026</v>
      </c>
      <c r="W24" s="3511">
        <v>787750</v>
      </c>
      <c r="X24" s="3511" t="s">
        <v>3929</v>
      </c>
      <c r="Y24" s="3511">
        <v>66000</v>
      </c>
      <c r="Z24" s="3511">
        <v>66000</v>
      </c>
    </row>
    <row r="25" spans="1:26">
      <c r="A25" s="3511" t="s">
        <v>4027</v>
      </c>
      <c r="B25" s="3511" t="s">
        <v>3377</v>
      </c>
      <c r="C25" s="3511" t="s">
        <v>4028</v>
      </c>
      <c r="D25" s="3511" t="s">
        <v>3922</v>
      </c>
      <c r="E25" s="3511">
        <v>72250</v>
      </c>
      <c r="F25" s="3511">
        <v>79475</v>
      </c>
      <c r="G25" s="3511">
        <v>1.1000000000000001</v>
      </c>
      <c r="H25" s="3511" t="s">
        <v>3923</v>
      </c>
      <c r="I25" s="3511" t="s">
        <v>3924</v>
      </c>
      <c r="J25" s="3511" t="s">
        <v>4023</v>
      </c>
      <c r="K25" s="3512">
        <v>44481.000497685185</v>
      </c>
      <c r="L25" s="3512">
        <v>44481.000497685185</v>
      </c>
      <c r="M25" s="3511" t="s">
        <v>3926</v>
      </c>
      <c r="N25" s="3511" t="s">
        <v>4029</v>
      </c>
      <c r="O25" s="3511">
        <v>98300</v>
      </c>
      <c r="P25" s="3511">
        <v>20000</v>
      </c>
      <c r="Q25" s="3511" t="s">
        <v>4025</v>
      </c>
      <c r="R25" s="3511">
        <v>98300</v>
      </c>
      <c r="S25" s="3511">
        <v>13605.53</v>
      </c>
      <c r="T25" s="3511">
        <v>12369</v>
      </c>
      <c r="U25" s="3511">
        <v>0</v>
      </c>
      <c r="V25" s="3511" t="s">
        <v>3969</v>
      </c>
      <c r="W25" s="3511">
        <v>103215</v>
      </c>
      <c r="X25" s="3511" t="s">
        <v>3929</v>
      </c>
      <c r="Y25" s="3511">
        <v>27000</v>
      </c>
      <c r="Z25" s="3511">
        <v>27000</v>
      </c>
    </row>
    <row r="26" spans="1:26">
      <c r="A26" s="3511" t="s">
        <v>4030</v>
      </c>
      <c r="B26" s="3511" t="s">
        <v>3377</v>
      </c>
      <c r="C26" s="3511" t="s">
        <v>4031</v>
      </c>
      <c r="D26" s="3511" t="s">
        <v>3922</v>
      </c>
      <c r="E26" s="3511">
        <v>48407.51</v>
      </c>
      <c r="F26" s="3511">
        <v>96815.01</v>
      </c>
      <c r="G26" s="3511" t="s">
        <v>3989</v>
      </c>
      <c r="H26" s="3511" t="s">
        <v>3923</v>
      </c>
      <c r="I26" s="3511" t="s">
        <v>3924</v>
      </c>
      <c r="J26" s="3511" t="s">
        <v>4032</v>
      </c>
      <c r="K26" s="3512">
        <v>44324.000497685185</v>
      </c>
      <c r="L26" s="3512">
        <v>44324.000497685185</v>
      </c>
      <c r="M26" s="3511" t="s">
        <v>3926</v>
      </c>
      <c r="N26" s="3511" t="s">
        <v>4033</v>
      </c>
      <c r="O26" s="3511">
        <v>145800</v>
      </c>
      <c r="P26" s="3511">
        <v>30000</v>
      </c>
      <c r="Q26" s="3511" t="s">
        <v>4034</v>
      </c>
      <c r="R26" s="3511">
        <v>145800</v>
      </c>
      <c r="S26" s="3511">
        <v>30119.29</v>
      </c>
      <c r="T26" s="3511">
        <v>15060</v>
      </c>
      <c r="U26" s="3511">
        <v>0</v>
      </c>
      <c r="V26" s="3511" t="s">
        <v>3957</v>
      </c>
      <c r="W26" s="3511">
        <v>167600</v>
      </c>
      <c r="X26" s="3511" t="s">
        <v>3929</v>
      </c>
      <c r="Y26" s="3511" t="s">
        <v>3930</v>
      </c>
      <c r="Z26" s="3511" t="s">
        <v>3931</v>
      </c>
    </row>
    <row r="27" spans="1:26">
      <c r="A27" s="3511" t="s">
        <v>4035</v>
      </c>
      <c r="B27" s="3511" t="s">
        <v>3377</v>
      </c>
      <c r="C27" s="3511" t="s">
        <v>4036</v>
      </c>
      <c r="D27" s="3511" t="s">
        <v>3922</v>
      </c>
      <c r="E27" s="3511">
        <v>56860.73</v>
      </c>
      <c r="F27" s="3511">
        <v>133065.75</v>
      </c>
      <c r="G27" s="3511" t="s">
        <v>4037</v>
      </c>
      <c r="H27" s="3511" t="s">
        <v>3923</v>
      </c>
      <c r="I27" s="3511" t="s">
        <v>3924</v>
      </c>
      <c r="J27" s="3511" t="s">
        <v>3925</v>
      </c>
      <c r="K27" s="3512">
        <v>44222.000497685185</v>
      </c>
      <c r="L27" s="3512">
        <v>44222.000497685185</v>
      </c>
      <c r="M27" s="3511" t="s">
        <v>3926</v>
      </c>
      <c r="N27" s="3511" t="s">
        <v>4038</v>
      </c>
      <c r="O27" s="3511">
        <v>420000</v>
      </c>
      <c r="P27" s="3511">
        <v>85000</v>
      </c>
      <c r="Q27" s="3511" t="s">
        <v>4039</v>
      </c>
      <c r="R27" s="3511">
        <v>465700</v>
      </c>
      <c r="S27" s="3511">
        <v>81901.87</v>
      </c>
      <c r="T27" s="3511">
        <v>34998</v>
      </c>
      <c r="U27" s="3511">
        <v>10.88</v>
      </c>
      <c r="V27" s="3511" t="s">
        <v>3957</v>
      </c>
      <c r="W27" s="3511" t="s">
        <v>3930</v>
      </c>
      <c r="X27" s="3511" t="s">
        <v>3931</v>
      </c>
      <c r="Y27" s="3511" t="s">
        <v>3930</v>
      </c>
      <c r="Z27" s="3511" t="s">
        <v>3931</v>
      </c>
    </row>
    <row r="29" spans="1:26" s="3515" customFormat="1">
      <c r="A29" s="3767" t="s">
        <v>3894</v>
      </c>
      <c r="B29" s="3767" t="s">
        <v>3895</v>
      </c>
      <c r="C29" s="3767" t="s">
        <v>3896</v>
      </c>
      <c r="D29" s="3767" t="s">
        <v>3897</v>
      </c>
      <c r="E29" s="3767" t="s">
        <v>3898</v>
      </c>
      <c r="F29" s="3767" t="s">
        <v>3899</v>
      </c>
      <c r="G29" s="3767" t="s">
        <v>3900</v>
      </c>
      <c r="H29" s="3767" t="s">
        <v>3901</v>
      </c>
      <c r="I29" s="3767" t="s">
        <v>3902</v>
      </c>
      <c r="J29" s="3767" t="s">
        <v>3903</v>
      </c>
      <c r="K29" s="3767" t="s">
        <v>3905</v>
      </c>
      <c r="L29" s="3767" t="s">
        <v>3906</v>
      </c>
      <c r="M29" s="3767" t="s">
        <v>3907</v>
      </c>
      <c r="N29" s="3767" t="s">
        <v>3908</v>
      </c>
      <c r="O29" s="3767" t="s">
        <v>3909</v>
      </c>
      <c r="P29" s="3767" t="s">
        <v>3910</v>
      </c>
      <c r="Q29" s="3767" t="s">
        <v>3911</v>
      </c>
      <c r="R29" s="3767" t="s">
        <v>3913</v>
      </c>
      <c r="S29" s="3767" t="s">
        <v>3914</v>
      </c>
      <c r="T29" s="3767" t="s">
        <v>3916</v>
      </c>
      <c r="U29" s="3767" t="s">
        <v>3917</v>
      </c>
      <c r="V29" s="3767" t="s">
        <v>4048</v>
      </c>
      <c r="W29" s="3767" t="s">
        <v>3919</v>
      </c>
    </row>
    <row r="30" spans="1:26" s="3515" customFormat="1">
      <c r="A30" s="3767" t="s">
        <v>4047</v>
      </c>
      <c r="B30" s="3767" t="s">
        <v>3377</v>
      </c>
      <c r="C30" s="3767" t="s">
        <v>4046</v>
      </c>
      <c r="D30" s="3767" t="s">
        <v>4045</v>
      </c>
      <c r="E30" s="3767">
        <v>88404.4</v>
      </c>
      <c r="F30" s="3767">
        <v>173209</v>
      </c>
      <c r="G30" s="3767" t="s">
        <v>4044</v>
      </c>
      <c r="H30" s="3767" t="s">
        <v>3923</v>
      </c>
      <c r="I30" s="3767" t="s">
        <v>4043</v>
      </c>
      <c r="J30" s="3767" t="s">
        <v>3925</v>
      </c>
      <c r="K30" s="3768">
        <v>43733.000497685185</v>
      </c>
      <c r="L30" s="3767" t="s">
        <v>3926</v>
      </c>
      <c r="M30" s="3767" t="s">
        <v>4042</v>
      </c>
      <c r="N30" s="3767">
        <v>330000</v>
      </c>
      <c r="O30" s="3767">
        <v>66000</v>
      </c>
      <c r="P30" s="3767" t="s">
        <v>4041</v>
      </c>
      <c r="Q30" s="3767">
        <v>330000</v>
      </c>
      <c r="R30" s="3767">
        <v>19052</v>
      </c>
      <c r="S30" s="3767">
        <v>0</v>
      </c>
      <c r="T30" s="3767" t="s">
        <v>3930</v>
      </c>
      <c r="U30" s="3767" t="s">
        <v>3931</v>
      </c>
      <c r="V30" s="3767" t="s">
        <v>3931</v>
      </c>
      <c r="W30" s="3767" t="s">
        <v>3931</v>
      </c>
    </row>
  </sheetData>
  <mergeCells count="46">
    <mergeCell ref="W29"/>
    <mergeCell ref="R30"/>
    <mergeCell ref="S30"/>
    <mergeCell ref="T30"/>
    <mergeCell ref="U30"/>
    <mergeCell ref="V30"/>
    <mergeCell ref="W30"/>
    <mergeCell ref="R29"/>
    <mergeCell ref="S29"/>
    <mergeCell ref="T29"/>
    <mergeCell ref="U29"/>
    <mergeCell ref="V29"/>
    <mergeCell ref="A30"/>
    <mergeCell ref="B30"/>
    <mergeCell ref="C30"/>
    <mergeCell ref="D30"/>
    <mergeCell ref="E30"/>
    <mergeCell ref="P30"/>
    <mergeCell ref="Q30"/>
    <mergeCell ref="J29"/>
    <mergeCell ref="K29"/>
    <mergeCell ref="L29"/>
    <mergeCell ref="M29"/>
    <mergeCell ref="N29"/>
    <mergeCell ref="J30"/>
    <mergeCell ref="K30"/>
    <mergeCell ref="L30"/>
    <mergeCell ref="P29"/>
    <mergeCell ref="Q29"/>
    <mergeCell ref="F29"/>
    <mergeCell ref="G29"/>
    <mergeCell ref="M30"/>
    <mergeCell ref="N30"/>
    <mergeCell ref="O30"/>
    <mergeCell ref="G30"/>
    <mergeCell ref="H30"/>
    <mergeCell ref="I30"/>
    <mergeCell ref="F30"/>
    <mergeCell ref="H29"/>
    <mergeCell ref="I29"/>
    <mergeCell ref="O29"/>
    <mergeCell ref="A29"/>
    <mergeCell ref="B29"/>
    <mergeCell ref="C29"/>
    <mergeCell ref="D29"/>
    <mergeCell ref="E29"/>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c r="D1" s="1359" t="s">
        <v>43</v>
      </c>
      <c r="E1" s="1360" t="s">
        <v>675</v>
      </c>
      <c r="F1" s="1060">
        <f ca="1">J53</f>
        <v>0</v>
      </c>
      <c r="G1" s="1375">
        <f>MATCH(C1,'数据-取费表'!A6:A16,0)+5</f>
        <v>8</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801</v>
      </c>
      <c r="B2" s="1383" t="e">
        <f ca="1">C40+J29+L46</f>
        <v>#DIV/0!</v>
      </c>
      <c r="C2" s="1384" t="s">
        <v>802</v>
      </c>
      <c r="D2" s="1384"/>
      <c r="E2" s="1385"/>
      <c r="F2" s="1386"/>
      <c r="G2" s="2701"/>
      <c r="H2" s="2690"/>
      <c r="I2" s="2690"/>
      <c r="J2" s="2690"/>
      <c r="K2" s="2691"/>
      <c r="L2" s="2690"/>
      <c r="M2" s="2690"/>
    </row>
    <row r="3" spans="1:37" ht="18" customHeight="1" thickBot="1">
      <c r="A3" s="1387" t="s">
        <v>803</v>
      </c>
      <c r="B3" s="1388">
        <f ca="1">IF(ISERROR(B2*10000/F43),0,ROUND(B2*10000/F43,0))</f>
        <v>0</v>
      </c>
      <c r="C3" s="1384" t="s">
        <v>804</v>
      </c>
      <c r="D3" s="1384"/>
      <c r="E3" s="1385"/>
      <c r="F3" s="1386"/>
      <c r="G3" s="2701"/>
      <c r="H3" s="682" t="s">
        <v>873</v>
      </c>
      <c r="I3" s="1379"/>
      <c r="J3" s="1379"/>
      <c r="K3" s="1380"/>
      <c r="L3" s="1379"/>
      <c r="M3" s="1379"/>
    </row>
    <row r="4" spans="1:37" ht="18" customHeight="1">
      <c r="A4" s="295" t="s">
        <v>684</v>
      </c>
      <c r="B4" s="296" t="s">
        <v>685</v>
      </c>
      <c r="C4" s="296" t="s">
        <v>686</v>
      </c>
      <c r="D4" s="296" t="s">
        <v>687</v>
      </c>
      <c r="E4" s="297" t="s">
        <v>688</v>
      </c>
      <c r="F4" s="298"/>
      <c r="G4" s="1381"/>
      <c r="H4" s="295" t="s">
        <v>684</v>
      </c>
      <c r="I4" s="296" t="s">
        <v>685</v>
      </c>
      <c r="J4" s="296" t="s">
        <v>686</v>
      </c>
      <c r="K4" s="296" t="s">
        <v>687</v>
      </c>
      <c r="L4" s="297" t="s">
        <v>688</v>
      </c>
      <c r="M4" s="298"/>
    </row>
    <row r="5" spans="1:37" ht="18" customHeight="1">
      <c r="A5" s="299">
        <v>1</v>
      </c>
      <c r="B5" s="300" t="s">
        <v>689</v>
      </c>
      <c r="C5" s="1068">
        <f ca="1">C6+C10+C12</f>
        <v>0</v>
      </c>
      <c r="D5" s="1361" t="s">
        <v>690</v>
      </c>
      <c r="E5" s="1069"/>
      <c r="F5" s="1070"/>
      <c r="G5" s="1381"/>
      <c r="H5" s="299">
        <v>1</v>
      </c>
      <c r="I5" s="300" t="s">
        <v>689</v>
      </c>
      <c r="J5" s="1068">
        <f ca="1">J6+J10+J12</f>
        <v>0</v>
      </c>
      <c r="K5" s="1361" t="s">
        <v>690</v>
      </c>
      <c r="L5" s="1069"/>
      <c r="M5" s="1070"/>
    </row>
    <row r="6" spans="1:37" ht="18" customHeight="1">
      <c r="A6" s="1067" t="s">
        <v>398</v>
      </c>
      <c r="B6" s="3771" t="s">
        <v>691</v>
      </c>
      <c r="C6" s="1072">
        <f ca="1">ROUND(F6*F8*F7*(1-F9)/10000,0)</f>
        <v>0</v>
      </c>
      <c r="D6" s="155" t="s">
        <v>2105</v>
      </c>
      <c r="E6" s="302" t="s">
        <v>693</v>
      </c>
      <c r="F6" s="303">
        <f ca="1">INDIRECT("'数据-取费表'!u"&amp;$G$1)</f>
        <v>0</v>
      </c>
      <c r="G6" s="1381"/>
      <c r="H6" s="1067" t="s">
        <v>398</v>
      </c>
      <c r="I6" s="3771" t="s">
        <v>691</v>
      </c>
      <c r="J6" s="301">
        <f ca="1">ROUND(M6*M8*M7*(1-M9)/10000,0)</f>
        <v>0</v>
      </c>
      <c r="K6" s="155" t="s">
        <v>2104</v>
      </c>
      <c r="L6" s="302" t="s">
        <v>693</v>
      </c>
      <c r="M6" s="303">
        <f ca="1">INDIRECT("'数据-取费表'!z"&amp;$G$1)</f>
        <v>0</v>
      </c>
    </row>
    <row r="7" spans="1:37" ht="18" customHeight="1">
      <c r="A7" s="1071"/>
      <c r="B7" s="3772"/>
      <c r="C7" s="1073"/>
      <c r="D7" s="307"/>
      <c r="E7" s="1074" t="s">
        <v>694</v>
      </c>
      <c r="F7" s="303">
        <f ca="1">IF(INDIRECT("'数据-取费表'!ah"&amp;$G$1)="",INDIRECT("'数据-取费表'!k"&amp;$G$1),INDIRECT("'数据-取费表'!ah"&amp;$G$1))</f>
        <v>0</v>
      </c>
      <c r="G7" s="1381"/>
      <c r="H7" s="304"/>
      <c r="I7" s="3772"/>
      <c r="J7" s="306"/>
      <c r="K7" s="307"/>
      <c r="L7" s="302" t="s">
        <v>694</v>
      </c>
      <c r="M7" s="303">
        <f ca="1">F7</f>
        <v>0</v>
      </c>
    </row>
    <row r="8" spans="1:37" ht="18" customHeight="1">
      <c r="A8" s="304"/>
      <c r="B8" s="3772"/>
      <c r="C8" s="306"/>
      <c r="D8" s="307"/>
      <c r="E8" s="302" t="s">
        <v>695</v>
      </c>
      <c r="F8" s="303">
        <f ca="1">INDIRECT("'数据-取费表'!ai"&amp;$G$1)</f>
        <v>0</v>
      </c>
      <c r="G8" s="1381"/>
      <c r="H8" s="304"/>
      <c r="I8" s="3772"/>
      <c r="J8" s="306"/>
      <c r="K8" s="307"/>
      <c r="L8" s="302" t="s">
        <v>695</v>
      </c>
      <c r="M8" s="303">
        <f ca="1">INDIRECT("'数据-取费表'!ai"&amp;$G$1)</f>
        <v>0</v>
      </c>
    </row>
    <row r="9" spans="1:37" ht="18" customHeight="1">
      <c r="A9" s="304"/>
      <c r="B9" s="3773"/>
      <c r="C9" s="306"/>
      <c r="D9" s="307"/>
      <c r="E9" s="302" t="s">
        <v>696</v>
      </c>
      <c r="F9" s="312">
        <f ca="1">INDIRECT("'数据-取费表'!w"&amp;$G$1)</f>
        <v>0</v>
      </c>
      <c r="G9" s="1381"/>
      <c r="H9" s="304"/>
      <c r="I9" s="3773"/>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2113</v>
      </c>
      <c r="E10" s="313" t="s">
        <v>698</v>
      </c>
      <c r="F10" s="1114"/>
      <c r="G10" s="1381"/>
      <c r="H10" s="1067" t="s">
        <v>402</v>
      </c>
      <c r="I10" s="1362" t="s">
        <v>697</v>
      </c>
      <c r="J10" s="301">
        <f ca="1">ROUND(IF(M10="押一",J6/12*M11,IF(M10="押二",J6/12*2*M11,IF(M10="押三",J6/12*3*M11,J11*M11))),0)</f>
        <v>0</v>
      </c>
      <c r="K10" s="1363" t="s">
        <v>2112</v>
      </c>
      <c r="L10" s="313" t="s">
        <v>698</v>
      </c>
      <c r="M10" s="1114"/>
    </row>
    <row r="11" spans="1:37" ht="18" customHeight="1">
      <c r="A11" s="308"/>
      <c r="B11" s="1364" t="s">
        <v>676</v>
      </c>
      <c r="C11" s="958"/>
      <c r="D11" s="1365"/>
      <c r="E11" s="313" t="s">
        <v>699</v>
      </c>
      <c r="F11" s="314">
        <f ca="1">'数据-取费表'!B39</f>
        <v>1.4999999999999999E-2</v>
      </c>
      <c r="G11" s="1381"/>
      <c r="H11" s="1075"/>
      <c r="I11" s="1364" t="s">
        <v>676</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0</v>
      </c>
      <c r="D13" s="1079" t="s">
        <v>702</v>
      </c>
      <c r="E13" s="1079" t="s">
        <v>703</v>
      </c>
      <c r="F13" s="1080">
        <f ca="1">INDIRECT("'数据-取费表'!y"&amp;$G$1)</f>
        <v>0</v>
      </c>
      <c r="G13" s="1381"/>
      <c r="H13" s="1077">
        <v>2</v>
      </c>
      <c r="I13" s="1078" t="s">
        <v>701</v>
      </c>
      <c r="J13" s="1066">
        <f ca="1">ROUND(J14*J15,0)</f>
        <v>0</v>
      </c>
      <c r="K13" s="1085" t="s">
        <v>702</v>
      </c>
      <c r="L13" s="1389"/>
      <c r="M13" s="1390"/>
    </row>
    <row r="14" spans="1:37" ht="18" customHeight="1">
      <c r="A14" s="981" t="s">
        <v>397</v>
      </c>
      <c r="B14" s="302" t="s">
        <v>704</v>
      </c>
      <c r="C14" s="318">
        <f ca="1">INDIRECT("'数据-取费表'!m"&amp;$G$1)+INDIRECT("'数据-取费表'!t"&amp;$G$1)</f>
        <v>0</v>
      </c>
      <c r="D14" s="1342" t="s">
        <v>705</v>
      </c>
      <c r="E14" s="1339"/>
      <c r="F14" s="319"/>
      <c r="G14" s="1381"/>
      <c r="H14" s="981" t="s">
        <v>398</v>
      </c>
      <c r="I14" s="302" t="s">
        <v>706</v>
      </c>
      <c r="J14" s="21">
        <f ca="1">C29</f>
        <v>0</v>
      </c>
      <c r="K14" s="12"/>
      <c r="L14" s="806"/>
      <c r="M14" s="807"/>
    </row>
    <row r="15" spans="1:37" s="1394" customFormat="1" ht="18" customHeight="1" thickBot="1">
      <c r="A15" s="981" t="s">
        <v>399</v>
      </c>
      <c r="B15" s="302" t="s">
        <v>707</v>
      </c>
      <c r="C15" s="21">
        <f ca="1">ROUND(C14*F15,0)</f>
        <v>0</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1"/>
      <c r="H16" s="1077" t="s">
        <v>393</v>
      </c>
      <c r="I16" s="1078" t="s">
        <v>711</v>
      </c>
      <c r="J16" s="310">
        <f ca="1">ROUND(J17+J22+J23+J24,0)</f>
        <v>0</v>
      </c>
      <c r="K16" s="1085" t="s">
        <v>712</v>
      </c>
      <c r="L16" s="1086"/>
      <c r="M16" s="1070"/>
    </row>
    <row r="17" spans="1:37" s="1394" customFormat="1" ht="18" customHeight="1">
      <c r="A17" s="981" t="s">
        <v>678</v>
      </c>
      <c r="B17" s="302" t="s">
        <v>713</v>
      </c>
      <c r="C17" s="21">
        <f ca="1">ROUND(F17*(F43+INDIRECT("'数据-取费表'!S"&amp;$G$1))/10000,0)</f>
        <v>0</v>
      </c>
      <c r="D17" s="302" t="s">
        <v>714</v>
      </c>
      <c r="E17" s="302" t="s">
        <v>715</v>
      </c>
      <c r="F17" s="23">
        <f>'数据-取费表'!B35</f>
        <v>200</v>
      </c>
      <c r="G17" s="1393"/>
      <c r="H17" s="981" t="s">
        <v>398</v>
      </c>
      <c r="I17" s="302" t="s">
        <v>716</v>
      </c>
      <c r="J17" s="2311">
        <f ca="1">ROUND(IF(AND(项目基本情况!B11="自然人",项目基本情况!B10="北京市"),J6*M17/(1+'数据-取费表'!C42),J18+J19+J20),2)</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0</v>
      </c>
      <c r="D18" s="302" t="s">
        <v>708</v>
      </c>
      <c r="E18" s="302" t="s">
        <v>709</v>
      </c>
      <c r="F18" s="322">
        <f>'数据-取费表'!B36</f>
        <v>1.4999999999999999E-2</v>
      </c>
      <c r="G18" s="1393"/>
      <c r="H18" s="981" t="s">
        <v>397</v>
      </c>
      <c r="I18" s="302" t="s">
        <v>720</v>
      </c>
      <c r="J18" s="21">
        <f ca="1">ROUND(J6*M18/(1+'数据-取费表'!C42),2)</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0</v>
      </c>
      <c r="D19" s="131" t="s">
        <v>723</v>
      </c>
      <c r="E19" s="1357"/>
      <c r="F19" s="23"/>
      <c r="G19" s="1381"/>
      <c r="H19" s="981" t="s">
        <v>399</v>
      </c>
      <c r="I19" s="302" t="s">
        <v>724</v>
      </c>
      <c r="J19" s="21">
        <f ca="1">IF(K19="按租金收入计税",ROUND(J6*M19/(1+'数据-取费表'!C42),2),ROUND(C29*M19*0.7,2))</f>
        <v>0</v>
      </c>
      <c r="K19" s="1367" t="s">
        <v>3338</v>
      </c>
      <c r="L19" s="302" t="s">
        <v>709</v>
      </c>
      <c r="M19" s="322">
        <f>IF(K19="按租金收入计税",'数据-取费表'!B51,'数据-取费表'!B50)</f>
        <v>0.12</v>
      </c>
    </row>
    <row r="20" spans="1:37" s="1394" customFormat="1" ht="18" customHeight="1">
      <c r="A20" s="981" t="s">
        <v>402</v>
      </c>
      <c r="B20" s="302" t="s">
        <v>725</v>
      </c>
      <c r="C20" s="21">
        <f ca="1">ROUND(C19*F20,0)</f>
        <v>0</v>
      </c>
      <c r="D20" s="323" t="s">
        <v>726</v>
      </c>
      <c r="E20" s="302" t="s">
        <v>709</v>
      </c>
      <c r="F20" s="322">
        <f>'数据-取费表'!B37</f>
        <v>0.02</v>
      </c>
      <c r="G20" s="1393"/>
      <c r="H20" s="981" t="s">
        <v>677</v>
      </c>
      <c r="I20" s="155" t="s">
        <v>727</v>
      </c>
      <c r="J20" s="22">
        <f ca="1">ROUND(M20*M21/10000,2)</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15</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ROUND(J14*M22,2)</f>
        <v>0</v>
      </c>
      <c r="K22" s="1341" t="s">
        <v>736</v>
      </c>
      <c r="L22" s="302" t="s">
        <v>709</v>
      </c>
      <c r="M22" s="328">
        <f ca="1">INDIRECT("'数据-取费表'!Ak"&amp;$G$1)</f>
        <v>0</v>
      </c>
    </row>
    <row r="23" spans="1:37" s="1394" customFormat="1" ht="18" customHeight="1">
      <c r="A23" s="981"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ROUND(J13*M23,2)</f>
        <v>0</v>
      </c>
      <c r="K23" s="1341" t="s">
        <v>740</v>
      </c>
      <c r="L23" s="302" t="s">
        <v>741</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ROUND(J5*M24,2)</f>
        <v>0</v>
      </c>
      <c r="K24" s="1090" t="s">
        <v>745</v>
      </c>
      <c r="L24" s="1088" t="s">
        <v>741</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746</v>
      </c>
      <c r="B25" s="302" t="s">
        <v>747</v>
      </c>
      <c r="C25" s="21"/>
      <c r="D25" s="131" t="s">
        <v>748</v>
      </c>
      <c r="E25" s="1357"/>
      <c r="F25" s="23"/>
      <c r="G25" s="1381"/>
      <c r="H25" s="1077" t="s">
        <v>394</v>
      </c>
      <c r="I25" s="1092" t="s">
        <v>749</v>
      </c>
      <c r="J25" s="310">
        <f ca="1">J5-J16</f>
        <v>0</v>
      </c>
      <c r="K25" s="1093" t="s">
        <v>750</v>
      </c>
      <c r="L25" s="1094"/>
      <c r="M25" s="1095"/>
    </row>
    <row r="26" spans="1:37">
      <c r="A26" s="981" t="s">
        <v>397</v>
      </c>
      <c r="B26" s="302" t="s">
        <v>751</v>
      </c>
      <c r="C26" s="21">
        <f ca="1">ROUND((C19+C20)*F26,0)</f>
        <v>0</v>
      </c>
      <c r="D26" s="323" t="s">
        <v>752</v>
      </c>
      <c r="E26" s="313" t="s">
        <v>753</v>
      </c>
      <c r="F26" s="312">
        <f ca="1">INDIRECT("'数据-取费表'!q"&amp;$G$1)</f>
        <v>0</v>
      </c>
      <c r="G26" s="1381"/>
      <c r="H26" s="299" t="s">
        <v>395</v>
      </c>
      <c r="I26" s="300" t="s">
        <v>754</v>
      </c>
      <c r="J26" s="301">
        <f ca="1">IF(J5&lt;&gt;0,ROUND(J25*(1-((1+M28)/(1+M26))^M27)/(M26-M28),0),0)</f>
        <v>0</v>
      </c>
      <c r="K26" s="324" t="s">
        <v>755</v>
      </c>
      <c r="L26" s="302" t="s">
        <v>756</v>
      </c>
      <c r="M26" s="312">
        <f ca="1">INDIRECT("'数据-取费表'!I"&amp;$G$1)</f>
        <v>0</v>
      </c>
    </row>
    <row r="27" spans="1:37" ht="18" customHeight="1">
      <c r="A27" s="981" t="s">
        <v>399</v>
      </c>
      <c r="B27" s="302" t="s">
        <v>757</v>
      </c>
      <c r="C27" s="21">
        <f ca="1">ROUND(F21*F26,4)</f>
        <v>0</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0</v>
      </c>
      <c r="D29" s="1090"/>
      <c r="E29" s="1088"/>
      <c r="F29" s="1091"/>
      <c r="G29" s="1393"/>
      <c r="H29" s="334" t="s">
        <v>396</v>
      </c>
      <c r="I29" s="335" t="s">
        <v>765</v>
      </c>
      <c r="J29" s="336">
        <f ca="1">ROUND(J26/(1+F40)^F41,0)</f>
        <v>0</v>
      </c>
      <c r="K29" s="337" t="s">
        <v>766</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0</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ROUND(IF(AND(项目基本情况!B11="自然人",项目基本情况!B10="北京市"),C6*F31/(1+'数据-取费表'!C42),C32+C33+C34),2)</f>
        <v>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IF(项目基本情况!B11="自然人","——",ROUND(C6*F32/(1+'数据-取费表'!C42),2))</f>
        <v>0</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IF(项目基本情况!B11="自然人","——",IF(D33="按租金收入计税",ROUND(C6*F33/(1+'数据-取费表'!C42),2),IF(D33="按房产原值计税",ROUND(C29*F33*0.7,2),INDIRECT("'数据-取费表'!Aj"&amp;$G$1))))</f>
        <v>0</v>
      </c>
      <c r="D33" s="1367" t="s">
        <v>3338</v>
      </c>
      <c r="E33" s="302" t="s">
        <v>709</v>
      </c>
      <c r="F33" s="322">
        <f>IF(D33="按票据","——",IF(D33="按租金收入计税",'数据-取费表'!B51,'数据-取费表'!B50))</f>
        <v>0.12</v>
      </c>
      <c r="G33" s="1381"/>
      <c r="H33" s="2695"/>
      <c r="I33" s="1395"/>
      <c r="J33" s="1396"/>
      <c r="K33" s="2696"/>
      <c r="L33" s="2695"/>
      <c r="M33" s="2695"/>
    </row>
    <row r="34" spans="1:18" ht="18" customHeight="1">
      <c r="A34" s="1067" t="s">
        <v>677</v>
      </c>
      <c r="B34" s="155" t="s">
        <v>727</v>
      </c>
      <c r="C34" s="22">
        <f ca="1">IF(项目基本情况!B11="自然人","——",ROUND(F34*F35/10000,2))</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ROUND(C29*F36,2)</f>
        <v>0</v>
      </c>
      <c r="D36" s="1341" t="s">
        <v>768</v>
      </c>
      <c r="E36" s="302" t="s">
        <v>709</v>
      </c>
      <c r="F36" s="328">
        <f ca="1">INDIRECT("'数据-取费表'!Ak"&amp;$G$1)</f>
        <v>0</v>
      </c>
      <c r="G36" s="1381"/>
      <c r="H36" s="2695"/>
      <c r="I36" s="1395"/>
      <c r="J36" s="1396"/>
      <c r="K36" s="2539"/>
      <c r="L36" s="2695"/>
      <c r="M36" s="2695"/>
    </row>
    <row r="37" spans="1:18" ht="18" customHeight="1">
      <c r="A37" s="981" t="s">
        <v>437</v>
      </c>
      <c r="B37" s="302" t="s">
        <v>739</v>
      </c>
      <c r="C37" s="21">
        <f ca="1">ROUND(C13*F37,2)</f>
        <v>0</v>
      </c>
      <c r="D37" s="1341" t="s">
        <v>740</v>
      </c>
      <c r="E37" s="302" t="s">
        <v>741</v>
      </c>
      <c r="F37" s="330">
        <f ca="1">INDIRECT("'数据-取费表'!Al"&amp;$G$1)</f>
        <v>0</v>
      </c>
      <c r="G37" s="1381"/>
      <c r="H37" s="2695"/>
      <c r="I37" s="1395"/>
      <c r="J37" s="1396"/>
      <c r="K37" s="2539"/>
      <c r="L37" s="2695"/>
      <c r="M37" s="2695"/>
    </row>
    <row r="38" spans="1:18" ht="18" customHeight="1" thickBot="1">
      <c r="A38" s="1087" t="s">
        <v>681</v>
      </c>
      <c r="B38" s="1088" t="s">
        <v>725</v>
      </c>
      <c r="C38" s="1089">
        <f ca="1">ROUND(C5*F38,2)</f>
        <v>0</v>
      </c>
      <c r="D38" s="1090" t="s">
        <v>745</v>
      </c>
      <c r="E38" s="1088" t="s">
        <v>741</v>
      </c>
      <c r="F38" s="1084">
        <f ca="1">INDIRECT("'数据-取费表'!Am"&amp;$G$1)</f>
        <v>0</v>
      </c>
      <c r="G38" s="1381"/>
      <c r="H38" s="2695"/>
      <c r="I38" s="1395"/>
      <c r="J38" s="1396"/>
      <c r="K38" s="2699"/>
      <c r="L38" s="2695"/>
      <c r="M38" s="2695"/>
    </row>
    <row r="39" spans="1:18" ht="24.6" customHeight="1" thickTop="1">
      <c r="A39" s="1077" t="s">
        <v>394</v>
      </c>
      <c r="B39" s="1092" t="s">
        <v>769</v>
      </c>
      <c r="C39" s="310">
        <f ca="1">C5-C30</f>
        <v>0</v>
      </c>
      <c r="D39" s="1093" t="s">
        <v>770</v>
      </c>
      <c r="E39" s="1094"/>
      <c r="F39" s="1095"/>
      <c r="G39" s="1381"/>
      <c r="H39" s="2695"/>
      <c r="I39" s="1395"/>
      <c r="J39" s="1396"/>
      <c r="K39" s="2699"/>
      <c r="L39" s="2695"/>
      <c r="M39" s="2695"/>
    </row>
    <row r="40" spans="1:18" ht="18" customHeight="1">
      <c r="A40" s="299" t="s">
        <v>395</v>
      </c>
      <c r="B40" s="300" t="s">
        <v>771</v>
      </c>
      <c r="C40" s="301" t="e">
        <f ca="1">ROUND(C39*(1-((1+F42)/(1+F40))^F41)/(F40-F42),0)</f>
        <v>#DIV/0!</v>
      </c>
      <c r="D40" s="324" t="s">
        <v>755</v>
      </c>
      <c r="E40" s="302" t="s">
        <v>756</v>
      </c>
      <c r="F40" s="312">
        <f ca="1">INDIRECT("'数据-取费表'!I"&amp;$G$1)</f>
        <v>0</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763</v>
      </c>
      <c r="F42" s="312">
        <f ca="1">INDIRECT("'数据-取费表'!v"&amp;$G$1)</f>
        <v>0</v>
      </c>
      <c r="G42" s="1381"/>
      <c r="H42" s="1188"/>
      <c r="I42" s="1395"/>
      <c r="J42" s="1396"/>
      <c r="K42" s="2539"/>
      <c r="L42" s="1188"/>
      <c r="M42" s="1188"/>
    </row>
    <row r="43" spans="1:18" ht="18" customHeight="1" thickBot="1">
      <c r="A43" s="334" t="s">
        <v>396</v>
      </c>
      <c r="B43" s="335" t="s">
        <v>773</v>
      </c>
      <c r="C43" s="336" t="e">
        <f ca="1">ROUND(C40*10000/F43,0)</f>
        <v>#DIV/0!</v>
      </c>
      <c r="D43" s="337" t="s">
        <v>774</v>
      </c>
      <c r="E43" s="338" t="s">
        <v>775</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805</v>
      </c>
      <c r="P45" s="1458"/>
      <c r="Q45" s="1458"/>
      <c r="R45" s="1458"/>
    </row>
    <row r="46" spans="1:18" s="1381" customFormat="1" ht="13.5" thickBot="1">
      <c r="A46" s="1401" t="s">
        <v>806</v>
      </c>
      <c r="C46" s="1402" t="e">
        <f ca="1">C68-C40</f>
        <v>#DIV/0!</v>
      </c>
      <c r="D46" s="1403" t="str">
        <f>C2</f>
        <v>万元</v>
      </c>
      <c r="E46" s="1397"/>
      <c r="F46" s="1397"/>
      <c r="I46" s="1404" t="s">
        <v>807</v>
      </c>
      <c r="J46" s="1405"/>
      <c r="K46" s="1406"/>
      <c r="L46" s="1407" t="e">
        <f ca="1">IF(M47="住宅",0,IF(L48&gt;J51,L60,J60))</f>
        <v>#DIV/0!</v>
      </c>
      <c r="O46" s="1408" t="s">
        <v>808</v>
      </c>
      <c r="P46" s="1409" t="s">
        <v>809</v>
      </c>
      <c r="Q46" s="1410" t="s">
        <v>810</v>
      </c>
      <c r="R46" s="1410" t="s">
        <v>811</v>
      </c>
    </row>
    <row r="47" spans="1:18" s="1381" customFormat="1" ht="13.5" thickBot="1">
      <c r="A47" s="945" t="s">
        <v>684</v>
      </c>
      <c r="B47" s="977" t="s">
        <v>685</v>
      </c>
      <c r="C47" s="1115" t="s">
        <v>686</v>
      </c>
      <c r="D47" s="977" t="s">
        <v>687</v>
      </c>
      <c r="E47" s="1056" t="s">
        <v>688</v>
      </c>
      <c r="F47" s="1057"/>
      <c r="G47" s="721"/>
      <c r="I47" s="1411" t="s">
        <v>812</v>
      </c>
      <c r="J47" s="1412"/>
      <c r="K47" s="1413" t="s">
        <v>813</v>
      </c>
      <c r="L47" s="1414">
        <f ca="1">INDIRECT("'数据-取费表'!d"&amp;$G$1)</f>
        <v>0</v>
      </c>
      <c r="M47" s="1377" t="str">
        <f>IF(ISNUMBER(FIND("住宅",C1)),"住宅","非住宅")</f>
        <v>非住宅</v>
      </c>
      <c r="O47" s="1415" t="s">
        <v>403</v>
      </c>
      <c r="P47" s="1416" t="s">
        <v>814</v>
      </c>
      <c r="Q47" s="1417" t="e">
        <f ca="1">C40+J29</f>
        <v>#DIV/0!</v>
      </c>
      <c r="R47" s="1417" t="s">
        <v>815</v>
      </c>
    </row>
    <row r="48" spans="1:18" s="1381" customFormat="1" ht="28.5" thickBot="1">
      <c r="A48" s="1108" t="s">
        <v>438</v>
      </c>
      <c r="B48" s="300" t="s">
        <v>689</v>
      </c>
      <c r="C48" s="1356">
        <f ca="1">C49+C53+C55</f>
        <v>0</v>
      </c>
      <c r="D48" s="1110"/>
      <c r="E48" s="1111"/>
      <c r="F48" s="961"/>
      <c r="G48" s="721"/>
      <c r="H48" s="722"/>
      <c r="I48" s="1418" t="s">
        <v>816</v>
      </c>
      <c r="J48" s="1419"/>
      <c r="K48" s="1420" t="s">
        <v>817</v>
      </c>
      <c r="L48" s="1421">
        <f ca="1">INDIRECT("'数据-取费表'!f"&amp;$G$1)</f>
        <v>0</v>
      </c>
      <c r="O48" s="1415" t="s">
        <v>404</v>
      </c>
      <c r="P48" s="1416" t="s">
        <v>818</v>
      </c>
      <c r="Q48" s="1417" t="e">
        <f ca="1">J60</f>
        <v>#DIV/0!</v>
      </c>
      <c r="R48" s="1417" t="s">
        <v>819</v>
      </c>
    </row>
    <row r="49" spans="1:18" s="1381" customFormat="1" ht="13.5" thickBot="1">
      <c r="A49" s="974" t="s">
        <v>439</v>
      </c>
      <c r="B49" s="1368" t="s">
        <v>776</v>
      </c>
      <c r="C49" s="1112">
        <f ca="1">ROUND(F49*F51*F50*(1-F52)/10000,0)</f>
        <v>0</v>
      </c>
      <c r="D49" s="1053" t="s">
        <v>2106</v>
      </c>
      <c r="E49" s="1369" t="s">
        <v>777</v>
      </c>
      <c r="F49" s="1058"/>
      <c r="G49" s="1422"/>
      <c r="H49" s="722"/>
      <c r="I49" s="1418" t="s">
        <v>820</v>
      </c>
      <c r="J49" s="1423"/>
      <c r="K49" s="1420" t="s">
        <v>821</v>
      </c>
      <c r="L49" s="1424"/>
      <c r="O49" s="1425" t="s">
        <v>405</v>
      </c>
      <c r="P49" s="1416" t="s">
        <v>822</v>
      </c>
      <c r="Q49" s="1417">
        <f ca="1">C29</f>
        <v>0</v>
      </c>
      <c r="R49" s="1417" t="s">
        <v>815</v>
      </c>
    </row>
    <row r="50" spans="1:18" s="1381" customFormat="1" ht="13.5" thickBot="1">
      <c r="A50" s="975"/>
      <c r="B50" s="978"/>
      <c r="C50" s="1116"/>
      <c r="D50" s="952"/>
      <c r="E50" s="1054" t="s">
        <v>694</v>
      </c>
      <c r="F50" s="1055">
        <f ca="1">F7</f>
        <v>0</v>
      </c>
      <c r="H50" s="722"/>
      <c r="I50" s="1418" t="s">
        <v>823</v>
      </c>
      <c r="J50" s="1426">
        <f>SUMPRODUCT((I63:I65=J47)*(J62:L62=J48)*(J63:L65))</f>
        <v>0</v>
      </c>
      <c r="K50" s="1420" t="s">
        <v>824</v>
      </c>
      <c r="L50" s="1424"/>
      <c r="M50" s="1427"/>
      <c r="O50" s="1425" t="s">
        <v>406</v>
      </c>
      <c r="P50" s="1416" t="s">
        <v>825</v>
      </c>
      <c r="Q50" s="1428" t="e">
        <f ca="1">J58</f>
        <v>#DIV/0!</v>
      </c>
      <c r="R50" s="1417"/>
    </row>
    <row r="51" spans="1:18" s="1381" customFormat="1" ht="13.5" thickBot="1">
      <c r="A51" s="976"/>
      <c r="B51" s="978"/>
      <c r="C51" s="979"/>
      <c r="D51" s="952"/>
      <c r="E51" s="980" t="s">
        <v>695</v>
      </c>
      <c r="F51" s="303">
        <f ca="1">F8</f>
        <v>0</v>
      </c>
      <c r="I51" s="1429" t="s">
        <v>826</v>
      </c>
      <c r="J51" s="1430">
        <f>IF(J49="",J50,J49+J50-YEAR('数据-取费表'!B2))</f>
        <v>0</v>
      </c>
      <c r="K51" s="1431" t="s">
        <v>827</v>
      </c>
      <c r="L51" s="1432">
        <f ca="1">ROUND(-PV(INDIRECT("'数据-取费表'!h"&amp;$G$1),J51,(C39-C13*C76),0),0)</f>
        <v>0</v>
      </c>
      <c r="M51" s="1433"/>
      <c r="O51" s="1425" t="s">
        <v>407</v>
      </c>
      <c r="P51" s="1416" t="s">
        <v>828</v>
      </c>
      <c r="Q51" s="1428">
        <f>J52</f>
        <v>0</v>
      </c>
      <c r="R51" s="1417"/>
    </row>
    <row r="52" spans="1:18" s="1381" customFormat="1" ht="13.5" thickBot="1">
      <c r="A52" s="976"/>
      <c r="B52" s="978"/>
      <c r="C52" s="979"/>
      <c r="D52" s="952"/>
      <c r="E52" s="980" t="s">
        <v>696</v>
      </c>
      <c r="F52" s="1052"/>
      <c r="I52" s="1434" t="s">
        <v>829</v>
      </c>
      <c r="J52" s="1435"/>
      <c r="K52" s="1434" t="s">
        <v>830</v>
      </c>
      <c r="L52" s="1435"/>
      <c r="O52" s="1425" t="s">
        <v>408</v>
      </c>
      <c r="P52" s="1416" t="s">
        <v>831</v>
      </c>
      <c r="Q52" s="1417">
        <f ca="1">J53</f>
        <v>0</v>
      </c>
      <c r="R52" s="1417" t="s">
        <v>832</v>
      </c>
    </row>
    <row r="53" spans="1:18" s="1381" customFormat="1" ht="24.75" thickBot="1">
      <c r="A53" s="1150" t="s">
        <v>440</v>
      </c>
      <c r="B53" s="1370" t="s">
        <v>697</v>
      </c>
      <c r="C53" s="316">
        <f ca="1">ROUND(IF(F53="押一",C49/12*F11,IF(F53="押二",C49/12*2*F11,IF(F53="押三",C49/12*3*F11,C54*F11))),0)</f>
        <v>0</v>
      </c>
      <c r="D53" s="1363" t="s">
        <v>2112</v>
      </c>
      <c r="E53" s="313" t="s">
        <v>698</v>
      </c>
      <c r="F53" s="1114"/>
      <c r="I53" s="1436" t="s">
        <v>833</v>
      </c>
      <c r="J53" s="2163">
        <f ca="1">IF(M47="住宅",IF(D1="——",MAX(J51,L48),MAX(J51,L48-'数据-取费表'!B24)),IF(D1="——",MIN(J51,L48),MIN(J51,L48-'数据-取费表'!B24)))</f>
        <v>0</v>
      </c>
      <c r="K53" s="3769" t="s">
        <v>834</v>
      </c>
      <c r="L53" s="3770"/>
      <c r="O53" s="1415" t="s">
        <v>409</v>
      </c>
      <c r="P53" s="1416" t="s">
        <v>835</v>
      </c>
      <c r="Q53" s="1417" t="e">
        <f ca="1">Q47+Q48</f>
        <v>#DIV/0!</v>
      </c>
      <c r="R53" s="1417" t="s">
        <v>410</v>
      </c>
    </row>
    <row r="54" spans="1:18" s="1381" customFormat="1" ht="13.5" thickBot="1">
      <c r="A54" s="1151"/>
      <c r="B54" s="1364" t="s">
        <v>676</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t="e">
        <f ca="1">ROUND(IF(J47="钢混",J57/J50,1-(1-2%)*(J50-J57)/J50),3)</f>
        <v>#DIV/0!</v>
      </c>
      <c r="K55" s="1442" t="s">
        <v>838</v>
      </c>
      <c r="L55" s="1443"/>
      <c r="O55" s="1408" t="s">
        <v>808</v>
      </c>
      <c r="P55" s="1409" t="s">
        <v>809</v>
      </c>
      <c r="Q55" s="1410" t="s">
        <v>810</v>
      </c>
      <c r="R55" s="1410" t="s">
        <v>811</v>
      </c>
    </row>
    <row r="56" spans="1:18" s="1381" customFormat="1" ht="25.5" thickTop="1" thickBot="1">
      <c r="A56" s="956">
        <v>2</v>
      </c>
      <c r="B56" s="957" t="s">
        <v>701</v>
      </c>
      <c r="C56" s="232">
        <f ca="1">C13</f>
        <v>0</v>
      </c>
      <c r="D56" s="1444"/>
      <c r="E56" s="1445"/>
      <c r="F56" s="1437"/>
      <c r="I56" s="1446" t="s">
        <v>839</v>
      </c>
      <c r="J56" s="1447"/>
      <c r="K56" s="1418" t="s">
        <v>840</v>
      </c>
      <c r="L56" s="1421">
        <f ca="1">IF(L48&lt;J51,"——",L48-J53)</f>
        <v>0</v>
      </c>
      <c r="O56" s="1415" t="s">
        <v>403</v>
      </c>
      <c r="P56" s="1416" t="s">
        <v>814</v>
      </c>
      <c r="Q56" s="1417" t="e">
        <f ca="1">C40+J29</f>
        <v>#DIV/0!</v>
      </c>
      <c r="R56" s="1417" t="s">
        <v>815</v>
      </c>
    </row>
    <row r="57" spans="1:18" s="1381" customFormat="1" ht="24.75" thickBot="1">
      <c r="A57" s="1448"/>
      <c r="B57" s="949" t="s">
        <v>764</v>
      </c>
      <c r="C57" s="238">
        <f ca="1">C29</f>
        <v>0</v>
      </c>
      <c r="D57" s="1449"/>
      <c r="E57" s="1450"/>
      <c r="F57" s="1451"/>
      <c r="I57" s="1452" t="s">
        <v>841</v>
      </c>
      <c r="J57" s="1453">
        <f ca="1">IF(OR(M47="住宅",J51&lt;L48,J56="是"),"——",J51-L48)</f>
        <v>0</v>
      </c>
      <c r="K57" s="1418" t="s">
        <v>842</v>
      </c>
      <c r="L57" s="1421">
        <f ca="1">IF(L48&lt;J51,"——",IF(L55="比较法",L49,IF(L55="基准地价",L50,L51)))</f>
        <v>0</v>
      </c>
      <c r="O57" s="1415" t="s">
        <v>404</v>
      </c>
      <c r="P57" s="1416" t="s">
        <v>843</v>
      </c>
      <c r="Q57" s="1417" t="e">
        <f ca="1">L60</f>
        <v>#DIV/0!</v>
      </c>
      <c r="R57" s="1417" t="s">
        <v>844</v>
      </c>
    </row>
    <row r="58" spans="1:18" s="1381" customFormat="1" ht="24.75" thickBot="1">
      <c r="A58" s="315" t="s">
        <v>393</v>
      </c>
      <c r="B58" s="957" t="s">
        <v>711</v>
      </c>
      <c r="C58" s="316">
        <f ca="1">ROUND(C59+C64+C65+C66,0)</f>
        <v>0</v>
      </c>
      <c r="D58" s="959" t="s">
        <v>712</v>
      </c>
      <c r="E58" s="960"/>
      <c r="F58" s="961"/>
      <c r="I58" s="1452" t="s">
        <v>845</v>
      </c>
      <c r="J58" s="1454" t="e">
        <f ca="1">IF(J55&lt;0.4,0.4,J55)</f>
        <v>#DIV/0!</v>
      </c>
      <c r="K58" s="1431" t="s">
        <v>846</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IF(项目基本情况!B11="自然人","——",ROUND(C48*F60/(1+'数据-取费表'!C42),2))</f>
        <v>0</v>
      </c>
      <c r="D60" s="963" t="s">
        <v>721</v>
      </c>
      <c r="E60" s="949" t="s">
        <v>709</v>
      </c>
      <c r="F60" s="331">
        <f t="shared" ref="F60:F66" si="0">F32</f>
        <v>5.5000000000000007E-2</v>
      </c>
      <c r="I60" s="1455" t="s">
        <v>850</v>
      </c>
      <c r="J60" s="1456" t="e">
        <f ca="1">IF(OR(M47="住宅",J51&lt;L48,J56="是"),"0",ROUND(J59/(1+J52)^J53,0))</f>
        <v>#DIV/0!</v>
      </c>
      <c r="K60" s="1457" t="s">
        <v>851</v>
      </c>
      <c r="L60" s="1456" t="e">
        <f ca="1">IF(OR(M47="住宅",L48&lt;J51),0,ROUND(L57*(L58/L59-1),0))</f>
        <v>#DIV/0!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IF(项目基本情况!B11="自然人","——",IF(D61="按租金收入计税",ROUND(C49*F61/(1+'数据-取费表'!C42),2),IF(D61="按房产原值计税",ROUND(C57*F61*0.7,2),INDIRECT("'数据-取费表'!Aj"&amp;$G$1))))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IF(项目基本情况!B11="自然人","——",ROUND(F62*F63/10000,2))</f>
        <v>0</v>
      </c>
      <c r="D62" s="964" t="s">
        <v>783</v>
      </c>
      <c r="E62" s="949" t="s">
        <v>784</v>
      </c>
      <c r="F62" s="325">
        <f t="shared" si="0"/>
        <v>1.5</v>
      </c>
      <c r="I62" s="1459" t="s">
        <v>855</v>
      </c>
      <c r="J62" s="1460" t="s">
        <v>856</v>
      </c>
      <c r="K62" s="1460" t="s">
        <v>857</v>
      </c>
      <c r="L62" s="1460" t="s">
        <v>858</v>
      </c>
      <c r="M62" s="1461" t="s">
        <v>859</v>
      </c>
      <c r="O62" s="1415" t="s">
        <v>409</v>
      </c>
      <c r="P62" s="1416" t="s">
        <v>860</v>
      </c>
      <c r="Q62" s="1417" t="e">
        <f ca="1">Q56+Q57</f>
        <v>#DIV/0!</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ROUND(C57*F64,2)</f>
        <v>0</v>
      </c>
      <c r="D64" s="963" t="s">
        <v>788</v>
      </c>
      <c r="E64" s="949" t="s">
        <v>780</v>
      </c>
      <c r="F64" s="328">
        <f t="shared" ca="1" si="0"/>
        <v>0</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ROUND(C56*F65,2)</f>
        <v>0</v>
      </c>
      <c r="D65" s="963" t="s">
        <v>740</v>
      </c>
      <c r="E65" s="949" t="s">
        <v>741</v>
      </c>
      <c r="F65" s="330">
        <f t="shared" ca="1" si="0"/>
        <v>0</v>
      </c>
      <c r="I65" s="1459" t="s">
        <v>864</v>
      </c>
      <c r="J65" s="1460">
        <v>40</v>
      </c>
      <c r="K65" s="1460">
        <v>30</v>
      </c>
      <c r="L65" s="1460">
        <v>50</v>
      </c>
      <c r="M65" s="1462">
        <v>0.02</v>
      </c>
      <c r="O65" s="1415" t="s">
        <v>403</v>
      </c>
      <c r="P65" s="1416" t="s">
        <v>865</v>
      </c>
      <c r="Q65" s="1417" t="e">
        <f ca="1">C40+J29</f>
        <v>#DIV/0!</v>
      </c>
      <c r="R65" s="1417" t="s">
        <v>815</v>
      </c>
    </row>
    <row r="66" spans="1:18" s="1381" customFormat="1" ht="16.5" thickBot="1">
      <c r="A66" s="981" t="s">
        <v>790</v>
      </c>
      <c r="B66" s="949" t="s">
        <v>725</v>
      </c>
      <c r="C66" s="21">
        <f ca="1">ROUND(C48*F66,2)</f>
        <v>0</v>
      </c>
      <c r="D66" s="963" t="s">
        <v>791</v>
      </c>
      <c r="E66" s="949" t="s">
        <v>709</v>
      </c>
      <c r="F66" s="312">
        <f t="shared" ca="1" si="0"/>
        <v>0</v>
      </c>
      <c r="O66" s="1415" t="s">
        <v>404</v>
      </c>
      <c r="P66" s="1416" t="s">
        <v>843</v>
      </c>
      <c r="Q66" s="1417" t="e">
        <f ca="1">L60</f>
        <v>#DIV/0!</v>
      </c>
      <c r="R66" s="1417" t="s">
        <v>866</v>
      </c>
    </row>
    <row r="67" spans="1:18" s="1381" customFormat="1" ht="16.5" thickBot="1">
      <c r="A67" s="956" t="s">
        <v>394</v>
      </c>
      <c r="B67" s="966" t="s">
        <v>749</v>
      </c>
      <c r="C67" s="316">
        <f ca="1">C48-C58</f>
        <v>0</v>
      </c>
      <c r="D67" s="962" t="s">
        <v>750</v>
      </c>
      <c r="E67" s="967"/>
      <c r="F67" s="968"/>
      <c r="O67" s="1425" t="s">
        <v>405</v>
      </c>
      <c r="P67" s="1416" t="s">
        <v>847</v>
      </c>
      <c r="Q67" s="1463">
        <f ca="1">L51</f>
        <v>0</v>
      </c>
      <c r="R67" s="1417" t="s">
        <v>867</v>
      </c>
    </row>
    <row r="68" spans="1:18" s="1381" customFormat="1" ht="16.5" thickBot="1">
      <c r="A68" s="946" t="s">
        <v>395</v>
      </c>
      <c r="B68" s="947" t="s">
        <v>771</v>
      </c>
      <c r="C68" s="301" t="e">
        <f ca="1">ROUND(C67*(1-((1+F70)/(1+F68))^F69)/(F68-F70),0)</f>
        <v>#DIV/0!</v>
      </c>
      <c r="D68" s="964" t="s">
        <v>755</v>
      </c>
      <c r="E68" s="949" t="s">
        <v>756</v>
      </c>
      <c r="F68" s="312">
        <f ca="1">F40</f>
        <v>0</v>
      </c>
      <c r="O68" s="1425" t="s">
        <v>406</v>
      </c>
      <c r="P68" s="1464" t="s">
        <v>868</v>
      </c>
      <c r="Q68" s="1417">
        <f ca="1">ROUND(Q69-Q70*Q71,0)</f>
        <v>0</v>
      </c>
      <c r="R68" s="1417" t="s">
        <v>414</v>
      </c>
    </row>
    <row r="69" spans="1:18" s="1381" customFormat="1" ht="13.5" thickBot="1">
      <c r="A69" s="950"/>
      <c r="B69" s="951"/>
      <c r="C69" s="306"/>
      <c r="D69" s="969" t="s">
        <v>759</v>
      </c>
      <c r="E69" s="949" t="s">
        <v>760</v>
      </c>
      <c r="F69" s="333">
        <f ca="1">F41</f>
        <v>0</v>
      </c>
      <c r="O69" s="1425" t="s">
        <v>411</v>
      </c>
      <c r="P69" s="1464" t="s">
        <v>869</v>
      </c>
      <c r="Q69" s="1417">
        <f ca="1">C39</f>
        <v>0</v>
      </c>
      <c r="R69" s="1417" t="s">
        <v>815</v>
      </c>
    </row>
    <row r="70" spans="1:18" s="1381" customFormat="1" ht="13.5" thickBot="1">
      <c r="A70" s="953"/>
      <c r="B70" s="954"/>
      <c r="C70" s="310"/>
      <c r="D70" s="965"/>
      <c r="E70" s="949" t="s">
        <v>763</v>
      </c>
      <c r="F70" s="1052"/>
      <c r="O70" s="1425" t="s">
        <v>412</v>
      </c>
      <c r="P70" s="1464" t="s">
        <v>870</v>
      </c>
      <c r="Q70" s="1417">
        <f ca="1">C13</f>
        <v>0</v>
      </c>
      <c r="R70" s="1417" t="s">
        <v>815</v>
      </c>
    </row>
    <row r="71" spans="1:18" s="1381" customFormat="1" ht="13.5" thickBot="1">
      <c r="A71" s="970" t="s">
        <v>396</v>
      </c>
      <c r="B71" s="971" t="s">
        <v>773</v>
      </c>
      <c r="C71" s="336" t="e">
        <f ca="1">ROUND(C68*10000/F71,0)</f>
        <v>#DIV/0!</v>
      </c>
      <c r="D71" s="972" t="s">
        <v>774</v>
      </c>
      <c r="E71" s="973" t="s">
        <v>775</v>
      </c>
      <c r="F71" s="339">
        <f ca="1">F43</f>
        <v>0</v>
      </c>
      <c r="O71" s="1425" t="s">
        <v>413</v>
      </c>
      <c r="P71" s="1464" t="s">
        <v>871</v>
      </c>
      <c r="Q71" s="1428">
        <f ca="1">C76</f>
        <v>0</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0</v>
      </c>
      <c r="D75" s="1381"/>
      <c r="E75" s="1381"/>
      <c r="F75" s="1381"/>
      <c r="K75" s="1399"/>
      <c r="L75" s="1381"/>
      <c r="O75" s="1415" t="s">
        <v>409</v>
      </c>
      <c r="P75" s="1416" t="s">
        <v>835</v>
      </c>
      <c r="Q75" s="1417" t="e">
        <f ca="1">Q65+Q66</f>
        <v>#DIV/0!</v>
      </c>
      <c r="R75" s="1417" t="s">
        <v>410</v>
      </c>
    </row>
    <row r="76" spans="1:18">
      <c r="B76" s="342" t="s">
        <v>793</v>
      </c>
      <c r="C76" s="343">
        <f ca="1">INDIRECT("'数据-取费表'!j"&amp;$G$1)</f>
        <v>0</v>
      </c>
      <c r="I76" s="1381"/>
      <c r="J76" s="1381"/>
      <c r="K76" s="1399"/>
      <c r="L76" s="1381"/>
    </row>
    <row r="77" spans="1:18">
      <c r="B77" s="344" t="s">
        <v>794</v>
      </c>
      <c r="C77" s="345"/>
      <c r="I77" s="1381"/>
      <c r="J77" s="1381"/>
      <c r="K77" s="1399"/>
      <c r="L77" s="1381"/>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S524"/>
  <sheetViews>
    <sheetView zoomScale="90" zoomScaleNormal="90" workbookViewId="0">
      <pane ySplit="24" topLeftCell="A25" activePane="bottomLeft" state="frozen"/>
      <selection activeCell="C50" sqref="C50"/>
      <selection pane="bottomLeft" activeCell="F15" sqref="F1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74" t="s">
        <v>2081</v>
      </c>
      <c r="D1" s="3775"/>
      <c r="E1" s="3775"/>
      <c r="F1" s="3775"/>
      <c r="G1" s="3775"/>
      <c r="H1" s="3775"/>
      <c r="I1" s="3775"/>
      <c r="J1" s="3775"/>
      <c r="K1" s="3775"/>
      <c r="L1" s="3775"/>
      <c r="M1" s="3775"/>
      <c r="N1" s="3775"/>
      <c r="O1" s="3775"/>
      <c r="P1" s="3775"/>
      <c r="Q1" s="3775"/>
      <c r="R1" s="3775"/>
      <c r="S1" s="3776"/>
      <c r="T1" s="982" t="s">
        <v>1986</v>
      </c>
    </row>
    <row r="2" spans="1:45" s="655" customFormat="1" ht="38.25">
      <c r="A2" s="983"/>
      <c r="B2" s="651" t="s">
        <v>2083</v>
      </c>
      <c r="C2" s="652" t="str">
        <f t="shared" ref="C2:R2" si="0">C3&amp;"(含)"&amp;"-"&amp;D3</f>
        <v>0(含)-80</v>
      </c>
      <c r="D2" s="653" t="str">
        <f t="shared" si="0"/>
        <v>80(含)-100</v>
      </c>
      <c r="E2" s="653" t="str">
        <f t="shared" si="0"/>
        <v>100(含)-120</v>
      </c>
      <c r="F2" s="653" t="str">
        <f t="shared" si="0"/>
        <v>120(含)-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80</v>
      </c>
      <c r="E3" s="657">
        <f>'比较法-住宅'!E103</f>
        <v>100</v>
      </c>
      <c r="F3" s="657">
        <f>'比较法-住宅'!F103</f>
        <v>120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99</v>
      </c>
      <c r="E4" s="988">
        <f>'比较法-住宅'!E104</f>
        <v>98</v>
      </c>
      <c r="F4" s="988">
        <f>'比较法-住宅'!F104</f>
        <v>97</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2084</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3" t="str">
        <f>'比较法-住宅'!C90</f>
        <v>高区</v>
      </c>
      <c r="D17" s="3503" t="str">
        <f>'比较法-住宅'!D90</f>
        <v>中区</v>
      </c>
      <c r="E17" s="3503" t="str">
        <f>'比较法-住宅'!E90</f>
        <v>低区</v>
      </c>
      <c r="F17" s="3503" t="s">
        <v>4106</v>
      </c>
      <c r="G17" s="3527" t="s">
        <v>4107</v>
      </c>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v>96</v>
      </c>
      <c r="G18" s="1021">
        <v>96</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50053</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34931</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14328.91999999998</v>
      </c>
      <c r="C22" s="3777" t="s">
        <v>27</v>
      </c>
      <c r="D22" s="3778"/>
      <c r="E22" s="3778"/>
      <c r="F22" s="3778"/>
      <c r="G22" s="3778"/>
      <c r="H22" s="3778"/>
      <c r="I22" s="3778"/>
      <c r="J22" s="3778"/>
      <c r="K22" s="3778"/>
      <c r="L22" s="3778"/>
      <c r="M22" s="3778"/>
      <c r="N22" s="3778"/>
      <c r="O22" s="3778"/>
      <c r="P22" s="3778"/>
      <c r="Q22" s="3779"/>
      <c r="R22" s="662">
        <f ca="1">ROUND(S22*10000/B22,0)</f>
        <v>34931</v>
      </c>
      <c r="S22" s="21">
        <f ca="1">SUM(S24:S10000)</f>
        <v>50053</v>
      </c>
    </row>
    <row r="23" spans="1:45" s="9" customFormat="1" ht="24">
      <c r="A23" s="3462" t="s">
        <v>2097</v>
      </c>
      <c r="B23" s="3462" t="s">
        <v>2098</v>
      </c>
      <c r="C23" s="3462" t="s">
        <v>2099</v>
      </c>
      <c r="D23" s="3462" t="str">
        <f>B5</f>
        <v>修正项2</v>
      </c>
      <c r="E23" s="3462" t="s">
        <v>2099</v>
      </c>
      <c r="F23" s="3462" t="str">
        <f>B7</f>
        <v>修正项3</v>
      </c>
      <c r="G23" s="3462" t="s">
        <v>2099</v>
      </c>
      <c r="H23" s="3462" t="str">
        <f>B9</f>
        <v>修正项4</v>
      </c>
      <c r="I23" s="3462" t="s">
        <v>2099</v>
      </c>
      <c r="J23" s="3462" t="str">
        <f>B11</f>
        <v>修正项5</v>
      </c>
      <c r="K23" s="3462" t="s">
        <v>2099</v>
      </c>
      <c r="L23" s="3462" t="str">
        <f>B13</f>
        <v>修正项6</v>
      </c>
      <c r="M23" s="3462" t="s">
        <v>2099</v>
      </c>
      <c r="N23" s="3462" t="str">
        <f>B15</f>
        <v>修正项7</v>
      </c>
      <c r="O23" s="3462" t="s">
        <v>2099</v>
      </c>
      <c r="P23" s="3462" t="str">
        <f>B17</f>
        <v>楼层</v>
      </c>
      <c r="Q23" s="3462" t="s">
        <v>2099</v>
      </c>
      <c r="R23" s="3463" t="s">
        <v>2100</v>
      </c>
      <c r="S23" s="3462"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二期房号清单!C5</f>
        <v>22-1-401</v>
      </c>
      <c r="B24" s="664">
        <f>二期房号清单!D5</f>
        <v>86.99</v>
      </c>
      <c r="C24" s="2805">
        <v>1</v>
      </c>
      <c r="D24" s="2806"/>
      <c r="E24" s="2805">
        <v>1</v>
      </c>
      <c r="F24" s="2806"/>
      <c r="G24" s="2805">
        <v>1</v>
      </c>
      <c r="H24" s="2806"/>
      <c r="I24" s="2805">
        <v>1</v>
      </c>
      <c r="J24" s="2806"/>
      <c r="K24" s="2805">
        <v>1</v>
      </c>
      <c r="L24" s="2806"/>
      <c r="M24" s="2805">
        <v>1</v>
      </c>
      <c r="N24" s="2806"/>
      <c r="O24" s="2805">
        <v>1</v>
      </c>
      <c r="P24" s="2806" t="s">
        <v>3845</v>
      </c>
      <c r="Q24" s="2805">
        <v>1</v>
      </c>
      <c r="R24" s="667">
        <f ca="1">'结果表-住宅基准'!G20</f>
        <v>35274</v>
      </c>
      <c r="S24" s="665">
        <f t="shared" ref="S24:S87" ca="1" si="5">ROUND(R24*B24/10000,0)</f>
        <v>307</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二期房号清单!C2</f>
        <v>22-1-102</v>
      </c>
      <c r="B25" s="54">
        <f>二期房号清单!D2</f>
        <v>89.65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tr">
        <f>二期房号清单!L2</f>
        <v>一层</v>
      </c>
      <c r="Q25" s="21">
        <f>(SUMIF($17:$17,P25,$18:$18)-SUMIF($17:$17,$P$24,$18:$18)+100)/100</f>
        <v>0.96</v>
      </c>
      <c r="R25" s="662">
        <f ca="1">IF(B25="",0,ROUND($R$24*C25*E25*G25*I25*K25*M25*O25*Q25,0))</f>
        <v>33863</v>
      </c>
      <c r="S25" s="316">
        <f t="shared" ca="1" si="5"/>
        <v>304</v>
      </c>
    </row>
    <row r="26" spans="1:45">
      <c r="A26" s="150" t="str">
        <f>二期房号清单!C3</f>
        <v>22-1-202</v>
      </c>
      <c r="B26" s="54">
        <f>二期房号清单!D3</f>
        <v>89.65</v>
      </c>
      <c r="C26" s="21">
        <f t="shared" ref="C26:C89" si="6">IF(B26="",1,(LOOKUP(B26,$3:$3,$4:$4)-LOOKUP($B$24,$3:$3,$4:$4)+100)/100)</f>
        <v>1</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str">
        <f>二期房号清单!L3</f>
        <v>低区</v>
      </c>
      <c r="Q26" s="21">
        <f t="shared" ref="Q26:Q89" si="13">(SUMIF($17:$17,P26,$18:$18)-SUMIF($17:$17,$P$24,$18:$18)+100)/100</f>
        <v>0.98</v>
      </c>
      <c r="R26" s="662">
        <f t="shared" ref="R26:R89" ca="1" si="14">IF(B26="",0,ROUND($R$24*C26*E26*G26*I26*K26*M26*O26*Q26,0))</f>
        <v>34569</v>
      </c>
      <c r="S26" s="316">
        <f t="shared" ca="1" si="5"/>
        <v>310</v>
      </c>
    </row>
    <row r="27" spans="1:45">
      <c r="A27" s="150" t="str">
        <f>二期房号清单!C4</f>
        <v>22-1-301</v>
      </c>
      <c r="B27" s="54">
        <f>二期房号清单!D4</f>
        <v>86.99</v>
      </c>
      <c r="C27" s="21">
        <f t="shared" si="6"/>
        <v>1</v>
      </c>
      <c r="D27" s="666"/>
      <c r="E27" s="21">
        <f t="shared" si="7"/>
        <v>1</v>
      </c>
      <c r="F27" s="666"/>
      <c r="G27" s="21">
        <f t="shared" si="8"/>
        <v>1</v>
      </c>
      <c r="H27" s="666"/>
      <c r="I27" s="21">
        <f t="shared" si="9"/>
        <v>1</v>
      </c>
      <c r="J27" s="666"/>
      <c r="K27" s="21">
        <f t="shared" si="10"/>
        <v>1</v>
      </c>
      <c r="L27" s="666"/>
      <c r="M27" s="21">
        <f t="shared" si="11"/>
        <v>1</v>
      </c>
      <c r="N27" s="666"/>
      <c r="O27" s="21">
        <f t="shared" si="12"/>
        <v>1</v>
      </c>
      <c r="P27" s="666" t="str">
        <f>二期房号清单!L4</f>
        <v>低区</v>
      </c>
      <c r="Q27" s="21">
        <f t="shared" si="13"/>
        <v>0.98</v>
      </c>
      <c r="R27" s="662">
        <f t="shared" ca="1" si="14"/>
        <v>34569</v>
      </c>
      <c r="S27" s="316">
        <f t="shared" ca="1" si="5"/>
        <v>301</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str">
        <f>二期房号清单!L5</f>
        <v>中区</v>
      </c>
      <c r="Q28" s="21">
        <f t="shared" si="13"/>
        <v>1</v>
      </c>
      <c r="R28" s="662">
        <f t="shared" si="14"/>
        <v>0</v>
      </c>
      <c r="S28" s="316">
        <f t="shared" si="5"/>
        <v>0</v>
      </c>
    </row>
    <row r="29" spans="1:45">
      <c r="A29" s="150" t="str">
        <f>二期房号清单!C6</f>
        <v>22-1-402</v>
      </c>
      <c r="B29" s="54">
        <f>二期房号清单!D6</f>
        <v>89.65</v>
      </c>
      <c r="C29" s="21">
        <f t="shared" si="6"/>
        <v>1</v>
      </c>
      <c r="D29" s="666"/>
      <c r="E29" s="21">
        <f t="shared" si="7"/>
        <v>1</v>
      </c>
      <c r="F29" s="666"/>
      <c r="G29" s="21">
        <f t="shared" si="8"/>
        <v>1</v>
      </c>
      <c r="H29" s="666"/>
      <c r="I29" s="21">
        <f t="shared" si="9"/>
        <v>1</v>
      </c>
      <c r="J29" s="666"/>
      <c r="K29" s="21">
        <f t="shared" si="10"/>
        <v>1</v>
      </c>
      <c r="L29" s="666"/>
      <c r="M29" s="21">
        <f t="shared" si="11"/>
        <v>1</v>
      </c>
      <c r="N29" s="666"/>
      <c r="O29" s="21">
        <f t="shared" si="12"/>
        <v>1</v>
      </c>
      <c r="P29" s="666" t="str">
        <f>二期房号清单!L6</f>
        <v>中区</v>
      </c>
      <c r="Q29" s="21">
        <f t="shared" si="13"/>
        <v>1</v>
      </c>
      <c r="R29" s="662">
        <f t="shared" ca="1" si="14"/>
        <v>35274</v>
      </c>
      <c r="S29" s="316">
        <f t="shared" ca="1" si="5"/>
        <v>316</v>
      </c>
    </row>
    <row r="30" spans="1:45">
      <c r="A30" s="150" t="str">
        <f>二期房号清单!C7</f>
        <v>22-1-601</v>
      </c>
      <c r="B30" s="54">
        <f>二期房号清单!D7</f>
        <v>86.99</v>
      </c>
      <c r="C30" s="21">
        <f t="shared" si="6"/>
        <v>1</v>
      </c>
      <c r="D30" s="666"/>
      <c r="E30" s="21">
        <f t="shared" si="7"/>
        <v>1</v>
      </c>
      <c r="F30" s="666"/>
      <c r="G30" s="21">
        <f t="shared" si="8"/>
        <v>1</v>
      </c>
      <c r="H30" s="666"/>
      <c r="I30" s="21">
        <f t="shared" si="9"/>
        <v>1</v>
      </c>
      <c r="J30" s="666"/>
      <c r="K30" s="21">
        <f t="shared" si="10"/>
        <v>1</v>
      </c>
      <c r="L30" s="666"/>
      <c r="M30" s="21">
        <f t="shared" si="11"/>
        <v>1</v>
      </c>
      <c r="N30" s="666"/>
      <c r="O30" s="21">
        <f t="shared" si="12"/>
        <v>1</v>
      </c>
      <c r="P30" s="666" t="str">
        <f>二期房号清单!L7</f>
        <v>中区</v>
      </c>
      <c r="Q30" s="21">
        <f t="shared" si="13"/>
        <v>1</v>
      </c>
      <c r="R30" s="662">
        <f t="shared" ca="1" si="14"/>
        <v>35274</v>
      </c>
      <c r="S30" s="316">
        <f t="shared" ca="1" si="5"/>
        <v>307</v>
      </c>
    </row>
    <row r="31" spans="1:45">
      <c r="A31" s="150" t="str">
        <f>二期房号清单!C8</f>
        <v>22-1-801</v>
      </c>
      <c r="B31" s="54">
        <f>二期房号清单!D8</f>
        <v>86.99</v>
      </c>
      <c r="C31" s="21">
        <f t="shared" si="6"/>
        <v>1</v>
      </c>
      <c r="D31" s="666"/>
      <c r="E31" s="21">
        <f t="shared" si="7"/>
        <v>1</v>
      </c>
      <c r="F31" s="666"/>
      <c r="G31" s="21">
        <f t="shared" si="8"/>
        <v>1</v>
      </c>
      <c r="H31" s="666"/>
      <c r="I31" s="21">
        <f t="shared" si="9"/>
        <v>1</v>
      </c>
      <c r="J31" s="666"/>
      <c r="K31" s="21">
        <f t="shared" si="10"/>
        <v>1</v>
      </c>
      <c r="L31" s="666"/>
      <c r="M31" s="21">
        <f t="shared" si="11"/>
        <v>1</v>
      </c>
      <c r="N31" s="666"/>
      <c r="O31" s="21">
        <f t="shared" si="12"/>
        <v>1</v>
      </c>
      <c r="P31" s="666" t="str">
        <f>二期房号清单!L8</f>
        <v>高区</v>
      </c>
      <c r="Q31" s="21">
        <f t="shared" si="13"/>
        <v>1.02</v>
      </c>
      <c r="R31" s="662">
        <f t="shared" ca="1" si="14"/>
        <v>35979</v>
      </c>
      <c r="S31" s="316">
        <f t="shared" ca="1" si="5"/>
        <v>313</v>
      </c>
    </row>
    <row r="32" spans="1:45">
      <c r="A32" s="150" t="str">
        <f>二期房号清单!C9</f>
        <v>22-2-901</v>
      </c>
      <c r="B32" s="54">
        <f>二期房号清单!D9</f>
        <v>82.98</v>
      </c>
      <c r="C32" s="21">
        <f t="shared" si="6"/>
        <v>1</v>
      </c>
      <c r="D32" s="666"/>
      <c r="E32" s="21">
        <f t="shared" si="7"/>
        <v>1</v>
      </c>
      <c r="F32" s="666"/>
      <c r="G32" s="21">
        <f t="shared" si="8"/>
        <v>1</v>
      </c>
      <c r="H32" s="666"/>
      <c r="I32" s="21">
        <f t="shared" si="9"/>
        <v>1</v>
      </c>
      <c r="J32" s="666"/>
      <c r="K32" s="21">
        <f t="shared" si="10"/>
        <v>1</v>
      </c>
      <c r="L32" s="666"/>
      <c r="M32" s="21">
        <f t="shared" si="11"/>
        <v>1</v>
      </c>
      <c r="N32" s="666"/>
      <c r="O32" s="21">
        <f t="shared" si="12"/>
        <v>1</v>
      </c>
      <c r="P32" s="666" t="str">
        <f>二期房号清单!L9</f>
        <v>高区</v>
      </c>
      <c r="Q32" s="21">
        <f t="shared" si="13"/>
        <v>1.02</v>
      </c>
      <c r="R32" s="662">
        <f t="shared" ca="1" si="14"/>
        <v>35979</v>
      </c>
      <c r="S32" s="316">
        <f t="shared" ca="1" si="5"/>
        <v>299</v>
      </c>
    </row>
    <row r="33" spans="1:19">
      <c r="A33" s="150" t="str">
        <f>二期房号清单!C10</f>
        <v>18-1-101</v>
      </c>
      <c r="B33" s="54">
        <f>二期房号清单!D10</f>
        <v>86.93</v>
      </c>
      <c r="C33" s="21">
        <f t="shared" si="6"/>
        <v>1</v>
      </c>
      <c r="D33" s="666"/>
      <c r="E33" s="21">
        <f t="shared" si="7"/>
        <v>1</v>
      </c>
      <c r="F33" s="666"/>
      <c r="G33" s="21">
        <f t="shared" si="8"/>
        <v>1</v>
      </c>
      <c r="H33" s="666"/>
      <c r="I33" s="21">
        <f t="shared" si="9"/>
        <v>1</v>
      </c>
      <c r="J33" s="666"/>
      <c r="K33" s="21">
        <f t="shared" si="10"/>
        <v>1</v>
      </c>
      <c r="L33" s="666"/>
      <c r="M33" s="21">
        <f t="shared" si="11"/>
        <v>1</v>
      </c>
      <c r="N33" s="666"/>
      <c r="O33" s="21">
        <f t="shared" si="12"/>
        <v>1</v>
      </c>
      <c r="P33" s="666" t="str">
        <f>二期房号清单!L10</f>
        <v>一层</v>
      </c>
      <c r="Q33" s="21">
        <f t="shared" si="13"/>
        <v>0.96</v>
      </c>
      <c r="R33" s="662">
        <f t="shared" ca="1" si="14"/>
        <v>33863</v>
      </c>
      <c r="S33" s="316">
        <f t="shared" ca="1" si="5"/>
        <v>294</v>
      </c>
    </row>
    <row r="34" spans="1:19">
      <c r="A34" s="150" t="str">
        <f>二期房号清单!C11</f>
        <v>18-1-301</v>
      </c>
      <c r="B34" s="54">
        <f>二期房号清单!D11</f>
        <v>86.93</v>
      </c>
      <c r="C34" s="21">
        <f t="shared" si="6"/>
        <v>1</v>
      </c>
      <c r="D34" s="666"/>
      <c r="E34" s="21">
        <f t="shared" si="7"/>
        <v>1</v>
      </c>
      <c r="F34" s="666"/>
      <c r="G34" s="21">
        <f t="shared" si="8"/>
        <v>1</v>
      </c>
      <c r="H34" s="666"/>
      <c r="I34" s="21">
        <f t="shared" si="9"/>
        <v>1</v>
      </c>
      <c r="J34" s="666"/>
      <c r="K34" s="21">
        <f t="shared" si="10"/>
        <v>1</v>
      </c>
      <c r="L34" s="666"/>
      <c r="M34" s="21">
        <f t="shared" si="11"/>
        <v>1</v>
      </c>
      <c r="N34" s="666"/>
      <c r="O34" s="21">
        <f t="shared" si="12"/>
        <v>1</v>
      </c>
      <c r="P34" s="666" t="str">
        <f>二期房号清单!L11</f>
        <v>低区</v>
      </c>
      <c r="Q34" s="21">
        <f t="shared" si="13"/>
        <v>0.98</v>
      </c>
      <c r="R34" s="662">
        <f t="shared" ca="1" si="14"/>
        <v>34569</v>
      </c>
      <c r="S34" s="316">
        <f t="shared" ca="1" si="5"/>
        <v>301</v>
      </c>
    </row>
    <row r="35" spans="1:19">
      <c r="A35" s="150" t="str">
        <f>二期房号清单!C12</f>
        <v>18-2-101</v>
      </c>
      <c r="B35" s="54">
        <f>二期房号清单!D12</f>
        <v>89.65</v>
      </c>
      <c r="C35" s="21">
        <f t="shared" si="6"/>
        <v>1</v>
      </c>
      <c r="D35" s="666"/>
      <c r="E35" s="21">
        <f t="shared" si="7"/>
        <v>1</v>
      </c>
      <c r="F35" s="666"/>
      <c r="G35" s="21">
        <f t="shared" si="8"/>
        <v>1</v>
      </c>
      <c r="H35" s="666"/>
      <c r="I35" s="21">
        <f t="shared" si="9"/>
        <v>1</v>
      </c>
      <c r="J35" s="666"/>
      <c r="K35" s="21">
        <f t="shared" si="10"/>
        <v>1</v>
      </c>
      <c r="L35" s="666"/>
      <c r="M35" s="21">
        <f t="shared" si="11"/>
        <v>1</v>
      </c>
      <c r="N35" s="666"/>
      <c r="O35" s="21">
        <f t="shared" si="12"/>
        <v>1</v>
      </c>
      <c r="P35" s="666" t="str">
        <f>二期房号清单!L12</f>
        <v>一层</v>
      </c>
      <c r="Q35" s="21">
        <f t="shared" si="13"/>
        <v>0.96</v>
      </c>
      <c r="R35" s="662">
        <f t="shared" ca="1" si="14"/>
        <v>33863</v>
      </c>
      <c r="S35" s="316">
        <f t="shared" ca="1" si="5"/>
        <v>304</v>
      </c>
    </row>
    <row r="36" spans="1:19">
      <c r="A36" s="150" t="str">
        <f>二期房号清单!C13</f>
        <v>18-2-1002</v>
      </c>
      <c r="B36" s="54">
        <f>二期房号清单!D13</f>
        <v>86.99</v>
      </c>
      <c r="C36" s="21">
        <f t="shared" si="6"/>
        <v>1</v>
      </c>
      <c r="D36" s="666"/>
      <c r="E36" s="21">
        <f t="shared" si="7"/>
        <v>1</v>
      </c>
      <c r="F36" s="666"/>
      <c r="G36" s="21">
        <f t="shared" si="8"/>
        <v>1</v>
      </c>
      <c r="H36" s="666"/>
      <c r="I36" s="21">
        <f t="shared" si="9"/>
        <v>1</v>
      </c>
      <c r="J36" s="666"/>
      <c r="K36" s="21">
        <f t="shared" si="10"/>
        <v>1</v>
      </c>
      <c r="L36" s="666"/>
      <c r="M36" s="21">
        <f t="shared" si="11"/>
        <v>1</v>
      </c>
      <c r="N36" s="666"/>
      <c r="O36" s="21">
        <f t="shared" si="12"/>
        <v>1</v>
      </c>
      <c r="P36" s="666" t="str">
        <f>二期房号清单!L13</f>
        <v>顶层</v>
      </c>
      <c r="Q36" s="21">
        <f t="shared" si="13"/>
        <v>0.96</v>
      </c>
      <c r="R36" s="662">
        <f t="shared" ca="1" si="14"/>
        <v>33863</v>
      </c>
      <c r="S36" s="316">
        <f t="shared" ca="1" si="5"/>
        <v>295</v>
      </c>
    </row>
    <row r="37" spans="1:19">
      <c r="A37" s="150" t="str">
        <f>二期房号清单!C14</f>
        <v>17-1-102</v>
      </c>
      <c r="B37" s="54">
        <f>二期房号清单!D14</f>
        <v>89.7</v>
      </c>
      <c r="C37" s="21">
        <f t="shared" si="6"/>
        <v>1</v>
      </c>
      <c r="D37" s="666"/>
      <c r="E37" s="21">
        <f t="shared" si="7"/>
        <v>1</v>
      </c>
      <c r="F37" s="666"/>
      <c r="G37" s="21">
        <f t="shared" si="8"/>
        <v>1</v>
      </c>
      <c r="H37" s="666"/>
      <c r="I37" s="21">
        <f t="shared" si="9"/>
        <v>1</v>
      </c>
      <c r="J37" s="666"/>
      <c r="K37" s="21">
        <f t="shared" si="10"/>
        <v>1</v>
      </c>
      <c r="L37" s="666"/>
      <c r="M37" s="21">
        <f t="shared" si="11"/>
        <v>1</v>
      </c>
      <c r="N37" s="666"/>
      <c r="O37" s="21">
        <f t="shared" si="12"/>
        <v>1</v>
      </c>
      <c r="P37" s="666" t="str">
        <f>二期房号清单!L14</f>
        <v>低区</v>
      </c>
      <c r="Q37" s="21">
        <f t="shared" si="13"/>
        <v>0.98</v>
      </c>
      <c r="R37" s="662">
        <f t="shared" ca="1" si="14"/>
        <v>34569</v>
      </c>
      <c r="S37" s="316">
        <f t="shared" ca="1" si="5"/>
        <v>310</v>
      </c>
    </row>
    <row r="38" spans="1:19">
      <c r="A38" s="150" t="str">
        <f>二期房号清单!C15</f>
        <v>17-1-202</v>
      </c>
      <c r="B38" s="54">
        <f>二期房号清单!D15</f>
        <v>89.7</v>
      </c>
      <c r="C38" s="21">
        <f t="shared" si="6"/>
        <v>1</v>
      </c>
      <c r="D38" s="666"/>
      <c r="E38" s="21">
        <f t="shared" si="7"/>
        <v>1</v>
      </c>
      <c r="F38" s="666"/>
      <c r="G38" s="21">
        <f t="shared" si="8"/>
        <v>1</v>
      </c>
      <c r="H38" s="666"/>
      <c r="I38" s="21">
        <f t="shared" si="9"/>
        <v>1</v>
      </c>
      <c r="J38" s="666"/>
      <c r="K38" s="21">
        <f t="shared" si="10"/>
        <v>1</v>
      </c>
      <c r="L38" s="666"/>
      <c r="M38" s="21">
        <f t="shared" si="11"/>
        <v>1</v>
      </c>
      <c r="N38" s="666"/>
      <c r="O38" s="21">
        <f t="shared" si="12"/>
        <v>1</v>
      </c>
      <c r="P38" s="666" t="str">
        <f>二期房号清单!L15</f>
        <v>低区</v>
      </c>
      <c r="Q38" s="21">
        <f t="shared" si="13"/>
        <v>0.98</v>
      </c>
      <c r="R38" s="662">
        <f t="shared" ca="1" si="14"/>
        <v>34569</v>
      </c>
      <c r="S38" s="316">
        <f t="shared" ca="1" si="5"/>
        <v>310</v>
      </c>
    </row>
    <row r="39" spans="1:19">
      <c r="A39" s="150" t="str">
        <f>二期房号清单!C16</f>
        <v>17-2-101</v>
      </c>
      <c r="B39" s="54">
        <f>二期房号清单!D16</f>
        <v>89.7</v>
      </c>
      <c r="C39" s="21">
        <f t="shared" si="6"/>
        <v>1</v>
      </c>
      <c r="D39" s="666"/>
      <c r="E39" s="21">
        <f t="shared" si="7"/>
        <v>1</v>
      </c>
      <c r="F39" s="666"/>
      <c r="G39" s="21">
        <f t="shared" si="8"/>
        <v>1</v>
      </c>
      <c r="H39" s="666"/>
      <c r="I39" s="21">
        <f t="shared" si="9"/>
        <v>1</v>
      </c>
      <c r="J39" s="666"/>
      <c r="K39" s="21">
        <f t="shared" si="10"/>
        <v>1</v>
      </c>
      <c r="L39" s="666"/>
      <c r="M39" s="21">
        <f t="shared" si="11"/>
        <v>1</v>
      </c>
      <c r="N39" s="666"/>
      <c r="O39" s="21">
        <f t="shared" si="12"/>
        <v>1</v>
      </c>
      <c r="P39" s="666" t="str">
        <f>二期房号清单!L16</f>
        <v>一层</v>
      </c>
      <c r="Q39" s="21">
        <f t="shared" si="13"/>
        <v>0.96</v>
      </c>
      <c r="R39" s="662">
        <f t="shared" ca="1" si="14"/>
        <v>33863</v>
      </c>
      <c r="S39" s="316">
        <f t="shared" ca="1" si="5"/>
        <v>304</v>
      </c>
    </row>
    <row r="40" spans="1:19">
      <c r="A40" s="150" t="str">
        <f>二期房号清单!C17</f>
        <v>17-2-201</v>
      </c>
      <c r="B40" s="54">
        <f>二期房号清单!D17</f>
        <v>89.7</v>
      </c>
      <c r="C40" s="21">
        <f t="shared" si="6"/>
        <v>1</v>
      </c>
      <c r="D40" s="666"/>
      <c r="E40" s="21">
        <f t="shared" si="7"/>
        <v>1</v>
      </c>
      <c r="F40" s="666"/>
      <c r="G40" s="21">
        <f t="shared" si="8"/>
        <v>1</v>
      </c>
      <c r="H40" s="666"/>
      <c r="I40" s="21">
        <f t="shared" si="9"/>
        <v>1</v>
      </c>
      <c r="J40" s="666"/>
      <c r="K40" s="21">
        <f t="shared" si="10"/>
        <v>1</v>
      </c>
      <c r="L40" s="666"/>
      <c r="M40" s="21">
        <f t="shared" si="11"/>
        <v>1</v>
      </c>
      <c r="N40" s="666"/>
      <c r="O40" s="21">
        <f t="shared" si="12"/>
        <v>1</v>
      </c>
      <c r="P40" s="666" t="str">
        <f>二期房号清单!L17</f>
        <v>低区</v>
      </c>
      <c r="Q40" s="21">
        <f t="shared" si="13"/>
        <v>0.98</v>
      </c>
      <c r="R40" s="662">
        <f t="shared" ca="1" si="14"/>
        <v>34569</v>
      </c>
      <c r="S40" s="316">
        <f t="shared" ca="1" si="5"/>
        <v>310</v>
      </c>
    </row>
    <row r="41" spans="1:19">
      <c r="A41" s="150" t="str">
        <f>二期房号清单!C18</f>
        <v>17-2-1001</v>
      </c>
      <c r="B41" s="54">
        <f>二期房号清单!D18</f>
        <v>89.7</v>
      </c>
      <c r="C41" s="21">
        <f t="shared" si="6"/>
        <v>1</v>
      </c>
      <c r="D41" s="666"/>
      <c r="E41" s="21">
        <f t="shared" si="7"/>
        <v>1</v>
      </c>
      <c r="F41" s="666"/>
      <c r="G41" s="21">
        <f t="shared" si="8"/>
        <v>1</v>
      </c>
      <c r="H41" s="666"/>
      <c r="I41" s="21">
        <f t="shared" si="9"/>
        <v>1</v>
      </c>
      <c r="J41" s="666"/>
      <c r="K41" s="21">
        <f t="shared" si="10"/>
        <v>1</v>
      </c>
      <c r="L41" s="666"/>
      <c r="M41" s="21">
        <f t="shared" si="11"/>
        <v>1</v>
      </c>
      <c r="N41" s="666"/>
      <c r="O41" s="21">
        <f t="shared" si="12"/>
        <v>1</v>
      </c>
      <c r="P41" s="666" t="str">
        <f>二期房号清单!L18</f>
        <v>高区</v>
      </c>
      <c r="Q41" s="21">
        <f t="shared" si="13"/>
        <v>1.02</v>
      </c>
      <c r="R41" s="662">
        <f t="shared" ca="1" si="14"/>
        <v>35979</v>
      </c>
      <c r="S41" s="316">
        <f t="shared" ca="1" si="5"/>
        <v>323</v>
      </c>
    </row>
    <row r="42" spans="1:19">
      <c r="A42" s="150" t="str">
        <f>二期房号清单!C19</f>
        <v>15-1-101</v>
      </c>
      <c r="B42" s="54">
        <f>二期房号清单!D19</f>
        <v>84.16</v>
      </c>
      <c r="C42" s="21">
        <f t="shared" si="6"/>
        <v>1</v>
      </c>
      <c r="D42" s="666"/>
      <c r="E42" s="21">
        <f t="shared" si="7"/>
        <v>1</v>
      </c>
      <c r="F42" s="666"/>
      <c r="G42" s="21">
        <f t="shared" si="8"/>
        <v>1</v>
      </c>
      <c r="H42" s="666"/>
      <c r="I42" s="21">
        <f t="shared" si="9"/>
        <v>1</v>
      </c>
      <c r="J42" s="666"/>
      <c r="K42" s="21">
        <f t="shared" si="10"/>
        <v>1</v>
      </c>
      <c r="L42" s="666"/>
      <c r="M42" s="21">
        <f t="shared" si="11"/>
        <v>1</v>
      </c>
      <c r="N42" s="666"/>
      <c r="O42" s="21">
        <f t="shared" si="12"/>
        <v>1</v>
      </c>
      <c r="P42" s="666" t="str">
        <f>二期房号清单!L19</f>
        <v>一层</v>
      </c>
      <c r="Q42" s="21">
        <f t="shared" si="13"/>
        <v>0.96</v>
      </c>
      <c r="R42" s="662">
        <f t="shared" ca="1" si="14"/>
        <v>33863</v>
      </c>
      <c r="S42" s="316">
        <f t="shared" ca="1" si="5"/>
        <v>285</v>
      </c>
    </row>
    <row r="43" spans="1:19">
      <c r="A43" s="150" t="str">
        <f>二期房号清单!C20</f>
        <v>15-1-201</v>
      </c>
      <c r="B43" s="54">
        <f>二期房号清单!D20</f>
        <v>84.16</v>
      </c>
      <c r="C43" s="21">
        <f t="shared" si="6"/>
        <v>1</v>
      </c>
      <c r="D43" s="666"/>
      <c r="E43" s="21">
        <f t="shared" si="7"/>
        <v>1</v>
      </c>
      <c r="F43" s="666"/>
      <c r="G43" s="21">
        <f t="shared" si="8"/>
        <v>1</v>
      </c>
      <c r="H43" s="666"/>
      <c r="I43" s="21">
        <f t="shared" si="9"/>
        <v>1</v>
      </c>
      <c r="J43" s="666"/>
      <c r="K43" s="21">
        <f t="shared" si="10"/>
        <v>1</v>
      </c>
      <c r="L43" s="666"/>
      <c r="M43" s="21">
        <f t="shared" si="11"/>
        <v>1</v>
      </c>
      <c r="N43" s="666"/>
      <c r="O43" s="21">
        <f t="shared" si="12"/>
        <v>1</v>
      </c>
      <c r="P43" s="666" t="str">
        <f>二期房号清单!L20</f>
        <v>低区</v>
      </c>
      <c r="Q43" s="21">
        <f t="shared" si="13"/>
        <v>0.98</v>
      </c>
      <c r="R43" s="662">
        <f t="shared" ca="1" si="14"/>
        <v>34569</v>
      </c>
      <c r="S43" s="316">
        <f t="shared" ca="1" si="5"/>
        <v>291</v>
      </c>
    </row>
    <row r="44" spans="1:19">
      <c r="A44" s="150" t="str">
        <f>二期房号清单!C21</f>
        <v>15-1-501</v>
      </c>
      <c r="B44" s="54">
        <f>二期房号清单!D21</f>
        <v>84.16</v>
      </c>
      <c r="C44" s="21">
        <f t="shared" si="6"/>
        <v>1</v>
      </c>
      <c r="D44" s="666"/>
      <c r="E44" s="21">
        <f t="shared" si="7"/>
        <v>1</v>
      </c>
      <c r="F44" s="666"/>
      <c r="G44" s="21">
        <f t="shared" si="8"/>
        <v>1</v>
      </c>
      <c r="H44" s="666"/>
      <c r="I44" s="21">
        <f t="shared" si="9"/>
        <v>1</v>
      </c>
      <c r="J44" s="666"/>
      <c r="K44" s="21">
        <f t="shared" si="10"/>
        <v>1</v>
      </c>
      <c r="L44" s="666"/>
      <c r="M44" s="21">
        <f t="shared" si="11"/>
        <v>1</v>
      </c>
      <c r="N44" s="666"/>
      <c r="O44" s="21">
        <f t="shared" si="12"/>
        <v>1</v>
      </c>
      <c r="P44" s="666" t="str">
        <f>二期房号清单!L21</f>
        <v>中区</v>
      </c>
      <c r="Q44" s="21">
        <f t="shared" si="13"/>
        <v>1</v>
      </c>
      <c r="R44" s="662">
        <f t="shared" ca="1" si="14"/>
        <v>35274</v>
      </c>
      <c r="S44" s="316">
        <f t="shared" ca="1" si="5"/>
        <v>297</v>
      </c>
    </row>
    <row r="45" spans="1:19">
      <c r="A45" s="150" t="str">
        <f>二期房号清单!C22</f>
        <v>15-2-102</v>
      </c>
      <c r="B45" s="54">
        <f>二期房号清单!D22</f>
        <v>168.31</v>
      </c>
      <c r="C45" s="21">
        <f t="shared" si="6"/>
        <v>0.98</v>
      </c>
      <c r="D45" s="666"/>
      <c r="E45" s="21">
        <f t="shared" si="7"/>
        <v>1</v>
      </c>
      <c r="F45" s="666"/>
      <c r="G45" s="21">
        <f t="shared" si="8"/>
        <v>1</v>
      </c>
      <c r="H45" s="666"/>
      <c r="I45" s="21">
        <f t="shared" si="9"/>
        <v>1</v>
      </c>
      <c r="J45" s="666"/>
      <c r="K45" s="21">
        <f t="shared" si="10"/>
        <v>1</v>
      </c>
      <c r="L45" s="666"/>
      <c r="M45" s="21">
        <f t="shared" si="11"/>
        <v>1</v>
      </c>
      <c r="N45" s="666"/>
      <c r="O45" s="21">
        <f t="shared" si="12"/>
        <v>1</v>
      </c>
      <c r="P45" s="666" t="str">
        <f>二期房号清单!L22</f>
        <v>一层</v>
      </c>
      <c r="Q45" s="21">
        <f t="shared" si="13"/>
        <v>0.96</v>
      </c>
      <c r="R45" s="662">
        <f t="shared" ca="1" si="14"/>
        <v>33186</v>
      </c>
      <c r="S45" s="316">
        <f t="shared" ca="1" si="5"/>
        <v>559</v>
      </c>
    </row>
    <row r="46" spans="1:19">
      <c r="A46" s="150" t="str">
        <f>二期房号清单!C23</f>
        <v>15-2-702</v>
      </c>
      <c r="B46" s="54">
        <f>二期房号清单!D23</f>
        <v>84.16</v>
      </c>
      <c r="C46" s="21">
        <f t="shared" si="6"/>
        <v>1</v>
      </c>
      <c r="D46" s="666"/>
      <c r="E46" s="21">
        <f t="shared" si="7"/>
        <v>1</v>
      </c>
      <c r="F46" s="666"/>
      <c r="G46" s="21">
        <f t="shared" si="8"/>
        <v>1</v>
      </c>
      <c r="H46" s="666"/>
      <c r="I46" s="21">
        <f t="shared" si="9"/>
        <v>1</v>
      </c>
      <c r="J46" s="666"/>
      <c r="K46" s="21">
        <f t="shared" si="10"/>
        <v>1</v>
      </c>
      <c r="L46" s="666"/>
      <c r="M46" s="21">
        <f t="shared" si="11"/>
        <v>1</v>
      </c>
      <c r="N46" s="666"/>
      <c r="O46" s="21">
        <f t="shared" si="12"/>
        <v>1</v>
      </c>
      <c r="P46" s="666" t="str">
        <f>二期房号清单!L23</f>
        <v>中区</v>
      </c>
      <c r="Q46" s="21">
        <f t="shared" si="13"/>
        <v>1</v>
      </c>
      <c r="R46" s="662">
        <f t="shared" ca="1" si="14"/>
        <v>35274</v>
      </c>
      <c r="S46" s="316">
        <f t="shared" ca="1" si="5"/>
        <v>297</v>
      </c>
    </row>
    <row r="47" spans="1:19">
      <c r="A47" s="150" t="str">
        <f>二期房号清单!C24</f>
        <v>15-2-802</v>
      </c>
      <c r="B47" s="54">
        <f>二期房号清单!D24</f>
        <v>84.16</v>
      </c>
      <c r="C47" s="21">
        <f t="shared" si="6"/>
        <v>1</v>
      </c>
      <c r="D47" s="666"/>
      <c r="E47" s="21">
        <f t="shared" si="7"/>
        <v>1</v>
      </c>
      <c r="F47" s="666"/>
      <c r="G47" s="21">
        <f t="shared" si="8"/>
        <v>1</v>
      </c>
      <c r="H47" s="666"/>
      <c r="I47" s="21">
        <f t="shared" si="9"/>
        <v>1</v>
      </c>
      <c r="J47" s="666"/>
      <c r="K47" s="21">
        <f t="shared" si="10"/>
        <v>1</v>
      </c>
      <c r="L47" s="666"/>
      <c r="M47" s="21">
        <f t="shared" si="11"/>
        <v>1</v>
      </c>
      <c r="N47" s="666"/>
      <c r="O47" s="21">
        <f t="shared" si="12"/>
        <v>1</v>
      </c>
      <c r="P47" s="666" t="str">
        <f>二期房号清单!L24</f>
        <v>高区</v>
      </c>
      <c r="Q47" s="21">
        <f t="shared" si="13"/>
        <v>1.02</v>
      </c>
      <c r="R47" s="662">
        <f t="shared" ca="1" si="14"/>
        <v>35979</v>
      </c>
      <c r="S47" s="316">
        <f t="shared" ca="1" si="5"/>
        <v>303</v>
      </c>
    </row>
    <row r="48" spans="1:19">
      <c r="A48" s="150" t="str">
        <f>二期房号清单!C25</f>
        <v>15-2-902</v>
      </c>
      <c r="B48" s="54">
        <f>二期房号清单!D25</f>
        <v>84.16</v>
      </c>
      <c r="C48" s="21">
        <f t="shared" si="6"/>
        <v>1</v>
      </c>
      <c r="D48" s="666"/>
      <c r="E48" s="21">
        <f t="shared" si="7"/>
        <v>1</v>
      </c>
      <c r="F48" s="666"/>
      <c r="G48" s="21">
        <f t="shared" si="8"/>
        <v>1</v>
      </c>
      <c r="H48" s="666"/>
      <c r="I48" s="21">
        <f t="shared" si="9"/>
        <v>1</v>
      </c>
      <c r="J48" s="666"/>
      <c r="K48" s="21">
        <f t="shared" si="10"/>
        <v>1</v>
      </c>
      <c r="L48" s="666"/>
      <c r="M48" s="21">
        <f t="shared" si="11"/>
        <v>1</v>
      </c>
      <c r="N48" s="666"/>
      <c r="O48" s="21">
        <f t="shared" si="12"/>
        <v>1</v>
      </c>
      <c r="P48" s="666" t="str">
        <f>二期房号清单!L25</f>
        <v>高区</v>
      </c>
      <c r="Q48" s="21">
        <f t="shared" si="13"/>
        <v>1.02</v>
      </c>
      <c r="R48" s="662">
        <f t="shared" ca="1" si="14"/>
        <v>35979</v>
      </c>
      <c r="S48" s="316">
        <f t="shared" ca="1" si="5"/>
        <v>303</v>
      </c>
    </row>
    <row r="49" spans="1:19">
      <c r="A49" s="150" t="str">
        <f>二期房号清单!C26</f>
        <v>15-2-1101</v>
      </c>
      <c r="B49" s="54">
        <f>二期房号清单!D26</f>
        <v>109.42</v>
      </c>
      <c r="C49" s="21">
        <f t="shared" si="6"/>
        <v>0.99</v>
      </c>
      <c r="D49" s="666"/>
      <c r="E49" s="21">
        <f t="shared" si="7"/>
        <v>1</v>
      </c>
      <c r="F49" s="666"/>
      <c r="G49" s="21">
        <f t="shared" si="8"/>
        <v>1</v>
      </c>
      <c r="H49" s="666"/>
      <c r="I49" s="21">
        <f t="shared" si="9"/>
        <v>1</v>
      </c>
      <c r="J49" s="666"/>
      <c r="K49" s="21">
        <f t="shared" si="10"/>
        <v>1</v>
      </c>
      <c r="L49" s="666"/>
      <c r="M49" s="21">
        <f t="shared" si="11"/>
        <v>1</v>
      </c>
      <c r="N49" s="666"/>
      <c r="O49" s="21">
        <f t="shared" si="12"/>
        <v>1</v>
      </c>
      <c r="P49" s="666" t="str">
        <f>二期房号清单!L26</f>
        <v>顶层</v>
      </c>
      <c r="Q49" s="21">
        <f t="shared" si="13"/>
        <v>0.96</v>
      </c>
      <c r="R49" s="662">
        <f t="shared" ca="1" si="14"/>
        <v>33524</v>
      </c>
      <c r="S49" s="316">
        <f t="shared" ca="1" si="5"/>
        <v>367</v>
      </c>
    </row>
    <row r="50" spans="1:19">
      <c r="A50" s="150" t="str">
        <f>二期房号清单!C27</f>
        <v>15-2-1102</v>
      </c>
      <c r="B50" s="54">
        <f>二期房号清单!D27</f>
        <v>84.16</v>
      </c>
      <c r="C50" s="21">
        <f t="shared" si="6"/>
        <v>1</v>
      </c>
      <c r="D50" s="666"/>
      <c r="E50" s="21">
        <f t="shared" si="7"/>
        <v>1</v>
      </c>
      <c r="F50" s="666"/>
      <c r="G50" s="21">
        <f t="shared" si="8"/>
        <v>1</v>
      </c>
      <c r="H50" s="666"/>
      <c r="I50" s="21">
        <f t="shared" si="9"/>
        <v>1</v>
      </c>
      <c r="J50" s="666"/>
      <c r="K50" s="21">
        <f t="shared" si="10"/>
        <v>1</v>
      </c>
      <c r="L50" s="666"/>
      <c r="M50" s="21">
        <f t="shared" si="11"/>
        <v>1</v>
      </c>
      <c r="N50" s="666"/>
      <c r="O50" s="21">
        <f t="shared" si="12"/>
        <v>1</v>
      </c>
      <c r="P50" s="666" t="str">
        <f>二期房号清单!L27</f>
        <v>顶层</v>
      </c>
      <c r="Q50" s="21">
        <f t="shared" si="13"/>
        <v>0.96</v>
      </c>
      <c r="R50" s="662">
        <f t="shared" ca="1" si="14"/>
        <v>33863</v>
      </c>
      <c r="S50" s="316">
        <f t="shared" ca="1" si="5"/>
        <v>285</v>
      </c>
    </row>
    <row r="51" spans="1:19">
      <c r="A51" s="150" t="str">
        <f>二期房号清单!C28</f>
        <v>16-1-102</v>
      </c>
      <c r="B51" s="54">
        <f>二期房号清单!D28</f>
        <v>89.7</v>
      </c>
      <c r="C51" s="21">
        <f t="shared" si="6"/>
        <v>1</v>
      </c>
      <c r="D51" s="666"/>
      <c r="E51" s="21">
        <f t="shared" si="7"/>
        <v>1</v>
      </c>
      <c r="F51" s="666"/>
      <c r="G51" s="21">
        <f t="shared" si="8"/>
        <v>1</v>
      </c>
      <c r="H51" s="666"/>
      <c r="I51" s="21">
        <f t="shared" si="9"/>
        <v>1</v>
      </c>
      <c r="J51" s="666"/>
      <c r="K51" s="21">
        <f t="shared" si="10"/>
        <v>1</v>
      </c>
      <c r="L51" s="666"/>
      <c r="M51" s="21">
        <f t="shared" si="11"/>
        <v>1</v>
      </c>
      <c r="N51" s="666"/>
      <c r="O51" s="21">
        <f t="shared" si="12"/>
        <v>1</v>
      </c>
      <c r="P51" s="666" t="str">
        <f>二期房号清单!L28</f>
        <v>一层</v>
      </c>
      <c r="Q51" s="21">
        <f t="shared" si="13"/>
        <v>0.96</v>
      </c>
      <c r="R51" s="662">
        <f t="shared" ca="1" si="14"/>
        <v>33863</v>
      </c>
      <c r="S51" s="316">
        <f t="shared" ca="1" si="5"/>
        <v>304</v>
      </c>
    </row>
    <row r="52" spans="1:19">
      <c r="A52" s="150" t="str">
        <f>二期房号清单!C29</f>
        <v>16-1-201</v>
      </c>
      <c r="B52" s="54">
        <f>二期房号清单!D29</f>
        <v>87.04</v>
      </c>
      <c r="C52" s="21">
        <f t="shared" si="6"/>
        <v>1</v>
      </c>
      <c r="D52" s="666"/>
      <c r="E52" s="21">
        <f t="shared" si="7"/>
        <v>1</v>
      </c>
      <c r="F52" s="666"/>
      <c r="G52" s="21">
        <f t="shared" si="8"/>
        <v>1</v>
      </c>
      <c r="H52" s="666"/>
      <c r="I52" s="21">
        <f t="shared" si="9"/>
        <v>1</v>
      </c>
      <c r="J52" s="666"/>
      <c r="K52" s="21">
        <f t="shared" si="10"/>
        <v>1</v>
      </c>
      <c r="L52" s="666"/>
      <c r="M52" s="21">
        <f t="shared" si="11"/>
        <v>1</v>
      </c>
      <c r="N52" s="666"/>
      <c r="O52" s="21">
        <f t="shared" si="12"/>
        <v>1</v>
      </c>
      <c r="P52" s="666" t="str">
        <f>二期房号清单!L29</f>
        <v>低区</v>
      </c>
      <c r="Q52" s="21">
        <f t="shared" si="13"/>
        <v>0.98</v>
      </c>
      <c r="R52" s="662">
        <f t="shared" ca="1" si="14"/>
        <v>34569</v>
      </c>
      <c r="S52" s="316">
        <f t="shared" ca="1" si="5"/>
        <v>301</v>
      </c>
    </row>
    <row r="53" spans="1:19">
      <c r="A53" s="150" t="str">
        <f>二期房号清单!C30</f>
        <v>16-2-101</v>
      </c>
      <c r="B53" s="54">
        <f>二期房号清单!D30</f>
        <v>89.7</v>
      </c>
      <c r="C53" s="21">
        <f t="shared" si="6"/>
        <v>1</v>
      </c>
      <c r="D53" s="666"/>
      <c r="E53" s="21">
        <f t="shared" si="7"/>
        <v>1</v>
      </c>
      <c r="F53" s="666"/>
      <c r="G53" s="21">
        <f t="shared" si="8"/>
        <v>1</v>
      </c>
      <c r="H53" s="666"/>
      <c r="I53" s="21">
        <f t="shared" si="9"/>
        <v>1</v>
      </c>
      <c r="J53" s="666"/>
      <c r="K53" s="21">
        <f t="shared" si="10"/>
        <v>1</v>
      </c>
      <c r="L53" s="666"/>
      <c r="M53" s="21">
        <f t="shared" si="11"/>
        <v>1</v>
      </c>
      <c r="N53" s="666"/>
      <c r="O53" s="21">
        <f t="shared" si="12"/>
        <v>1</v>
      </c>
      <c r="P53" s="666" t="str">
        <f>二期房号清单!L30</f>
        <v>一层</v>
      </c>
      <c r="Q53" s="21">
        <f t="shared" si="13"/>
        <v>0.96</v>
      </c>
      <c r="R53" s="662">
        <f t="shared" ca="1" si="14"/>
        <v>33863</v>
      </c>
      <c r="S53" s="316">
        <f t="shared" ca="1" si="5"/>
        <v>304</v>
      </c>
    </row>
    <row r="54" spans="1:19">
      <c r="A54" s="150" t="str">
        <f>二期房号清单!C31</f>
        <v>12-1-1101</v>
      </c>
      <c r="B54" s="54">
        <f>二期房号清单!D31</f>
        <v>86.53</v>
      </c>
      <c r="C54" s="21">
        <f t="shared" si="6"/>
        <v>1</v>
      </c>
      <c r="D54" s="666"/>
      <c r="E54" s="21">
        <f t="shared" si="7"/>
        <v>1</v>
      </c>
      <c r="F54" s="666"/>
      <c r="G54" s="21">
        <f t="shared" si="8"/>
        <v>1</v>
      </c>
      <c r="H54" s="666"/>
      <c r="I54" s="21">
        <f t="shared" si="9"/>
        <v>1</v>
      </c>
      <c r="J54" s="666"/>
      <c r="K54" s="21">
        <f t="shared" si="10"/>
        <v>1</v>
      </c>
      <c r="L54" s="666"/>
      <c r="M54" s="21">
        <f t="shared" si="11"/>
        <v>1</v>
      </c>
      <c r="N54" s="666"/>
      <c r="O54" s="21">
        <f t="shared" si="12"/>
        <v>1</v>
      </c>
      <c r="P54" s="666" t="str">
        <f>二期房号清单!L31</f>
        <v>顶层</v>
      </c>
      <c r="Q54" s="21">
        <f t="shared" si="13"/>
        <v>0.96</v>
      </c>
      <c r="R54" s="662">
        <f t="shared" ca="1" si="14"/>
        <v>33863</v>
      </c>
      <c r="S54" s="316">
        <f t="shared" ca="1" si="5"/>
        <v>293</v>
      </c>
    </row>
    <row r="55" spans="1:19">
      <c r="A55" s="150" t="str">
        <f>二期房号清单!C32</f>
        <v>12-1-502</v>
      </c>
      <c r="B55" s="54">
        <f>二期房号清单!D32</f>
        <v>82.59</v>
      </c>
      <c r="C55" s="21">
        <f t="shared" si="6"/>
        <v>1</v>
      </c>
      <c r="D55" s="666"/>
      <c r="E55" s="21">
        <f t="shared" si="7"/>
        <v>1</v>
      </c>
      <c r="F55" s="666"/>
      <c r="G55" s="21">
        <f t="shared" si="8"/>
        <v>1</v>
      </c>
      <c r="H55" s="666"/>
      <c r="I55" s="21">
        <f t="shared" si="9"/>
        <v>1</v>
      </c>
      <c r="J55" s="666"/>
      <c r="K55" s="21">
        <f t="shared" si="10"/>
        <v>1</v>
      </c>
      <c r="L55" s="666"/>
      <c r="M55" s="21">
        <f t="shared" si="11"/>
        <v>1</v>
      </c>
      <c r="N55" s="666"/>
      <c r="O55" s="21">
        <f t="shared" si="12"/>
        <v>1</v>
      </c>
      <c r="P55" s="666" t="str">
        <f>二期房号清单!L32</f>
        <v>中区</v>
      </c>
      <c r="Q55" s="21">
        <f t="shared" si="13"/>
        <v>1</v>
      </c>
      <c r="R55" s="662">
        <f t="shared" ca="1" si="14"/>
        <v>35274</v>
      </c>
      <c r="S55" s="316">
        <f t="shared" ca="1" si="5"/>
        <v>291</v>
      </c>
    </row>
    <row r="56" spans="1:19">
      <c r="A56" s="150" t="str">
        <f>二期房号清单!C33</f>
        <v>12-2-1001</v>
      </c>
      <c r="B56" s="54">
        <f>二期房号清单!D33</f>
        <v>82.59</v>
      </c>
      <c r="C56" s="21">
        <f t="shared" si="6"/>
        <v>1</v>
      </c>
      <c r="D56" s="666"/>
      <c r="E56" s="21">
        <f t="shared" si="7"/>
        <v>1</v>
      </c>
      <c r="F56" s="666"/>
      <c r="G56" s="21">
        <f t="shared" si="8"/>
        <v>1</v>
      </c>
      <c r="H56" s="666"/>
      <c r="I56" s="21">
        <f t="shared" si="9"/>
        <v>1</v>
      </c>
      <c r="J56" s="666"/>
      <c r="K56" s="21">
        <f t="shared" si="10"/>
        <v>1</v>
      </c>
      <c r="L56" s="666"/>
      <c r="M56" s="21">
        <f t="shared" si="11"/>
        <v>1</v>
      </c>
      <c r="N56" s="666"/>
      <c r="O56" s="21">
        <f t="shared" si="12"/>
        <v>1</v>
      </c>
      <c r="P56" s="666" t="str">
        <f>二期房号清单!L33</f>
        <v>高区</v>
      </c>
      <c r="Q56" s="21">
        <f t="shared" si="13"/>
        <v>1.02</v>
      </c>
      <c r="R56" s="662">
        <f t="shared" ca="1" si="14"/>
        <v>35979</v>
      </c>
      <c r="S56" s="316">
        <f t="shared" ca="1" si="5"/>
        <v>297</v>
      </c>
    </row>
    <row r="57" spans="1:19">
      <c r="A57" s="150" t="str">
        <f>二期房号清单!C34</f>
        <v>12-2-1101</v>
      </c>
      <c r="B57" s="54">
        <f>二期房号清单!D34</f>
        <v>82.59</v>
      </c>
      <c r="C57" s="21">
        <f t="shared" si="6"/>
        <v>1</v>
      </c>
      <c r="D57" s="666"/>
      <c r="E57" s="21">
        <f t="shared" si="7"/>
        <v>1</v>
      </c>
      <c r="F57" s="666"/>
      <c r="G57" s="21">
        <f t="shared" si="8"/>
        <v>1</v>
      </c>
      <c r="H57" s="666"/>
      <c r="I57" s="21">
        <f t="shared" si="9"/>
        <v>1</v>
      </c>
      <c r="J57" s="666"/>
      <c r="K57" s="21">
        <f t="shared" si="10"/>
        <v>1</v>
      </c>
      <c r="L57" s="666"/>
      <c r="M57" s="21">
        <f t="shared" si="11"/>
        <v>1</v>
      </c>
      <c r="N57" s="666"/>
      <c r="O57" s="21">
        <f t="shared" si="12"/>
        <v>1</v>
      </c>
      <c r="P57" s="666" t="str">
        <f>二期房号清单!L34</f>
        <v>顶层</v>
      </c>
      <c r="Q57" s="21">
        <f t="shared" si="13"/>
        <v>0.96</v>
      </c>
      <c r="R57" s="662">
        <f t="shared" ca="1" si="14"/>
        <v>33863</v>
      </c>
      <c r="S57" s="316">
        <f t="shared" ca="1" si="5"/>
        <v>280</v>
      </c>
    </row>
    <row r="58" spans="1:19">
      <c r="A58" s="150" t="str">
        <f>二期房号清单!C35</f>
        <v>12-2-1102</v>
      </c>
      <c r="B58" s="54">
        <f>二期房号清单!D35</f>
        <v>86.53</v>
      </c>
      <c r="C58" s="21">
        <f t="shared" si="6"/>
        <v>1</v>
      </c>
      <c r="D58" s="666"/>
      <c r="E58" s="21">
        <f t="shared" si="7"/>
        <v>1</v>
      </c>
      <c r="F58" s="666"/>
      <c r="G58" s="21">
        <f t="shared" si="8"/>
        <v>1</v>
      </c>
      <c r="H58" s="666"/>
      <c r="I58" s="21">
        <f t="shared" si="9"/>
        <v>1</v>
      </c>
      <c r="J58" s="666"/>
      <c r="K58" s="21">
        <f t="shared" si="10"/>
        <v>1</v>
      </c>
      <c r="L58" s="666"/>
      <c r="M58" s="21">
        <f t="shared" si="11"/>
        <v>1</v>
      </c>
      <c r="N58" s="666"/>
      <c r="O58" s="21">
        <f t="shared" si="12"/>
        <v>1</v>
      </c>
      <c r="P58" s="666" t="str">
        <f>二期房号清单!L35</f>
        <v>顶层</v>
      </c>
      <c r="Q58" s="21">
        <f t="shared" si="13"/>
        <v>0.96</v>
      </c>
      <c r="R58" s="662">
        <f t="shared" ca="1" si="14"/>
        <v>33863</v>
      </c>
      <c r="S58" s="316">
        <f t="shared" ca="1" si="5"/>
        <v>293</v>
      </c>
    </row>
    <row r="59" spans="1:19">
      <c r="A59" s="150" t="str">
        <f>二期房号清单!C36</f>
        <v>11-1-201</v>
      </c>
      <c r="B59" s="54">
        <f>二期房号清单!D36</f>
        <v>87.39</v>
      </c>
      <c r="C59" s="21">
        <f t="shared" si="6"/>
        <v>1</v>
      </c>
      <c r="D59" s="666"/>
      <c r="E59" s="21">
        <f t="shared" si="7"/>
        <v>1</v>
      </c>
      <c r="F59" s="666"/>
      <c r="G59" s="21">
        <f t="shared" si="8"/>
        <v>1</v>
      </c>
      <c r="H59" s="666"/>
      <c r="I59" s="21">
        <f t="shared" si="9"/>
        <v>1</v>
      </c>
      <c r="J59" s="666"/>
      <c r="K59" s="21">
        <f t="shared" si="10"/>
        <v>1</v>
      </c>
      <c r="L59" s="666"/>
      <c r="M59" s="21">
        <f t="shared" si="11"/>
        <v>1</v>
      </c>
      <c r="N59" s="666"/>
      <c r="O59" s="21">
        <f t="shared" si="12"/>
        <v>1</v>
      </c>
      <c r="P59" s="666" t="str">
        <f>二期房号清单!L36</f>
        <v>低区</v>
      </c>
      <c r="Q59" s="21">
        <f t="shared" si="13"/>
        <v>0.98</v>
      </c>
      <c r="R59" s="662">
        <f t="shared" ca="1" si="14"/>
        <v>34569</v>
      </c>
      <c r="S59" s="316">
        <f t="shared" ca="1" si="5"/>
        <v>302</v>
      </c>
    </row>
    <row r="60" spans="1:19">
      <c r="A60" s="150" t="str">
        <f>二期房号清单!C37</f>
        <v>11-1-401</v>
      </c>
      <c r="B60" s="54">
        <f>二期房号清单!D37</f>
        <v>87.39</v>
      </c>
      <c r="C60" s="21">
        <f t="shared" si="6"/>
        <v>1</v>
      </c>
      <c r="D60" s="666"/>
      <c r="E60" s="21">
        <f t="shared" si="7"/>
        <v>1</v>
      </c>
      <c r="F60" s="666"/>
      <c r="G60" s="21">
        <f t="shared" si="8"/>
        <v>1</v>
      </c>
      <c r="H60" s="666"/>
      <c r="I60" s="21">
        <f t="shared" si="9"/>
        <v>1</v>
      </c>
      <c r="J60" s="666"/>
      <c r="K60" s="21">
        <f t="shared" si="10"/>
        <v>1</v>
      </c>
      <c r="L60" s="666"/>
      <c r="M60" s="21">
        <f t="shared" si="11"/>
        <v>1</v>
      </c>
      <c r="N60" s="666"/>
      <c r="O60" s="21">
        <f t="shared" si="12"/>
        <v>1</v>
      </c>
      <c r="P60" s="666" t="str">
        <f>二期房号清单!L37</f>
        <v>低区</v>
      </c>
      <c r="Q60" s="21">
        <f t="shared" si="13"/>
        <v>0.98</v>
      </c>
      <c r="R60" s="662">
        <f t="shared" ca="1" si="14"/>
        <v>34569</v>
      </c>
      <c r="S60" s="316">
        <f t="shared" ca="1" si="5"/>
        <v>302</v>
      </c>
    </row>
    <row r="61" spans="1:19">
      <c r="A61" s="150" t="str">
        <f>二期房号清单!C38</f>
        <v>11-1-601</v>
      </c>
      <c r="B61" s="54">
        <f>二期房号清单!D38</f>
        <v>87.39</v>
      </c>
      <c r="C61" s="21">
        <f t="shared" si="6"/>
        <v>1</v>
      </c>
      <c r="D61" s="666"/>
      <c r="E61" s="21">
        <f t="shared" si="7"/>
        <v>1</v>
      </c>
      <c r="F61" s="666"/>
      <c r="G61" s="21">
        <f t="shared" si="8"/>
        <v>1</v>
      </c>
      <c r="H61" s="666"/>
      <c r="I61" s="21">
        <f t="shared" si="9"/>
        <v>1</v>
      </c>
      <c r="J61" s="666"/>
      <c r="K61" s="21">
        <f t="shared" si="10"/>
        <v>1</v>
      </c>
      <c r="L61" s="666"/>
      <c r="M61" s="21">
        <f t="shared" si="11"/>
        <v>1</v>
      </c>
      <c r="N61" s="666"/>
      <c r="O61" s="21">
        <f t="shared" si="12"/>
        <v>1</v>
      </c>
      <c r="P61" s="666" t="str">
        <f>二期房号清单!L38</f>
        <v>中区</v>
      </c>
      <c r="Q61" s="21">
        <f t="shared" si="13"/>
        <v>1</v>
      </c>
      <c r="R61" s="662">
        <f t="shared" ca="1" si="14"/>
        <v>35274</v>
      </c>
      <c r="S61" s="316">
        <f t="shared" ca="1" si="5"/>
        <v>308</v>
      </c>
    </row>
    <row r="62" spans="1:19">
      <c r="A62" s="150" t="str">
        <f>二期房号清单!C39</f>
        <v>11-1-801</v>
      </c>
      <c r="B62" s="54">
        <f>二期房号清单!D39</f>
        <v>87.39</v>
      </c>
      <c r="C62" s="21">
        <f t="shared" si="6"/>
        <v>1</v>
      </c>
      <c r="D62" s="666"/>
      <c r="E62" s="21">
        <f t="shared" si="7"/>
        <v>1</v>
      </c>
      <c r="F62" s="666"/>
      <c r="G62" s="21">
        <f t="shared" si="8"/>
        <v>1</v>
      </c>
      <c r="H62" s="666"/>
      <c r="I62" s="21">
        <f t="shared" si="9"/>
        <v>1</v>
      </c>
      <c r="J62" s="666"/>
      <c r="K62" s="21">
        <f t="shared" si="10"/>
        <v>1</v>
      </c>
      <c r="L62" s="666"/>
      <c r="M62" s="21">
        <f t="shared" si="11"/>
        <v>1</v>
      </c>
      <c r="N62" s="666"/>
      <c r="O62" s="21">
        <f t="shared" si="12"/>
        <v>1</v>
      </c>
      <c r="P62" s="666" t="str">
        <f>二期房号清单!L39</f>
        <v>高区</v>
      </c>
      <c r="Q62" s="21">
        <f t="shared" si="13"/>
        <v>1.02</v>
      </c>
      <c r="R62" s="662">
        <f t="shared" ca="1" si="14"/>
        <v>35979</v>
      </c>
      <c r="S62" s="316">
        <f t="shared" ca="1" si="5"/>
        <v>314</v>
      </c>
    </row>
    <row r="63" spans="1:19">
      <c r="A63" s="150" t="str">
        <f>二期房号清单!C40</f>
        <v>11-1-1101</v>
      </c>
      <c r="B63" s="54">
        <f>二期房号清单!D40</f>
        <v>87.39</v>
      </c>
      <c r="C63" s="21">
        <f t="shared" si="6"/>
        <v>1</v>
      </c>
      <c r="D63" s="666"/>
      <c r="E63" s="21">
        <f t="shared" si="7"/>
        <v>1</v>
      </c>
      <c r="F63" s="666"/>
      <c r="G63" s="21">
        <f t="shared" si="8"/>
        <v>1</v>
      </c>
      <c r="H63" s="666"/>
      <c r="I63" s="21">
        <f t="shared" si="9"/>
        <v>1</v>
      </c>
      <c r="J63" s="666"/>
      <c r="K63" s="21">
        <f t="shared" si="10"/>
        <v>1</v>
      </c>
      <c r="L63" s="666"/>
      <c r="M63" s="21">
        <f t="shared" si="11"/>
        <v>1</v>
      </c>
      <c r="N63" s="666"/>
      <c r="O63" s="21">
        <f t="shared" si="12"/>
        <v>1</v>
      </c>
      <c r="P63" s="666" t="str">
        <f>二期房号清单!L40</f>
        <v>顶层</v>
      </c>
      <c r="Q63" s="21">
        <f t="shared" si="13"/>
        <v>0.96</v>
      </c>
      <c r="R63" s="662">
        <f t="shared" ca="1" si="14"/>
        <v>33863</v>
      </c>
      <c r="S63" s="316">
        <f t="shared" ca="1" si="5"/>
        <v>296</v>
      </c>
    </row>
    <row r="64" spans="1:19">
      <c r="A64" s="150" t="str">
        <f>二期房号清单!C41</f>
        <v>7-1-101</v>
      </c>
      <c r="B64" s="54">
        <f>二期房号清单!D41</f>
        <v>85.89</v>
      </c>
      <c r="C64" s="21">
        <f t="shared" si="6"/>
        <v>1</v>
      </c>
      <c r="D64" s="666"/>
      <c r="E64" s="21">
        <f t="shared" si="7"/>
        <v>1</v>
      </c>
      <c r="F64" s="666"/>
      <c r="G64" s="21">
        <f t="shared" si="8"/>
        <v>1</v>
      </c>
      <c r="H64" s="666"/>
      <c r="I64" s="21">
        <f t="shared" si="9"/>
        <v>1</v>
      </c>
      <c r="J64" s="666"/>
      <c r="K64" s="21">
        <f t="shared" si="10"/>
        <v>1</v>
      </c>
      <c r="L64" s="666"/>
      <c r="M64" s="21">
        <f t="shared" si="11"/>
        <v>1</v>
      </c>
      <c r="N64" s="666"/>
      <c r="O64" s="21">
        <f t="shared" si="12"/>
        <v>1</v>
      </c>
      <c r="P64" s="666" t="str">
        <f>二期房号清单!L41</f>
        <v>一层</v>
      </c>
      <c r="Q64" s="21">
        <f t="shared" si="13"/>
        <v>0.96</v>
      </c>
      <c r="R64" s="662">
        <f t="shared" ca="1" si="14"/>
        <v>33863</v>
      </c>
      <c r="S64" s="316">
        <f t="shared" ca="1" si="5"/>
        <v>291</v>
      </c>
    </row>
    <row r="65" spans="1:19">
      <c r="A65" s="150" t="str">
        <f>二期房号清单!C42</f>
        <v>7-1-201</v>
      </c>
      <c r="B65" s="54">
        <f>二期房号清单!D42</f>
        <v>85.89</v>
      </c>
      <c r="C65" s="21">
        <f t="shared" si="6"/>
        <v>1</v>
      </c>
      <c r="D65" s="666"/>
      <c r="E65" s="21">
        <f t="shared" si="7"/>
        <v>1</v>
      </c>
      <c r="F65" s="666"/>
      <c r="G65" s="21">
        <f t="shared" si="8"/>
        <v>1</v>
      </c>
      <c r="H65" s="666"/>
      <c r="I65" s="21">
        <f t="shared" si="9"/>
        <v>1</v>
      </c>
      <c r="J65" s="666"/>
      <c r="K65" s="21">
        <f t="shared" si="10"/>
        <v>1</v>
      </c>
      <c r="L65" s="666"/>
      <c r="M65" s="21">
        <f t="shared" si="11"/>
        <v>1</v>
      </c>
      <c r="N65" s="666"/>
      <c r="O65" s="21">
        <f t="shared" si="12"/>
        <v>1</v>
      </c>
      <c r="P65" s="666" t="str">
        <f>二期房号清单!L42</f>
        <v>低区</v>
      </c>
      <c r="Q65" s="21">
        <f t="shared" si="13"/>
        <v>0.98</v>
      </c>
      <c r="R65" s="662">
        <f t="shared" ca="1" si="14"/>
        <v>34569</v>
      </c>
      <c r="S65" s="316">
        <f t="shared" ca="1" si="5"/>
        <v>297</v>
      </c>
    </row>
    <row r="66" spans="1:19">
      <c r="A66" s="150" t="str">
        <f>二期房号清单!C43</f>
        <v>7-1-202</v>
      </c>
      <c r="B66" s="54">
        <f>二期房号清单!D43</f>
        <v>81.99</v>
      </c>
      <c r="C66" s="21">
        <f t="shared" si="6"/>
        <v>1</v>
      </c>
      <c r="D66" s="666"/>
      <c r="E66" s="21">
        <f t="shared" si="7"/>
        <v>1</v>
      </c>
      <c r="F66" s="666"/>
      <c r="G66" s="21">
        <f t="shared" si="8"/>
        <v>1</v>
      </c>
      <c r="H66" s="666"/>
      <c r="I66" s="21">
        <f t="shared" si="9"/>
        <v>1</v>
      </c>
      <c r="J66" s="666"/>
      <c r="K66" s="21">
        <f t="shared" si="10"/>
        <v>1</v>
      </c>
      <c r="L66" s="666"/>
      <c r="M66" s="21">
        <f t="shared" si="11"/>
        <v>1</v>
      </c>
      <c r="N66" s="666"/>
      <c r="O66" s="21">
        <f t="shared" si="12"/>
        <v>1</v>
      </c>
      <c r="P66" s="666" t="str">
        <f>二期房号清单!L43</f>
        <v>低区</v>
      </c>
      <c r="Q66" s="21">
        <f t="shared" si="13"/>
        <v>0.98</v>
      </c>
      <c r="R66" s="662">
        <f t="shared" ca="1" si="14"/>
        <v>34569</v>
      </c>
      <c r="S66" s="316">
        <f t="shared" ca="1" si="5"/>
        <v>283</v>
      </c>
    </row>
    <row r="67" spans="1:19">
      <c r="A67" s="150" t="str">
        <f>二期房号清单!C44</f>
        <v>7-1-301</v>
      </c>
      <c r="B67" s="54">
        <f>二期房号清单!D44</f>
        <v>85.89</v>
      </c>
      <c r="C67" s="21">
        <f t="shared" si="6"/>
        <v>1</v>
      </c>
      <c r="D67" s="666"/>
      <c r="E67" s="21">
        <f t="shared" si="7"/>
        <v>1</v>
      </c>
      <c r="F67" s="666"/>
      <c r="G67" s="21">
        <f t="shared" si="8"/>
        <v>1</v>
      </c>
      <c r="H67" s="666"/>
      <c r="I67" s="21">
        <f t="shared" si="9"/>
        <v>1</v>
      </c>
      <c r="J67" s="666"/>
      <c r="K67" s="21">
        <f t="shared" si="10"/>
        <v>1</v>
      </c>
      <c r="L67" s="666"/>
      <c r="M67" s="21">
        <f t="shared" si="11"/>
        <v>1</v>
      </c>
      <c r="N67" s="666"/>
      <c r="O67" s="21">
        <f t="shared" si="12"/>
        <v>1</v>
      </c>
      <c r="P67" s="666" t="str">
        <f>二期房号清单!L44</f>
        <v>低区</v>
      </c>
      <c r="Q67" s="21">
        <f t="shared" si="13"/>
        <v>0.98</v>
      </c>
      <c r="R67" s="662">
        <f t="shared" ca="1" si="14"/>
        <v>34569</v>
      </c>
      <c r="S67" s="316">
        <f t="shared" ca="1" si="5"/>
        <v>297</v>
      </c>
    </row>
    <row r="68" spans="1:19">
      <c r="A68" s="150" t="str">
        <f>二期房号清单!C45</f>
        <v>7-1-302</v>
      </c>
      <c r="B68" s="54">
        <f>二期房号清单!D45</f>
        <v>81.99</v>
      </c>
      <c r="C68" s="21">
        <f t="shared" si="6"/>
        <v>1</v>
      </c>
      <c r="D68" s="666"/>
      <c r="E68" s="21">
        <f t="shared" si="7"/>
        <v>1</v>
      </c>
      <c r="F68" s="666"/>
      <c r="G68" s="21">
        <f t="shared" si="8"/>
        <v>1</v>
      </c>
      <c r="H68" s="666"/>
      <c r="I68" s="21">
        <f t="shared" si="9"/>
        <v>1</v>
      </c>
      <c r="J68" s="666"/>
      <c r="K68" s="21">
        <f t="shared" si="10"/>
        <v>1</v>
      </c>
      <c r="L68" s="666"/>
      <c r="M68" s="21">
        <f t="shared" si="11"/>
        <v>1</v>
      </c>
      <c r="N68" s="666"/>
      <c r="O68" s="21">
        <f t="shared" si="12"/>
        <v>1</v>
      </c>
      <c r="P68" s="666" t="str">
        <f>二期房号清单!L45</f>
        <v>低区</v>
      </c>
      <c r="Q68" s="21">
        <f t="shared" si="13"/>
        <v>0.98</v>
      </c>
      <c r="R68" s="662">
        <f t="shared" ca="1" si="14"/>
        <v>34569</v>
      </c>
      <c r="S68" s="316">
        <f t="shared" ca="1" si="5"/>
        <v>283</v>
      </c>
    </row>
    <row r="69" spans="1:19">
      <c r="A69" s="150" t="str">
        <f>二期房号清单!C46</f>
        <v>7-1-401</v>
      </c>
      <c r="B69" s="54">
        <f>二期房号清单!D46</f>
        <v>85.89</v>
      </c>
      <c r="C69" s="21">
        <f t="shared" si="6"/>
        <v>1</v>
      </c>
      <c r="D69" s="666"/>
      <c r="E69" s="21">
        <f t="shared" si="7"/>
        <v>1</v>
      </c>
      <c r="F69" s="666"/>
      <c r="G69" s="21">
        <f t="shared" si="8"/>
        <v>1</v>
      </c>
      <c r="H69" s="666"/>
      <c r="I69" s="21">
        <f t="shared" si="9"/>
        <v>1</v>
      </c>
      <c r="J69" s="666"/>
      <c r="K69" s="21">
        <f t="shared" si="10"/>
        <v>1</v>
      </c>
      <c r="L69" s="666"/>
      <c r="M69" s="21">
        <f t="shared" si="11"/>
        <v>1</v>
      </c>
      <c r="N69" s="666"/>
      <c r="O69" s="21">
        <f t="shared" si="12"/>
        <v>1</v>
      </c>
      <c r="P69" s="666" t="str">
        <f>二期房号清单!L46</f>
        <v>中区</v>
      </c>
      <c r="Q69" s="21">
        <f t="shared" si="13"/>
        <v>1</v>
      </c>
      <c r="R69" s="662">
        <f t="shared" ca="1" si="14"/>
        <v>35274</v>
      </c>
      <c r="S69" s="316">
        <f t="shared" ca="1" si="5"/>
        <v>303</v>
      </c>
    </row>
    <row r="70" spans="1:19">
      <c r="A70" s="150" t="str">
        <f>二期房号清单!C47</f>
        <v>7-1-402</v>
      </c>
      <c r="B70" s="54">
        <f>二期房号清单!D47</f>
        <v>81.99</v>
      </c>
      <c r="C70" s="21">
        <f t="shared" si="6"/>
        <v>1</v>
      </c>
      <c r="D70" s="666"/>
      <c r="E70" s="21">
        <f t="shared" si="7"/>
        <v>1</v>
      </c>
      <c r="F70" s="666"/>
      <c r="G70" s="21">
        <f t="shared" si="8"/>
        <v>1</v>
      </c>
      <c r="H70" s="666"/>
      <c r="I70" s="21">
        <f t="shared" si="9"/>
        <v>1</v>
      </c>
      <c r="J70" s="666"/>
      <c r="K70" s="21">
        <f t="shared" si="10"/>
        <v>1</v>
      </c>
      <c r="L70" s="666"/>
      <c r="M70" s="21">
        <f t="shared" si="11"/>
        <v>1</v>
      </c>
      <c r="N70" s="666"/>
      <c r="O70" s="21">
        <f t="shared" si="12"/>
        <v>1</v>
      </c>
      <c r="P70" s="666" t="str">
        <f>二期房号清单!L47</f>
        <v>中区</v>
      </c>
      <c r="Q70" s="21">
        <f t="shared" si="13"/>
        <v>1</v>
      </c>
      <c r="R70" s="662">
        <f t="shared" ca="1" si="14"/>
        <v>35274</v>
      </c>
      <c r="S70" s="316">
        <f t="shared" ca="1" si="5"/>
        <v>289</v>
      </c>
    </row>
    <row r="71" spans="1:19">
      <c r="A71" s="150" t="str">
        <f>二期房号清单!C48</f>
        <v>7-1-501</v>
      </c>
      <c r="B71" s="54">
        <f>二期房号清单!D48</f>
        <v>85.89</v>
      </c>
      <c r="C71" s="21">
        <f t="shared" si="6"/>
        <v>1</v>
      </c>
      <c r="D71" s="666"/>
      <c r="E71" s="21">
        <f t="shared" si="7"/>
        <v>1</v>
      </c>
      <c r="F71" s="666"/>
      <c r="G71" s="21">
        <f t="shared" si="8"/>
        <v>1</v>
      </c>
      <c r="H71" s="666"/>
      <c r="I71" s="21">
        <f t="shared" si="9"/>
        <v>1</v>
      </c>
      <c r="J71" s="666"/>
      <c r="K71" s="21">
        <f t="shared" si="10"/>
        <v>1</v>
      </c>
      <c r="L71" s="666"/>
      <c r="M71" s="21">
        <f t="shared" si="11"/>
        <v>1</v>
      </c>
      <c r="N71" s="666"/>
      <c r="O71" s="21">
        <f t="shared" si="12"/>
        <v>1</v>
      </c>
      <c r="P71" s="666" t="str">
        <f>二期房号清单!L48</f>
        <v>中区</v>
      </c>
      <c r="Q71" s="21">
        <f t="shared" si="13"/>
        <v>1</v>
      </c>
      <c r="R71" s="662">
        <f t="shared" ca="1" si="14"/>
        <v>35274</v>
      </c>
      <c r="S71" s="316">
        <f t="shared" ca="1" si="5"/>
        <v>303</v>
      </c>
    </row>
    <row r="72" spans="1:19">
      <c r="A72" s="150" t="str">
        <f>二期房号清单!C49</f>
        <v>7-1-502</v>
      </c>
      <c r="B72" s="54">
        <f>二期房号清单!D49</f>
        <v>81.99</v>
      </c>
      <c r="C72" s="21">
        <f t="shared" si="6"/>
        <v>1</v>
      </c>
      <c r="D72" s="666"/>
      <c r="E72" s="21">
        <f t="shared" si="7"/>
        <v>1</v>
      </c>
      <c r="F72" s="666"/>
      <c r="G72" s="21">
        <f t="shared" si="8"/>
        <v>1</v>
      </c>
      <c r="H72" s="666"/>
      <c r="I72" s="21">
        <f t="shared" si="9"/>
        <v>1</v>
      </c>
      <c r="J72" s="666"/>
      <c r="K72" s="21">
        <f t="shared" si="10"/>
        <v>1</v>
      </c>
      <c r="L72" s="666"/>
      <c r="M72" s="21">
        <f t="shared" si="11"/>
        <v>1</v>
      </c>
      <c r="N72" s="666"/>
      <c r="O72" s="21">
        <f t="shared" si="12"/>
        <v>1</v>
      </c>
      <c r="P72" s="666" t="str">
        <f>二期房号清单!L49</f>
        <v>中区</v>
      </c>
      <c r="Q72" s="21">
        <f t="shared" si="13"/>
        <v>1</v>
      </c>
      <c r="R72" s="662">
        <f t="shared" ca="1" si="14"/>
        <v>35274</v>
      </c>
      <c r="S72" s="316">
        <f t="shared" ca="1" si="5"/>
        <v>289</v>
      </c>
    </row>
    <row r="73" spans="1:19">
      <c r="A73" s="150" t="str">
        <f>二期房号清单!C50</f>
        <v>7-1-601</v>
      </c>
      <c r="B73" s="54">
        <f>二期房号清单!D50</f>
        <v>85.89</v>
      </c>
      <c r="C73" s="21">
        <f t="shared" si="6"/>
        <v>1</v>
      </c>
      <c r="D73" s="666"/>
      <c r="E73" s="21">
        <f t="shared" si="7"/>
        <v>1</v>
      </c>
      <c r="F73" s="666"/>
      <c r="G73" s="21">
        <f t="shared" si="8"/>
        <v>1</v>
      </c>
      <c r="H73" s="666"/>
      <c r="I73" s="21">
        <f t="shared" si="9"/>
        <v>1</v>
      </c>
      <c r="J73" s="666"/>
      <c r="K73" s="21">
        <f t="shared" si="10"/>
        <v>1</v>
      </c>
      <c r="L73" s="666"/>
      <c r="M73" s="21">
        <f t="shared" si="11"/>
        <v>1</v>
      </c>
      <c r="N73" s="666"/>
      <c r="O73" s="21">
        <f t="shared" si="12"/>
        <v>1</v>
      </c>
      <c r="P73" s="666" t="str">
        <f>二期房号清单!L50</f>
        <v>中区</v>
      </c>
      <c r="Q73" s="21">
        <f t="shared" si="13"/>
        <v>1</v>
      </c>
      <c r="R73" s="662">
        <f t="shared" ca="1" si="14"/>
        <v>35274</v>
      </c>
      <c r="S73" s="316">
        <f t="shared" ca="1" si="5"/>
        <v>303</v>
      </c>
    </row>
    <row r="74" spans="1:19">
      <c r="A74" s="150" t="str">
        <f>二期房号清单!C51</f>
        <v>7-1-701</v>
      </c>
      <c r="B74" s="54">
        <f>二期房号清单!D51</f>
        <v>85.89</v>
      </c>
      <c r="C74" s="21">
        <f t="shared" si="6"/>
        <v>1</v>
      </c>
      <c r="D74" s="666"/>
      <c r="E74" s="21">
        <f t="shared" si="7"/>
        <v>1</v>
      </c>
      <c r="F74" s="666"/>
      <c r="G74" s="21">
        <f t="shared" si="8"/>
        <v>1</v>
      </c>
      <c r="H74" s="666"/>
      <c r="I74" s="21">
        <f t="shared" si="9"/>
        <v>1</v>
      </c>
      <c r="J74" s="666"/>
      <c r="K74" s="21">
        <f t="shared" si="10"/>
        <v>1</v>
      </c>
      <c r="L74" s="666"/>
      <c r="M74" s="21">
        <f t="shared" si="11"/>
        <v>1</v>
      </c>
      <c r="N74" s="666"/>
      <c r="O74" s="21">
        <f t="shared" si="12"/>
        <v>1</v>
      </c>
      <c r="P74" s="666" t="str">
        <f>二期房号清单!L51</f>
        <v>高区</v>
      </c>
      <c r="Q74" s="21">
        <f t="shared" si="13"/>
        <v>1.02</v>
      </c>
      <c r="R74" s="662">
        <f t="shared" ca="1" si="14"/>
        <v>35979</v>
      </c>
      <c r="S74" s="316">
        <f t="shared" ca="1" si="5"/>
        <v>309</v>
      </c>
    </row>
    <row r="75" spans="1:19">
      <c r="A75" s="150" t="str">
        <f>二期房号清单!C52</f>
        <v>7-1-801</v>
      </c>
      <c r="B75" s="54">
        <f>二期房号清单!D52</f>
        <v>85.89</v>
      </c>
      <c r="C75" s="21">
        <f t="shared" si="6"/>
        <v>1</v>
      </c>
      <c r="D75" s="666"/>
      <c r="E75" s="21">
        <f t="shared" si="7"/>
        <v>1</v>
      </c>
      <c r="F75" s="666"/>
      <c r="G75" s="21">
        <f t="shared" si="8"/>
        <v>1</v>
      </c>
      <c r="H75" s="666"/>
      <c r="I75" s="21">
        <f t="shared" si="9"/>
        <v>1</v>
      </c>
      <c r="J75" s="666"/>
      <c r="K75" s="21">
        <f t="shared" si="10"/>
        <v>1</v>
      </c>
      <c r="L75" s="666"/>
      <c r="M75" s="21">
        <f t="shared" si="11"/>
        <v>1</v>
      </c>
      <c r="N75" s="666"/>
      <c r="O75" s="21">
        <f t="shared" si="12"/>
        <v>1</v>
      </c>
      <c r="P75" s="666" t="str">
        <f>二期房号清单!L52</f>
        <v>高区</v>
      </c>
      <c r="Q75" s="21">
        <f t="shared" si="13"/>
        <v>1.02</v>
      </c>
      <c r="R75" s="662">
        <f t="shared" ca="1" si="14"/>
        <v>35979</v>
      </c>
      <c r="S75" s="316">
        <f t="shared" ca="1" si="5"/>
        <v>309</v>
      </c>
    </row>
    <row r="76" spans="1:19">
      <c r="A76" s="150" t="str">
        <f>二期房号清单!C53</f>
        <v>7-1-802</v>
      </c>
      <c r="B76" s="54">
        <f>二期房号清单!D53</f>
        <v>81.99</v>
      </c>
      <c r="C76" s="21">
        <f t="shared" si="6"/>
        <v>1</v>
      </c>
      <c r="D76" s="666"/>
      <c r="E76" s="21">
        <f t="shared" si="7"/>
        <v>1</v>
      </c>
      <c r="F76" s="666"/>
      <c r="G76" s="21">
        <f t="shared" si="8"/>
        <v>1</v>
      </c>
      <c r="H76" s="666"/>
      <c r="I76" s="21">
        <f t="shared" si="9"/>
        <v>1</v>
      </c>
      <c r="J76" s="666"/>
      <c r="K76" s="21">
        <f t="shared" si="10"/>
        <v>1</v>
      </c>
      <c r="L76" s="666"/>
      <c r="M76" s="21">
        <f t="shared" si="11"/>
        <v>1</v>
      </c>
      <c r="N76" s="666"/>
      <c r="O76" s="21">
        <f t="shared" si="12"/>
        <v>1</v>
      </c>
      <c r="P76" s="666" t="str">
        <f>二期房号清单!L53</f>
        <v>高区</v>
      </c>
      <c r="Q76" s="21">
        <f t="shared" si="13"/>
        <v>1.02</v>
      </c>
      <c r="R76" s="662">
        <f t="shared" ca="1" si="14"/>
        <v>35979</v>
      </c>
      <c r="S76" s="316">
        <f t="shared" ca="1" si="5"/>
        <v>295</v>
      </c>
    </row>
    <row r="77" spans="1:19">
      <c r="A77" s="150" t="str">
        <f>二期房号清单!C54</f>
        <v>7-1-901</v>
      </c>
      <c r="B77" s="54">
        <f>二期房号清单!D54</f>
        <v>85.89</v>
      </c>
      <c r="C77" s="21">
        <f t="shared" si="6"/>
        <v>1</v>
      </c>
      <c r="D77" s="666"/>
      <c r="E77" s="21">
        <f t="shared" si="7"/>
        <v>1</v>
      </c>
      <c r="F77" s="666"/>
      <c r="G77" s="21">
        <f t="shared" si="8"/>
        <v>1</v>
      </c>
      <c r="H77" s="666"/>
      <c r="I77" s="21">
        <f t="shared" si="9"/>
        <v>1</v>
      </c>
      <c r="J77" s="666"/>
      <c r="K77" s="21">
        <f t="shared" si="10"/>
        <v>1</v>
      </c>
      <c r="L77" s="666"/>
      <c r="M77" s="21">
        <f t="shared" si="11"/>
        <v>1</v>
      </c>
      <c r="N77" s="666"/>
      <c r="O77" s="21">
        <f t="shared" si="12"/>
        <v>1</v>
      </c>
      <c r="P77" s="666" t="str">
        <f>二期房号清单!L54</f>
        <v>顶层</v>
      </c>
      <c r="Q77" s="21">
        <f t="shared" si="13"/>
        <v>0.96</v>
      </c>
      <c r="R77" s="662">
        <f t="shared" ca="1" si="14"/>
        <v>33863</v>
      </c>
      <c r="S77" s="316">
        <f t="shared" ca="1" si="5"/>
        <v>291</v>
      </c>
    </row>
    <row r="78" spans="1:19">
      <c r="A78" s="150" t="str">
        <f>二期房号清单!C55</f>
        <v>7-2-102</v>
      </c>
      <c r="B78" s="54">
        <f>二期房号清单!D55</f>
        <v>85.89</v>
      </c>
      <c r="C78" s="21">
        <f t="shared" si="6"/>
        <v>1</v>
      </c>
      <c r="D78" s="666"/>
      <c r="E78" s="21">
        <f t="shared" si="7"/>
        <v>1</v>
      </c>
      <c r="F78" s="666"/>
      <c r="G78" s="21">
        <f t="shared" si="8"/>
        <v>1</v>
      </c>
      <c r="H78" s="666"/>
      <c r="I78" s="21">
        <f t="shared" si="9"/>
        <v>1</v>
      </c>
      <c r="J78" s="666"/>
      <c r="K78" s="21">
        <f t="shared" si="10"/>
        <v>1</v>
      </c>
      <c r="L78" s="666"/>
      <c r="M78" s="21">
        <f t="shared" si="11"/>
        <v>1</v>
      </c>
      <c r="N78" s="666"/>
      <c r="O78" s="21">
        <f t="shared" si="12"/>
        <v>1</v>
      </c>
      <c r="P78" s="666" t="str">
        <f>二期房号清单!L55</f>
        <v>一层</v>
      </c>
      <c r="Q78" s="21">
        <f t="shared" si="13"/>
        <v>0.96</v>
      </c>
      <c r="R78" s="662">
        <f t="shared" ca="1" si="14"/>
        <v>33863</v>
      </c>
      <c r="S78" s="316">
        <f t="shared" ca="1" si="5"/>
        <v>291</v>
      </c>
    </row>
    <row r="79" spans="1:19">
      <c r="A79" s="150" t="str">
        <f>二期房号清单!C56</f>
        <v>7-2-201</v>
      </c>
      <c r="B79" s="54">
        <f>二期房号清单!D56</f>
        <v>81.99</v>
      </c>
      <c r="C79" s="21">
        <f t="shared" si="6"/>
        <v>1</v>
      </c>
      <c r="D79" s="666"/>
      <c r="E79" s="21">
        <f t="shared" si="7"/>
        <v>1</v>
      </c>
      <c r="F79" s="666"/>
      <c r="G79" s="21">
        <f t="shared" si="8"/>
        <v>1</v>
      </c>
      <c r="H79" s="666"/>
      <c r="I79" s="21">
        <f t="shared" si="9"/>
        <v>1</v>
      </c>
      <c r="J79" s="666"/>
      <c r="K79" s="21">
        <f t="shared" si="10"/>
        <v>1</v>
      </c>
      <c r="L79" s="666"/>
      <c r="M79" s="21">
        <f t="shared" si="11"/>
        <v>1</v>
      </c>
      <c r="N79" s="666"/>
      <c r="O79" s="21">
        <f t="shared" si="12"/>
        <v>1</v>
      </c>
      <c r="P79" s="666" t="str">
        <f>二期房号清单!L56</f>
        <v>低区</v>
      </c>
      <c r="Q79" s="21">
        <f t="shared" si="13"/>
        <v>0.98</v>
      </c>
      <c r="R79" s="662">
        <f t="shared" ca="1" si="14"/>
        <v>34569</v>
      </c>
      <c r="S79" s="316">
        <f t="shared" ca="1" si="5"/>
        <v>283</v>
      </c>
    </row>
    <row r="80" spans="1:19">
      <c r="A80" s="150" t="str">
        <f>二期房号清单!C57</f>
        <v>7-2-202</v>
      </c>
      <c r="B80" s="54">
        <f>二期房号清单!D57</f>
        <v>85.89</v>
      </c>
      <c r="C80" s="21">
        <f t="shared" si="6"/>
        <v>1</v>
      </c>
      <c r="D80" s="666"/>
      <c r="E80" s="21">
        <f t="shared" si="7"/>
        <v>1</v>
      </c>
      <c r="F80" s="666"/>
      <c r="G80" s="21">
        <f t="shared" si="8"/>
        <v>1</v>
      </c>
      <c r="H80" s="666"/>
      <c r="I80" s="21">
        <f t="shared" si="9"/>
        <v>1</v>
      </c>
      <c r="J80" s="666"/>
      <c r="K80" s="21">
        <f t="shared" si="10"/>
        <v>1</v>
      </c>
      <c r="L80" s="666"/>
      <c r="M80" s="21">
        <f t="shared" si="11"/>
        <v>1</v>
      </c>
      <c r="N80" s="666"/>
      <c r="O80" s="21">
        <f t="shared" si="12"/>
        <v>1</v>
      </c>
      <c r="P80" s="666" t="str">
        <f>二期房号清单!L57</f>
        <v>低区</v>
      </c>
      <c r="Q80" s="21">
        <f t="shared" si="13"/>
        <v>0.98</v>
      </c>
      <c r="R80" s="662">
        <f t="shared" ca="1" si="14"/>
        <v>34569</v>
      </c>
      <c r="S80" s="316">
        <f t="shared" ca="1" si="5"/>
        <v>297</v>
      </c>
    </row>
    <row r="81" spans="1:19">
      <c r="A81" s="150" t="str">
        <f>二期房号清单!C58</f>
        <v>7-2-301</v>
      </c>
      <c r="B81" s="54">
        <f>二期房号清单!D58</f>
        <v>81.99</v>
      </c>
      <c r="C81" s="21">
        <f t="shared" si="6"/>
        <v>1</v>
      </c>
      <c r="D81" s="666"/>
      <c r="E81" s="21">
        <f t="shared" si="7"/>
        <v>1</v>
      </c>
      <c r="F81" s="666"/>
      <c r="G81" s="21">
        <f t="shared" si="8"/>
        <v>1</v>
      </c>
      <c r="H81" s="666"/>
      <c r="I81" s="21">
        <f t="shared" si="9"/>
        <v>1</v>
      </c>
      <c r="J81" s="666"/>
      <c r="K81" s="21">
        <f t="shared" si="10"/>
        <v>1</v>
      </c>
      <c r="L81" s="666"/>
      <c r="M81" s="21">
        <f t="shared" si="11"/>
        <v>1</v>
      </c>
      <c r="N81" s="666"/>
      <c r="O81" s="21">
        <f t="shared" si="12"/>
        <v>1</v>
      </c>
      <c r="P81" s="666" t="str">
        <f>二期房号清单!L58</f>
        <v>低区</v>
      </c>
      <c r="Q81" s="21">
        <f t="shared" si="13"/>
        <v>0.98</v>
      </c>
      <c r="R81" s="662">
        <f t="shared" ca="1" si="14"/>
        <v>34569</v>
      </c>
      <c r="S81" s="316">
        <f t="shared" ca="1" si="5"/>
        <v>283</v>
      </c>
    </row>
    <row r="82" spans="1:19">
      <c r="A82" s="150" t="str">
        <f>二期房号清单!C59</f>
        <v>7-2-302</v>
      </c>
      <c r="B82" s="54">
        <f>二期房号清单!D59</f>
        <v>85.89</v>
      </c>
      <c r="C82" s="21">
        <f t="shared" si="6"/>
        <v>1</v>
      </c>
      <c r="D82" s="666"/>
      <c r="E82" s="21">
        <f t="shared" si="7"/>
        <v>1</v>
      </c>
      <c r="F82" s="666"/>
      <c r="G82" s="21">
        <f t="shared" si="8"/>
        <v>1</v>
      </c>
      <c r="H82" s="666"/>
      <c r="I82" s="21">
        <f t="shared" si="9"/>
        <v>1</v>
      </c>
      <c r="J82" s="666"/>
      <c r="K82" s="21">
        <f t="shared" si="10"/>
        <v>1</v>
      </c>
      <c r="L82" s="666"/>
      <c r="M82" s="21">
        <f t="shared" si="11"/>
        <v>1</v>
      </c>
      <c r="N82" s="666"/>
      <c r="O82" s="21">
        <f t="shared" si="12"/>
        <v>1</v>
      </c>
      <c r="P82" s="666" t="str">
        <f>二期房号清单!L59</f>
        <v>低区</v>
      </c>
      <c r="Q82" s="21">
        <f t="shared" si="13"/>
        <v>0.98</v>
      </c>
      <c r="R82" s="662">
        <f t="shared" ca="1" si="14"/>
        <v>34569</v>
      </c>
      <c r="S82" s="316">
        <f t="shared" ca="1" si="5"/>
        <v>297</v>
      </c>
    </row>
    <row r="83" spans="1:19">
      <c r="A83" s="150" t="str">
        <f>二期房号清单!C60</f>
        <v>7-2-401</v>
      </c>
      <c r="B83" s="54">
        <f>二期房号清单!D60</f>
        <v>81.99</v>
      </c>
      <c r="C83" s="21">
        <f t="shared" si="6"/>
        <v>1</v>
      </c>
      <c r="D83" s="666"/>
      <c r="E83" s="21">
        <f t="shared" si="7"/>
        <v>1</v>
      </c>
      <c r="F83" s="666"/>
      <c r="G83" s="21">
        <f t="shared" si="8"/>
        <v>1</v>
      </c>
      <c r="H83" s="666"/>
      <c r="I83" s="21">
        <f t="shared" si="9"/>
        <v>1</v>
      </c>
      <c r="J83" s="666"/>
      <c r="K83" s="21">
        <f t="shared" si="10"/>
        <v>1</v>
      </c>
      <c r="L83" s="666"/>
      <c r="M83" s="21">
        <f t="shared" si="11"/>
        <v>1</v>
      </c>
      <c r="N83" s="666"/>
      <c r="O83" s="21">
        <f t="shared" si="12"/>
        <v>1</v>
      </c>
      <c r="P83" s="666" t="str">
        <f>二期房号清单!L60</f>
        <v>中区</v>
      </c>
      <c r="Q83" s="21">
        <f t="shared" si="13"/>
        <v>1</v>
      </c>
      <c r="R83" s="662">
        <f t="shared" ca="1" si="14"/>
        <v>35274</v>
      </c>
      <c r="S83" s="316">
        <f t="shared" ca="1" si="5"/>
        <v>289</v>
      </c>
    </row>
    <row r="84" spans="1:19">
      <c r="A84" s="150" t="str">
        <f>二期房号清单!C61</f>
        <v>7-2-402</v>
      </c>
      <c r="B84" s="54">
        <f>二期房号清单!D61</f>
        <v>85.89</v>
      </c>
      <c r="C84" s="21">
        <f t="shared" si="6"/>
        <v>1</v>
      </c>
      <c r="D84" s="666"/>
      <c r="E84" s="21">
        <f t="shared" si="7"/>
        <v>1</v>
      </c>
      <c r="F84" s="666"/>
      <c r="G84" s="21">
        <f t="shared" si="8"/>
        <v>1</v>
      </c>
      <c r="H84" s="666"/>
      <c r="I84" s="21">
        <f t="shared" si="9"/>
        <v>1</v>
      </c>
      <c r="J84" s="666"/>
      <c r="K84" s="21">
        <f t="shared" si="10"/>
        <v>1</v>
      </c>
      <c r="L84" s="666"/>
      <c r="M84" s="21">
        <f t="shared" si="11"/>
        <v>1</v>
      </c>
      <c r="N84" s="666"/>
      <c r="O84" s="21">
        <f t="shared" si="12"/>
        <v>1</v>
      </c>
      <c r="P84" s="666" t="str">
        <f>二期房号清单!L61</f>
        <v>中区</v>
      </c>
      <c r="Q84" s="21">
        <f t="shared" si="13"/>
        <v>1</v>
      </c>
      <c r="R84" s="662">
        <f t="shared" ca="1" si="14"/>
        <v>35274</v>
      </c>
      <c r="S84" s="316">
        <f t="shared" ca="1" si="5"/>
        <v>303</v>
      </c>
    </row>
    <row r="85" spans="1:19">
      <c r="A85" s="150" t="str">
        <f>二期房号清单!C62</f>
        <v>7-2-502</v>
      </c>
      <c r="B85" s="54">
        <f>二期房号清单!D62</f>
        <v>85.89</v>
      </c>
      <c r="C85" s="21">
        <f t="shared" si="6"/>
        <v>1</v>
      </c>
      <c r="D85" s="666"/>
      <c r="E85" s="21">
        <f t="shared" si="7"/>
        <v>1</v>
      </c>
      <c r="F85" s="666"/>
      <c r="G85" s="21">
        <f t="shared" si="8"/>
        <v>1</v>
      </c>
      <c r="H85" s="666"/>
      <c r="I85" s="21">
        <f t="shared" si="9"/>
        <v>1</v>
      </c>
      <c r="J85" s="666"/>
      <c r="K85" s="21">
        <f t="shared" si="10"/>
        <v>1</v>
      </c>
      <c r="L85" s="666"/>
      <c r="M85" s="21">
        <f t="shared" si="11"/>
        <v>1</v>
      </c>
      <c r="N85" s="666"/>
      <c r="O85" s="21">
        <f t="shared" si="12"/>
        <v>1</v>
      </c>
      <c r="P85" s="666" t="str">
        <f>二期房号清单!L62</f>
        <v>中区</v>
      </c>
      <c r="Q85" s="21">
        <f t="shared" si="13"/>
        <v>1</v>
      </c>
      <c r="R85" s="662">
        <f t="shared" ca="1" si="14"/>
        <v>35274</v>
      </c>
      <c r="S85" s="316">
        <f t="shared" ca="1" si="5"/>
        <v>303</v>
      </c>
    </row>
    <row r="86" spans="1:19">
      <c r="A86" s="150" t="str">
        <f>二期房号清单!C63</f>
        <v>7-2-602</v>
      </c>
      <c r="B86" s="54">
        <f>二期房号清单!D63</f>
        <v>85.89</v>
      </c>
      <c r="C86" s="21">
        <f t="shared" si="6"/>
        <v>1</v>
      </c>
      <c r="D86" s="666"/>
      <c r="E86" s="21">
        <f t="shared" si="7"/>
        <v>1</v>
      </c>
      <c r="F86" s="666"/>
      <c r="G86" s="21">
        <f t="shared" si="8"/>
        <v>1</v>
      </c>
      <c r="H86" s="666"/>
      <c r="I86" s="21">
        <f t="shared" si="9"/>
        <v>1</v>
      </c>
      <c r="J86" s="666"/>
      <c r="K86" s="21">
        <f t="shared" si="10"/>
        <v>1</v>
      </c>
      <c r="L86" s="666"/>
      <c r="M86" s="21">
        <f t="shared" si="11"/>
        <v>1</v>
      </c>
      <c r="N86" s="666"/>
      <c r="O86" s="21">
        <f t="shared" si="12"/>
        <v>1</v>
      </c>
      <c r="P86" s="666" t="str">
        <f>二期房号清单!L63</f>
        <v>中区</v>
      </c>
      <c r="Q86" s="21">
        <f t="shared" si="13"/>
        <v>1</v>
      </c>
      <c r="R86" s="662">
        <f t="shared" ca="1" si="14"/>
        <v>35274</v>
      </c>
      <c r="S86" s="316">
        <f t="shared" ca="1" si="5"/>
        <v>303</v>
      </c>
    </row>
    <row r="87" spans="1:19">
      <c r="A87" s="150" t="str">
        <f>二期房号清单!C64</f>
        <v>7-2-702</v>
      </c>
      <c r="B87" s="54">
        <f>二期房号清单!D64</f>
        <v>85.89</v>
      </c>
      <c r="C87" s="21">
        <f t="shared" si="6"/>
        <v>1</v>
      </c>
      <c r="D87" s="666"/>
      <c r="E87" s="21">
        <f t="shared" si="7"/>
        <v>1</v>
      </c>
      <c r="F87" s="666"/>
      <c r="G87" s="21">
        <f t="shared" si="8"/>
        <v>1</v>
      </c>
      <c r="H87" s="666"/>
      <c r="I87" s="21">
        <f t="shared" si="9"/>
        <v>1</v>
      </c>
      <c r="J87" s="666"/>
      <c r="K87" s="21">
        <f t="shared" si="10"/>
        <v>1</v>
      </c>
      <c r="L87" s="666"/>
      <c r="M87" s="21">
        <f t="shared" si="11"/>
        <v>1</v>
      </c>
      <c r="N87" s="666"/>
      <c r="O87" s="21">
        <f t="shared" si="12"/>
        <v>1</v>
      </c>
      <c r="P87" s="666" t="str">
        <f>二期房号清单!L64</f>
        <v>高区</v>
      </c>
      <c r="Q87" s="21">
        <f t="shared" si="13"/>
        <v>1.02</v>
      </c>
      <c r="R87" s="662">
        <f t="shared" ca="1" si="14"/>
        <v>35979</v>
      </c>
      <c r="S87" s="316">
        <f t="shared" ca="1" si="5"/>
        <v>309</v>
      </c>
    </row>
    <row r="88" spans="1:19">
      <c r="A88" s="150" t="str">
        <f>二期房号清单!C65</f>
        <v>7-2-802</v>
      </c>
      <c r="B88" s="54">
        <f>二期房号清单!D65</f>
        <v>85.89</v>
      </c>
      <c r="C88" s="21">
        <f t="shared" si="6"/>
        <v>1</v>
      </c>
      <c r="D88" s="666"/>
      <c r="E88" s="21">
        <f t="shared" si="7"/>
        <v>1</v>
      </c>
      <c r="F88" s="666"/>
      <c r="G88" s="21">
        <f t="shared" si="8"/>
        <v>1</v>
      </c>
      <c r="H88" s="666"/>
      <c r="I88" s="21">
        <f t="shared" si="9"/>
        <v>1</v>
      </c>
      <c r="J88" s="666"/>
      <c r="K88" s="21">
        <f t="shared" si="10"/>
        <v>1</v>
      </c>
      <c r="L88" s="666"/>
      <c r="M88" s="21">
        <f t="shared" si="11"/>
        <v>1</v>
      </c>
      <c r="N88" s="666"/>
      <c r="O88" s="21">
        <f t="shared" si="12"/>
        <v>1</v>
      </c>
      <c r="P88" s="666" t="str">
        <f>二期房号清单!L65</f>
        <v>高区</v>
      </c>
      <c r="Q88" s="21">
        <f t="shared" si="13"/>
        <v>1.02</v>
      </c>
      <c r="R88" s="662">
        <f t="shared" ca="1" si="14"/>
        <v>35979</v>
      </c>
      <c r="S88" s="316">
        <f t="shared" ref="S88:S151" ca="1" si="15">ROUND(R88*B88/10000,0)</f>
        <v>309</v>
      </c>
    </row>
    <row r="89" spans="1:19">
      <c r="A89" s="150" t="str">
        <f>二期房号清单!C66</f>
        <v>7-2-902</v>
      </c>
      <c r="B89" s="54">
        <f>二期房号清单!D66</f>
        <v>85.89</v>
      </c>
      <c r="C89" s="21">
        <f t="shared" si="6"/>
        <v>1</v>
      </c>
      <c r="D89" s="666"/>
      <c r="E89" s="21">
        <f t="shared" si="7"/>
        <v>1</v>
      </c>
      <c r="F89" s="666"/>
      <c r="G89" s="21">
        <f t="shared" si="8"/>
        <v>1</v>
      </c>
      <c r="H89" s="666"/>
      <c r="I89" s="21">
        <f t="shared" si="9"/>
        <v>1</v>
      </c>
      <c r="J89" s="666"/>
      <c r="K89" s="21">
        <f t="shared" si="10"/>
        <v>1</v>
      </c>
      <c r="L89" s="666"/>
      <c r="M89" s="21">
        <f t="shared" si="11"/>
        <v>1</v>
      </c>
      <c r="N89" s="666"/>
      <c r="O89" s="21">
        <f t="shared" si="12"/>
        <v>1</v>
      </c>
      <c r="P89" s="666" t="str">
        <f>二期房号清单!L66</f>
        <v>顶层</v>
      </c>
      <c r="Q89" s="21">
        <f t="shared" si="13"/>
        <v>0.96</v>
      </c>
      <c r="R89" s="662">
        <f t="shared" ca="1" si="14"/>
        <v>33863</v>
      </c>
      <c r="S89" s="316">
        <f t="shared" ca="1" si="15"/>
        <v>291</v>
      </c>
    </row>
    <row r="90" spans="1:19">
      <c r="A90" s="150" t="str">
        <f>二期房号清单!C67</f>
        <v>6-1-201</v>
      </c>
      <c r="B90" s="54">
        <f>二期房号清单!D67</f>
        <v>87.26</v>
      </c>
      <c r="C90" s="21">
        <f t="shared" ref="C90:C153" si="16">IF(B90="",1,(LOOKUP(B90,$3:$3,$4:$4)-LOOKUP($B$24,$3:$3,$4:$4)+100)/100)</f>
        <v>1</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str">
        <f>二期房号清单!L67</f>
        <v>低区</v>
      </c>
      <c r="Q90" s="21">
        <f t="shared" ref="Q90:Q153" si="23">(SUMIF($17:$17,P90,$18:$18)-SUMIF($17:$17,$P$24,$18:$18)+100)/100</f>
        <v>0.98</v>
      </c>
      <c r="R90" s="662">
        <f t="shared" ref="R90:R153" ca="1" si="24">IF(B90="",0,ROUND($R$24*C90*E90*G90*I90*K90*M90*O90*Q90,0))</f>
        <v>34569</v>
      </c>
      <c r="S90" s="316">
        <f t="shared" ca="1" si="15"/>
        <v>302</v>
      </c>
    </row>
    <row r="91" spans="1:19">
      <c r="A91" s="150" t="str">
        <f>二期房号清单!C68</f>
        <v>6-1-401</v>
      </c>
      <c r="B91" s="54">
        <f>二期房号清单!D68</f>
        <v>87.26</v>
      </c>
      <c r="C91" s="21">
        <f t="shared" si="16"/>
        <v>1</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str">
        <f>二期房号清单!L68</f>
        <v>中区</v>
      </c>
      <c r="Q91" s="21">
        <f t="shared" si="23"/>
        <v>1</v>
      </c>
      <c r="R91" s="662">
        <f t="shared" ca="1" si="24"/>
        <v>35274</v>
      </c>
      <c r="S91" s="316">
        <f t="shared" ca="1" si="15"/>
        <v>308</v>
      </c>
    </row>
    <row r="92" spans="1:19">
      <c r="A92" s="150" t="str">
        <f>二期房号清单!C69</f>
        <v>6-1-402</v>
      </c>
      <c r="B92" s="54">
        <f>二期房号清单!D69</f>
        <v>83.29</v>
      </c>
      <c r="C92" s="21">
        <f t="shared" si="16"/>
        <v>1</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str">
        <f>二期房号清单!L69</f>
        <v>中区</v>
      </c>
      <c r="Q92" s="21">
        <f t="shared" si="23"/>
        <v>1</v>
      </c>
      <c r="R92" s="662">
        <f t="shared" ca="1" si="24"/>
        <v>35274</v>
      </c>
      <c r="S92" s="316">
        <f t="shared" ca="1" si="15"/>
        <v>294</v>
      </c>
    </row>
    <row r="93" spans="1:19">
      <c r="A93" s="150" t="str">
        <f>二期房号清单!C70</f>
        <v>6-1-501</v>
      </c>
      <c r="B93" s="54">
        <f>二期房号清单!D70</f>
        <v>87.26</v>
      </c>
      <c r="C93" s="21">
        <f t="shared" si="16"/>
        <v>1</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str">
        <f>二期房号清单!L70</f>
        <v>中区</v>
      </c>
      <c r="Q93" s="21">
        <f t="shared" si="23"/>
        <v>1</v>
      </c>
      <c r="R93" s="662">
        <f t="shared" ca="1" si="24"/>
        <v>35274</v>
      </c>
      <c r="S93" s="316">
        <f t="shared" ca="1" si="15"/>
        <v>308</v>
      </c>
    </row>
    <row r="94" spans="1:19">
      <c r="A94" s="150" t="str">
        <f>二期房号清单!C71</f>
        <v>6-1-502</v>
      </c>
      <c r="B94" s="54">
        <f>二期房号清单!D71</f>
        <v>83.29</v>
      </c>
      <c r="C94" s="21">
        <f t="shared" si="16"/>
        <v>1</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str">
        <f>二期房号清单!L71</f>
        <v>中区</v>
      </c>
      <c r="Q94" s="21">
        <f t="shared" si="23"/>
        <v>1</v>
      </c>
      <c r="R94" s="662">
        <f t="shared" ca="1" si="24"/>
        <v>35274</v>
      </c>
      <c r="S94" s="316">
        <f t="shared" ca="1" si="15"/>
        <v>294</v>
      </c>
    </row>
    <row r="95" spans="1:19">
      <c r="A95" s="150" t="str">
        <f>二期房号清单!C72</f>
        <v>6-1-601</v>
      </c>
      <c r="B95" s="54">
        <f>二期房号清单!D72</f>
        <v>87.26</v>
      </c>
      <c r="C95" s="21">
        <f t="shared" si="16"/>
        <v>1</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str">
        <f>二期房号清单!L72</f>
        <v>中区</v>
      </c>
      <c r="Q95" s="21">
        <f t="shared" si="23"/>
        <v>1</v>
      </c>
      <c r="R95" s="662">
        <f t="shared" ca="1" si="24"/>
        <v>35274</v>
      </c>
      <c r="S95" s="316">
        <f t="shared" ca="1" si="15"/>
        <v>308</v>
      </c>
    </row>
    <row r="96" spans="1:19">
      <c r="A96" s="150" t="str">
        <f>二期房号清单!C73</f>
        <v>6-1-701</v>
      </c>
      <c r="B96" s="54">
        <f>二期房号清单!D73</f>
        <v>87.26</v>
      </c>
      <c r="C96" s="21">
        <f t="shared" si="16"/>
        <v>1</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str">
        <f>二期房号清单!L73</f>
        <v>高区</v>
      </c>
      <c r="Q96" s="21">
        <f t="shared" si="23"/>
        <v>1.02</v>
      </c>
      <c r="R96" s="662">
        <f t="shared" ca="1" si="24"/>
        <v>35979</v>
      </c>
      <c r="S96" s="316">
        <f t="shared" ca="1" si="15"/>
        <v>314</v>
      </c>
    </row>
    <row r="97" spans="1:19">
      <c r="A97" s="150" t="str">
        <f>二期房号清单!C74</f>
        <v>6-1-801</v>
      </c>
      <c r="B97" s="54">
        <f>二期房号清单!D74</f>
        <v>87.26</v>
      </c>
      <c r="C97" s="21">
        <f t="shared" si="16"/>
        <v>1</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str">
        <f>二期房号清单!L74</f>
        <v>高区</v>
      </c>
      <c r="Q97" s="21">
        <f t="shared" si="23"/>
        <v>1.02</v>
      </c>
      <c r="R97" s="662">
        <f t="shared" ca="1" si="24"/>
        <v>35979</v>
      </c>
      <c r="S97" s="316">
        <f t="shared" ca="1" si="15"/>
        <v>314</v>
      </c>
    </row>
    <row r="98" spans="1:19">
      <c r="A98" s="150" t="str">
        <f>二期房号清单!C75</f>
        <v>6-1-802</v>
      </c>
      <c r="B98" s="54">
        <f>二期房号清单!D75</f>
        <v>83.29</v>
      </c>
      <c r="C98" s="21">
        <f t="shared" si="16"/>
        <v>1</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str">
        <f>二期房号清单!L75</f>
        <v>高区</v>
      </c>
      <c r="Q98" s="21">
        <f t="shared" si="23"/>
        <v>1.02</v>
      </c>
      <c r="R98" s="662">
        <f t="shared" ca="1" si="24"/>
        <v>35979</v>
      </c>
      <c r="S98" s="316">
        <f t="shared" ca="1" si="15"/>
        <v>300</v>
      </c>
    </row>
    <row r="99" spans="1:19">
      <c r="A99" s="150" t="str">
        <f>二期房号清单!C76</f>
        <v>6-1-901</v>
      </c>
      <c r="B99" s="54">
        <f>二期房号清单!D76</f>
        <v>87.26</v>
      </c>
      <c r="C99" s="21">
        <f t="shared" si="16"/>
        <v>1</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str">
        <f>二期房号清单!L76</f>
        <v>高区</v>
      </c>
      <c r="Q99" s="21">
        <f t="shared" si="23"/>
        <v>1.02</v>
      </c>
      <c r="R99" s="662">
        <f t="shared" ca="1" si="24"/>
        <v>35979</v>
      </c>
      <c r="S99" s="316">
        <f t="shared" ca="1" si="15"/>
        <v>314</v>
      </c>
    </row>
    <row r="100" spans="1:19">
      <c r="A100" s="150" t="str">
        <f>二期房号清单!C77</f>
        <v>6-1-1001</v>
      </c>
      <c r="B100" s="54">
        <f>二期房号清单!D77</f>
        <v>87.26</v>
      </c>
      <c r="C100" s="21">
        <f t="shared" si="16"/>
        <v>1</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str">
        <f>二期房号清单!L77</f>
        <v>顶层</v>
      </c>
      <c r="Q100" s="21">
        <f t="shared" si="23"/>
        <v>0.96</v>
      </c>
      <c r="R100" s="662">
        <f t="shared" ca="1" si="24"/>
        <v>33863</v>
      </c>
      <c r="S100" s="316">
        <f t="shared" ca="1" si="15"/>
        <v>295</v>
      </c>
    </row>
    <row r="101" spans="1:19">
      <c r="A101" s="150" t="str">
        <f>二期房号清单!C78</f>
        <v>6-1-1002</v>
      </c>
      <c r="B101" s="54">
        <f>二期房号清单!D78</f>
        <v>83.29</v>
      </c>
      <c r="C101" s="21">
        <f t="shared" si="16"/>
        <v>1</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str">
        <f>二期房号清单!L78</f>
        <v>顶层</v>
      </c>
      <c r="Q101" s="21">
        <f t="shared" si="23"/>
        <v>0.96</v>
      </c>
      <c r="R101" s="662">
        <f t="shared" ca="1" si="24"/>
        <v>33863</v>
      </c>
      <c r="S101" s="316">
        <f t="shared" ca="1" si="15"/>
        <v>282</v>
      </c>
    </row>
    <row r="102" spans="1:19">
      <c r="A102" s="150" t="str">
        <f>二期房号清单!C79</f>
        <v>6-2-202</v>
      </c>
      <c r="B102" s="54">
        <f>二期房号清单!D79</f>
        <v>87.26</v>
      </c>
      <c r="C102" s="21">
        <f t="shared" si="16"/>
        <v>1</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str">
        <f>二期房号清单!L79</f>
        <v>低区</v>
      </c>
      <c r="Q102" s="21">
        <f t="shared" si="23"/>
        <v>0.98</v>
      </c>
      <c r="R102" s="662">
        <f t="shared" ca="1" si="24"/>
        <v>34569</v>
      </c>
      <c r="S102" s="316">
        <f t="shared" ca="1" si="15"/>
        <v>302</v>
      </c>
    </row>
    <row r="103" spans="1:19">
      <c r="A103" s="150" t="str">
        <f>二期房号清单!C80</f>
        <v>6-2-302</v>
      </c>
      <c r="B103" s="54">
        <f>二期房号清单!D80</f>
        <v>87.26</v>
      </c>
      <c r="C103" s="21">
        <f t="shared" si="16"/>
        <v>1</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str">
        <f>二期房号清单!L80</f>
        <v>低区</v>
      </c>
      <c r="Q103" s="21">
        <f t="shared" si="23"/>
        <v>0.98</v>
      </c>
      <c r="R103" s="662">
        <f t="shared" ca="1" si="24"/>
        <v>34569</v>
      </c>
      <c r="S103" s="316">
        <f t="shared" ca="1" si="15"/>
        <v>302</v>
      </c>
    </row>
    <row r="104" spans="1:19">
      <c r="A104" s="150" t="str">
        <f>二期房号清单!C81</f>
        <v>6-2-402</v>
      </c>
      <c r="B104" s="54">
        <f>二期房号清单!D81</f>
        <v>87.26</v>
      </c>
      <c r="C104" s="21">
        <f t="shared" si="16"/>
        <v>1</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str">
        <f>二期房号清单!L81</f>
        <v>中区</v>
      </c>
      <c r="Q104" s="21">
        <f t="shared" si="23"/>
        <v>1</v>
      </c>
      <c r="R104" s="662">
        <f t="shared" ca="1" si="24"/>
        <v>35274</v>
      </c>
      <c r="S104" s="316">
        <f t="shared" ca="1" si="15"/>
        <v>308</v>
      </c>
    </row>
    <row r="105" spans="1:19">
      <c r="A105" s="150" t="str">
        <f>二期房号清单!C82</f>
        <v>6-2-802</v>
      </c>
      <c r="B105" s="54">
        <f>二期房号清单!D82</f>
        <v>87.26</v>
      </c>
      <c r="C105" s="21">
        <f t="shared" si="16"/>
        <v>1</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str">
        <f>二期房号清单!L82</f>
        <v>高区</v>
      </c>
      <c r="Q105" s="21">
        <f t="shared" si="23"/>
        <v>1.02</v>
      </c>
      <c r="R105" s="662">
        <f t="shared" ca="1" si="24"/>
        <v>35979</v>
      </c>
      <c r="S105" s="316">
        <f t="shared" ca="1" si="15"/>
        <v>314</v>
      </c>
    </row>
    <row r="106" spans="1:19">
      <c r="A106" s="150" t="str">
        <f>二期房号清单!C83</f>
        <v>3-1-101</v>
      </c>
      <c r="B106" s="54">
        <f>二期房号清单!D83</f>
        <v>87.15</v>
      </c>
      <c r="C106" s="21">
        <f t="shared" si="16"/>
        <v>1</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str">
        <f>二期房号清单!L83</f>
        <v>一层</v>
      </c>
      <c r="Q106" s="21">
        <f t="shared" si="23"/>
        <v>0.96</v>
      </c>
      <c r="R106" s="662">
        <f t="shared" ca="1" si="24"/>
        <v>33863</v>
      </c>
      <c r="S106" s="316">
        <f t="shared" ca="1" si="15"/>
        <v>295</v>
      </c>
    </row>
    <row r="107" spans="1:19">
      <c r="A107" s="150" t="str">
        <f>二期房号清单!C84</f>
        <v>3-1-102</v>
      </c>
      <c r="B107" s="54">
        <f>二期房号清单!D84</f>
        <v>73.41</v>
      </c>
      <c r="C107" s="21">
        <f t="shared" si="16"/>
        <v>1.01</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str">
        <f>二期房号清单!L84</f>
        <v>一层</v>
      </c>
      <c r="Q107" s="21">
        <f t="shared" si="23"/>
        <v>0.96</v>
      </c>
      <c r="R107" s="662">
        <f t="shared" ca="1" si="24"/>
        <v>34202</v>
      </c>
      <c r="S107" s="316">
        <f t="shared" ca="1" si="15"/>
        <v>251</v>
      </c>
    </row>
    <row r="108" spans="1:19">
      <c r="A108" s="150" t="str">
        <f>二期房号清单!C85</f>
        <v>3-1-201</v>
      </c>
      <c r="B108" s="54">
        <f>二期房号清单!D85</f>
        <v>87.15</v>
      </c>
      <c r="C108" s="21">
        <f t="shared" si="16"/>
        <v>1</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str">
        <f>二期房号清单!L85</f>
        <v>低区</v>
      </c>
      <c r="Q108" s="21">
        <f t="shared" si="23"/>
        <v>0.98</v>
      </c>
      <c r="R108" s="662">
        <f t="shared" ca="1" si="24"/>
        <v>34569</v>
      </c>
      <c r="S108" s="316">
        <f t="shared" ca="1" si="15"/>
        <v>301</v>
      </c>
    </row>
    <row r="109" spans="1:19">
      <c r="A109" s="150" t="str">
        <f>二期房号清单!C86</f>
        <v>3-1-202</v>
      </c>
      <c r="B109" s="54">
        <f>二期房号清单!D86</f>
        <v>89.82</v>
      </c>
      <c r="C109" s="21">
        <f t="shared" si="16"/>
        <v>1</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str">
        <f>二期房号清单!L86</f>
        <v>低区</v>
      </c>
      <c r="Q109" s="21">
        <f t="shared" si="23"/>
        <v>0.98</v>
      </c>
      <c r="R109" s="662">
        <f t="shared" ca="1" si="24"/>
        <v>34569</v>
      </c>
      <c r="S109" s="316">
        <f t="shared" ca="1" si="15"/>
        <v>310</v>
      </c>
    </row>
    <row r="110" spans="1:19">
      <c r="A110" s="150" t="str">
        <f>二期房号清单!C87</f>
        <v>3-1-301</v>
      </c>
      <c r="B110" s="54">
        <f>二期房号清单!D87</f>
        <v>87.15</v>
      </c>
      <c r="C110" s="21">
        <f t="shared" si="16"/>
        <v>1</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str">
        <f>二期房号清单!L87</f>
        <v>低区</v>
      </c>
      <c r="Q110" s="21">
        <f t="shared" si="23"/>
        <v>0.98</v>
      </c>
      <c r="R110" s="662">
        <f t="shared" ca="1" si="24"/>
        <v>34569</v>
      </c>
      <c r="S110" s="316">
        <f t="shared" ca="1" si="15"/>
        <v>301</v>
      </c>
    </row>
    <row r="111" spans="1:19">
      <c r="A111" s="150" t="str">
        <f>二期房号清单!C88</f>
        <v>3-1-302</v>
      </c>
      <c r="B111" s="54">
        <f>二期房号清单!D88</f>
        <v>89.82</v>
      </c>
      <c r="C111" s="21">
        <f t="shared" si="16"/>
        <v>1</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str">
        <f>二期房号清单!L88</f>
        <v>低区</v>
      </c>
      <c r="Q111" s="21">
        <f t="shared" si="23"/>
        <v>0.98</v>
      </c>
      <c r="R111" s="662">
        <f t="shared" ca="1" si="24"/>
        <v>34569</v>
      </c>
      <c r="S111" s="316">
        <f t="shared" ca="1" si="15"/>
        <v>310</v>
      </c>
    </row>
    <row r="112" spans="1:19">
      <c r="A112" s="150" t="str">
        <f>二期房号清单!C89</f>
        <v>3-1-401</v>
      </c>
      <c r="B112" s="54">
        <f>二期房号清单!D89</f>
        <v>87.15</v>
      </c>
      <c r="C112" s="21">
        <f t="shared" si="16"/>
        <v>1</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str">
        <f>二期房号清单!L89</f>
        <v>低区</v>
      </c>
      <c r="Q112" s="21">
        <f t="shared" si="23"/>
        <v>0.98</v>
      </c>
      <c r="R112" s="662">
        <f t="shared" ca="1" si="24"/>
        <v>34569</v>
      </c>
      <c r="S112" s="316">
        <f t="shared" ca="1" si="15"/>
        <v>301</v>
      </c>
    </row>
    <row r="113" spans="1:19">
      <c r="A113" s="150" t="str">
        <f>二期房号清单!C90</f>
        <v>3-1-402</v>
      </c>
      <c r="B113" s="54">
        <f>二期房号清单!D90</f>
        <v>89.82</v>
      </c>
      <c r="C113" s="21">
        <f t="shared" si="16"/>
        <v>1</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str">
        <f>二期房号清单!L90</f>
        <v>低区</v>
      </c>
      <c r="Q113" s="21">
        <f t="shared" si="23"/>
        <v>0.98</v>
      </c>
      <c r="R113" s="662">
        <f t="shared" ca="1" si="24"/>
        <v>34569</v>
      </c>
      <c r="S113" s="316">
        <f t="shared" ca="1" si="15"/>
        <v>310</v>
      </c>
    </row>
    <row r="114" spans="1:19">
      <c r="A114" s="150" t="str">
        <f>二期房号清单!C91</f>
        <v>3-1-501</v>
      </c>
      <c r="B114" s="54">
        <f>二期房号清单!D91</f>
        <v>87.15</v>
      </c>
      <c r="C114" s="21">
        <f t="shared" si="16"/>
        <v>1</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str">
        <f>二期房号清单!L91</f>
        <v>中区</v>
      </c>
      <c r="Q114" s="21">
        <f t="shared" si="23"/>
        <v>1</v>
      </c>
      <c r="R114" s="662">
        <f t="shared" ca="1" si="24"/>
        <v>35274</v>
      </c>
      <c r="S114" s="316">
        <f t="shared" ca="1" si="15"/>
        <v>307</v>
      </c>
    </row>
    <row r="115" spans="1:19">
      <c r="A115" s="150" t="str">
        <f>二期房号清单!C92</f>
        <v>3-1-502</v>
      </c>
      <c r="B115" s="54">
        <f>二期房号清单!D92</f>
        <v>89.82</v>
      </c>
      <c r="C115" s="21">
        <f t="shared" si="16"/>
        <v>1</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str">
        <f>二期房号清单!L92</f>
        <v>中区</v>
      </c>
      <c r="Q115" s="21">
        <f t="shared" si="23"/>
        <v>1</v>
      </c>
      <c r="R115" s="662">
        <f t="shared" ca="1" si="24"/>
        <v>35274</v>
      </c>
      <c r="S115" s="316">
        <f t="shared" ca="1" si="15"/>
        <v>317</v>
      </c>
    </row>
    <row r="116" spans="1:19">
      <c r="A116" s="150" t="str">
        <f>二期房号清单!C93</f>
        <v>3-1-601</v>
      </c>
      <c r="B116" s="54">
        <f>二期房号清单!D93</f>
        <v>87.15</v>
      </c>
      <c r="C116" s="21">
        <f t="shared" si="16"/>
        <v>1</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str">
        <f>二期房号清单!L93</f>
        <v>中区</v>
      </c>
      <c r="Q116" s="21">
        <f t="shared" si="23"/>
        <v>1</v>
      </c>
      <c r="R116" s="662">
        <f t="shared" ca="1" si="24"/>
        <v>35274</v>
      </c>
      <c r="S116" s="316">
        <f t="shared" ca="1" si="15"/>
        <v>307</v>
      </c>
    </row>
    <row r="117" spans="1:19">
      <c r="A117" s="150" t="str">
        <f>二期房号清单!C94</f>
        <v>3-1-602</v>
      </c>
      <c r="B117" s="54">
        <f>二期房号清单!D94</f>
        <v>89.82</v>
      </c>
      <c r="C117" s="21">
        <f t="shared" si="16"/>
        <v>1</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str">
        <f>二期房号清单!L94</f>
        <v>中区</v>
      </c>
      <c r="Q117" s="21">
        <f t="shared" si="23"/>
        <v>1</v>
      </c>
      <c r="R117" s="662">
        <f t="shared" ca="1" si="24"/>
        <v>35274</v>
      </c>
      <c r="S117" s="316">
        <f t="shared" ca="1" si="15"/>
        <v>317</v>
      </c>
    </row>
    <row r="118" spans="1:19">
      <c r="A118" s="150" t="str">
        <f>二期房号清单!C95</f>
        <v>3-1-701</v>
      </c>
      <c r="B118" s="54">
        <f>二期房号清单!D95</f>
        <v>87.15</v>
      </c>
      <c r="C118" s="21">
        <f t="shared" si="16"/>
        <v>1</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str">
        <f>二期房号清单!L95</f>
        <v>中区</v>
      </c>
      <c r="Q118" s="21">
        <f t="shared" si="23"/>
        <v>1</v>
      </c>
      <c r="R118" s="662">
        <f t="shared" ca="1" si="24"/>
        <v>35274</v>
      </c>
      <c r="S118" s="316">
        <f t="shared" ca="1" si="15"/>
        <v>307</v>
      </c>
    </row>
    <row r="119" spans="1:19">
      <c r="A119" s="150" t="str">
        <f>二期房号清单!C96</f>
        <v>3-1-702</v>
      </c>
      <c r="B119" s="54">
        <f>二期房号清单!D96</f>
        <v>89.82</v>
      </c>
      <c r="C119" s="21">
        <f t="shared" si="16"/>
        <v>1</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str">
        <f>二期房号清单!L96</f>
        <v>中区</v>
      </c>
      <c r="Q119" s="21">
        <f t="shared" si="23"/>
        <v>1</v>
      </c>
      <c r="R119" s="662">
        <f t="shared" ca="1" si="24"/>
        <v>35274</v>
      </c>
      <c r="S119" s="316">
        <f t="shared" ca="1" si="15"/>
        <v>317</v>
      </c>
    </row>
    <row r="120" spans="1:19">
      <c r="A120" s="150" t="str">
        <f>二期房号清单!C97</f>
        <v>3-1-801</v>
      </c>
      <c r="B120" s="54">
        <f>二期房号清单!D97</f>
        <v>87.15</v>
      </c>
      <c r="C120" s="21">
        <f t="shared" si="16"/>
        <v>1</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str">
        <f>二期房号清单!L97</f>
        <v>高区</v>
      </c>
      <c r="Q120" s="21">
        <f t="shared" si="23"/>
        <v>1.02</v>
      </c>
      <c r="R120" s="662">
        <f t="shared" ca="1" si="24"/>
        <v>35979</v>
      </c>
      <c r="S120" s="316">
        <f t="shared" ca="1" si="15"/>
        <v>314</v>
      </c>
    </row>
    <row r="121" spans="1:19">
      <c r="A121" s="150" t="str">
        <f>二期房号清单!C98</f>
        <v>3-1-802</v>
      </c>
      <c r="B121" s="54">
        <f>二期房号清单!D98</f>
        <v>89.82</v>
      </c>
      <c r="C121" s="21">
        <f t="shared" si="16"/>
        <v>1</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str">
        <f>二期房号清单!L98</f>
        <v>高区</v>
      </c>
      <c r="Q121" s="21">
        <f t="shared" si="23"/>
        <v>1.02</v>
      </c>
      <c r="R121" s="662">
        <f t="shared" ca="1" si="24"/>
        <v>35979</v>
      </c>
      <c r="S121" s="316">
        <f t="shared" ca="1" si="15"/>
        <v>323</v>
      </c>
    </row>
    <row r="122" spans="1:19">
      <c r="A122" s="150" t="str">
        <f>二期房号清单!C99</f>
        <v>3-1-901</v>
      </c>
      <c r="B122" s="54">
        <f>二期房号清单!D99</f>
        <v>87.15</v>
      </c>
      <c r="C122" s="21">
        <f t="shared" si="16"/>
        <v>1</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str">
        <f>二期房号清单!L99</f>
        <v>高区</v>
      </c>
      <c r="Q122" s="21">
        <f t="shared" si="23"/>
        <v>1.02</v>
      </c>
      <c r="R122" s="662">
        <f t="shared" ca="1" si="24"/>
        <v>35979</v>
      </c>
      <c r="S122" s="316">
        <f t="shared" ca="1" si="15"/>
        <v>314</v>
      </c>
    </row>
    <row r="123" spans="1:19">
      <c r="A123" s="150" t="str">
        <f>二期房号清单!C100</f>
        <v>3-1-902</v>
      </c>
      <c r="B123" s="54">
        <f>二期房号清单!D100</f>
        <v>89.82</v>
      </c>
      <c r="C123" s="21">
        <f t="shared" si="16"/>
        <v>1</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str">
        <f>二期房号清单!L100</f>
        <v>高区</v>
      </c>
      <c r="Q123" s="21">
        <f t="shared" si="23"/>
        <v>1.02</v>
      </c>
      <c r="R123" s="662">
        <f t="shared" ca="1" si="24"/>
        <v>35979</v>
      </c>
      <c r="S123" s="316">
        <f t="shared" ca="1" si="15"/>
        <v>323</v>
      </c>
    </row>
    <row r="124" spans="1:19">
      <c r="A124" s="150" t="str">
        <f>二期房号清单!C101</f>
        <v>3-1-1001</v>
      </c>
      <c r="B124" s="54">
        <f>二期房号清单!D101</f>
        <v>87.15</v>
      </c>
      <c r="C124" s="21">
        <f t="shared" si="16"/>
        <v>1</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str">
        <f>二期房号清单!L101</f>
        <v>高区</v>
      </c>
      <c r="Q124" s="21">
        <f t="shared" si="23"/>
        <v>1.02</v>
      </c>
      <c r="R124" s="662">
        <f t="shared" ca="1" si="24"/>
        <v>35979</v>
      </c>
      <c r="S124" s="316">
        <f t="shared" ca="1" si="15"/>
        <v>314</v>
      </c>
    </row>
    <row r="125" spans="1:19">
      <c r="A125" s="150" t="str">
        <f>二期房号清单!C102</f>
        <v>3-1-1002</v>
      </c>
      <c r="B125" s="54">
        <f>二期房号清单!D102</f>
        <v>89.82</v>
      </c>
      <c r="C125" s="21">
        <f t="shared" si="16"/>
        <v>1</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str">
        <f>二期房号清单!L102</f>
        <v>高区</v>
      </c>
      <c r="Q125" s="21">
        <f t="shared" si="23"/>
        <v>1.02</v>
      </c>
      <c r="R125" s="662">
        <f t="shared" ca="1" si="24"/>
        <v>35979</v>
      </c>
      <c r="S125" s="316">
        <f t="shared" ca="1" si="15"/>
        <v>323</v>
      </c>
    </row>
    <row r="126" spans="1:19">
      <c r="A126" s="150" t="str">
        <f>二期房号清单!C103</f>
        <v>3-1-1101</v>
      </c>
      <c r="B126" s="54">
        <f>二期房号清单!D103</f>
        <v>87.15</v>
      </c>
      <c r="C126" s="21">
        <f t="shared" si="16"/>
        <v>1</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str">
        <f>二期房号清单!L103</f>
        <v>顶层</v>
      </c>
      <c r="Q126" s="21">
        <f t="shared" si="23"/>
        <v>0.96</v>
      </c>
      <c r="R126" s="662">
        <f t="shared" ca="1" si="24"/>
        <v>33863</v>
      </c>
      <c r="S126" s="316">
        <f t="shared" ca="1" si="15"/>
        <v>295</v>
      </c>
    </row>
    <row r="127" spans="1:19">
      <c r="A127" s="150" t="str">
        <f>二期房号清单!C104</f>
        <v>3-1-1102</v>
      </c>
      <c r="B127" s="54">
        <f>二期房号清单!D104</f>
        <v>89.82</v>
      </c>
      <c r="C127" s="21">
        <f t="shared" si="16"/>
        <v>1</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str">
        <f>二期房号清单!L104</f>
        <v>顶层</v>
      </c>
      <c r="Q127" s="21">
        <f t="shared" si="23"/>
        <v>0.96</v>
      </c>
      <c r="R127" s="662">
        <f t="shared" ca="1" si="24"/>
        <v>33863</v>
      </c>
      <c r="S127" s="316">
        <f t="shared" ca="1" si="15"/>
        <v>304</v>
      </c>
    </row>
    <row r="128" spans="1:19">
      <c r="A128" s="150" t="str">
        <f>二期房号清单!C105</f>
        <v>3-2-101</v>
      </c>
      <c r="B128" s="54">
        <f>二期房号清单!D105</f>
        <v>89.82</v>
      </c>
      <c r="C128" s="21">
        <f t="shared" si="16"/>
        <v>1</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str">
        <f>二期房号清单!L105</f>
        <v>一层</v>
      </c>
      <c r="Q128" s="21">
        <f t="shared" si="23"/>
        <v>0.96</v>
      </c>
      <c r="R128" s="662">
        <f t="shared" ca="1" si="24"/>
        <v>33863</v>
      </c>
      <c r="S128" s="316">
        <f t="shared" ca="1" si="15"/>
        <v>304</v>
      </c>
    </row>
    <row r="129" spans="1:19">
      <c r="A129" s="150" t="str">
        <f>二期房号清单!C106</f>
        <v>3-2-102</v>
      </c>
      <c r="B129" s="54">
        <f>二期房号清单!D106</f>
        <v>73.41</v>
      </c>
      <c r="C129" s="21">
        <f t="shared" si="16"/>
        <v>1.01</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str">
        <f>二期房号清单!L106</f>
        <v>一层</v>
      </c>
      <c r="Q129" s="21">
        <f t="shared" si="23"/>
        <v>0.96</v>
      </c>
      <c r="R129" s="662">
        <f t="shared" ca="1" si="24"/>
        <v>34202</v>
      </c>
      <c r="S129" s="316">
        <f t="shared" ca="1" si="15"/>
        <v>251</v>
      </c>
    </row>
    <row r="130" spans="1:19">
      <c r="A130" s="150" t="str">
        <f>二期房号清单!C107</f>
        <v>3-2-201</v>
      </c>
      <c r="B130" s="54">
        <f>二期房号清单!D107</f>
        <v>89.82</v>
      </c>
      <c r="C130" s="21">
        <f t="shared" si="16"/>
        <v>1</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str">
        <f>二期房号清单!L107</f>
        <v>低区</v>
      </c>
      <c r="Q130" s="21">
        <f t="shared" si="23"/>
        <v>0.98</v>
      </c>
      <c r="R130" s="662">
        <f t="shared" ca="1" si="24"/>
        <v>34569</v>
      </c>
      <c r="S130" s="316">
        <f t="shared" ca="1" si="15"/>
        <v>310</v>
      </c>
    </row>
    <row r="131" spans="1:19">
      <c r="A131" s="150" t="str">
        <f>二期房号清单!C108</f>
        <v>3-2-202</v>
      </c>
      <c r="B131" s="54">
        <f>二期房号清单!D108</f>
        <v>89.82</v>
      </c>
      <c r="C131" s="21">
        <f t="shared" si="16"/>
        <v>1</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str">
        <f>二期房号清单!L108</f>
        <v>低区</v>
      </c>
      <c r="Q131" s="21">
        <f t="shared" si="23"/>
        <v>0.98</v>
      </c>
      <c r="R131" s="662">
        <f t="shared" ca="1" si="24"/>
        <v>34569</v>
      </c>
      <c r="S131" s="316">
        <f t="shared" ca="1" si="15"/>
        <v>310</v>
      </c>
    </row>
    <row r="132" spans="1:19">
      <c r="A132" s="150" t="str">
        <f>二期房号清单!C109</f>
        <v>3-2-301</v>
      </c>
      <c r="B132" s="54">
        <f>二期房号清单!D109</f>
        <v>89.82</v>
      </c>
      <c r="C132" s="21">
        <f t="shared" si="16"/>
        <v>1</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str">
        <f>二期房号清单!L109</f>
        <v>低区</v>
      </c>
      <c r="Q132" s="21">
        <f t="shared" si="23"/>
        <v>0.98</v>
      </c>
      <c r="R132" s="662">
        <f t="shared" ca="1" si="24"/>
        <v>34569</v>
      </c>
      <c r="S132" s="316">
        <f t="shared" ca="1" si="15"/>
        <v>310</v>
      </c>
    </row>
    <row r="133" spans="1:19">
      <c r="A133" s="150" t="str">
        <f>二期房号清单!C110</f>
        <v>3-2-302</v>
      </c>
      <c r="B133" s="54">
        <f>二期房号清单!D110</f>
        <v>89.82</v>
      </c>
      <c r="C133" s="21">
        <f t="shared" si="16"/>
        <v>1</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str">
        <f>二期房号清单!L110</f>
        <v>低区</v>
      </c>
      <c r="Q133" s="21">
        <f t="shared" si="23"/>
        <v>0.98</v>
      </c>
      <c r="R133" s="662">
        <f t="shared" ca="1" si="24"/>
        <v>34569</v>
      </c>
      <c r="S133" s="316">
        <f t="shared" ca="1" si="15"/>
        <v>310</v>
      </c>
    </row>
    <row r="134" spans="1:19">
      <c r="A134" s="150" t="str">
        <f>二期房号清单!C111</f>
        <v>3-2-401</v>
      </c>
      <c r="B134" s="54">
        <f>二期房号清单!D111</f>
        <v>89.82</v>
      </c>
      <c r="C134" s="21">
        <f t="shared" si="16"/>
        <v>1</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str">
        <f>二期房号清单!L111</f>
        <v>低区</v>
      </c>
      <c r="Q134" s="21">
        <f t="shared" si="23"/>
        <v>0.98</v>
      </c>
      <c r="R134" s="662">
        <f t="shared" ca="1" si="24"/>
        <v>34569</v>
      </c>
      <c r="S134" s="316">
        <f t="shared" ca="1" si="15"/>
        <v>310</v>
      </c>
    </row>
    <row r="135" spans="1:19">
      <c r="A135" s="150" t="str">
        <f>二期房号清单!C112</f>
        <v>3-2-402</v>
      </c>
      <c r="B135" s="54">
        <f>二期房号清单!D112</f>
        <v>89.82</v>
      </c>
      <c r="C135" s="21">
        <f t="shared" si="16"/>
        <v>1</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str">
        <f>二期房号清单!L112</f>
        <v>低区</v>
      </c>
      <c r="Q135" s="21">
        <f t="shared" si="23"/>
        <v>0.98</v>
      </c>
      <c r="R135" s="662">
        <f t="shared" ca="1" si="24"/>
        <v>34569</v>
      </c>
      <c r="S135" s="316">
        <f t="shared" ca="1" si="15"/>
        <v>310</v>
      </c>
    </row>
    <row r="136" spans="1:19">
      <c r="A136" s="150" t="str">
        <f>二期房号清单!C113</f>
        <v>3-2-501</v>
      </c>
      <c r="B136" s="54">
        <f>二期房号清单!D113</f>
        <v>89.82</v>
      </c>
      <c r="C136" s="21">
        <f t="shared" si="16"/>
        <v>1</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str">
        <f>二期房号清单!L113</f>
        <v>中区</v>
      </c>
      <c r="Q136" s="21">
        <f t="shared" si="23"/>
        <v>1</v>
      </c>
      <c r="R136" s="662">
        <f t="shared" ca="1" si="24"/>
        <v>35274</v>
      </c>
      <c r="S136" s="316">
        <f t="shared" ca="1" si="15"/>
        <v>317</v>
      </c>
    </row>
    <row r="137" spans="1:19">
      <c r="A137" s="150" t="str">
        <f>二期房号清单!C114</f>
        <v>3-2-601</v>
      </c>
      <c r="B137" s="54">
        <f>二期房号清单!D114</f>
        <v>89.82</v>
      </c>
      <c r="C137" s="21">
        <f t="shared" si="16"/>
        <v>1</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str">
        <f>二期房号清单!L114</f>
        <v>中区</v>
      </c>
      <c r="Q137" s="21">
        <f t="shared" si="23"/>
        <v>1</v>
      </c>
      <c r="R137" s="662">
        <f t="shared" ca="1" si="24"/>
        <v>35274</v>
      </c>
      <c r="S137" s="316">
        <f t="shared" ca="1" si="15"/>
        <v>317</v>
      </c>
    </row>
    <row r="138" spans="1:19">
      <c r="A138" s="150" t="str">
        <f>二期房号清单!C115</f>
        <v>3-2-602</v>
      </c>
      <c r="B138" s="54">
        <f>二期房号清单!D115</f>
        <v>89.82</v>
      </c>
      <c r="C138" s="21">
        <f t="shared" si="16"/>
        <v>1</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str">
        <f>二期房号清单!L115</f>
        <v>中区</v>
      </c>
      <c r="Q138" s="21">
        <f t="shared" si="23"/>
        <v>1</v>
      </c>
      <c r="R138" s="662">
        <f t="shared" ca="1" si="24"/>
        <v>35274</v>
      </c>
      <c r="S138" s="316">
        <f t="shared" ca="1" si="15"/>
        <v>317</v>
      </c>
    </row>
    <row r="139" spans="1:19">
      <c r="A139" s="150" t="str">
        <f>二期房号清单!C116</f>
        <v>3-2-701</v>
      </c>
      <c r="B139" s="54">
        <f>二期房号清单!D116</f>
        <v>89.82</v>
      </c>
      <c r="C139" s="21">
        <f t="shared" si="16"/>
        <v>1</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str">
        <f>二期房号清单!L116</f>
        <v>中区</v>
      </c>
      <c r="Q139" s="21">
        <f t="shared" si="23"/>
        <v>1</v>
      </c>
      <c r="R139" s="662">
        <f t="shared" ca="1" si="24"/>
        <v>35274</v>
      </c>
      <c r="S139" s="316">
        <f t="shared" ca="1" si="15"/>
        <v>317</v>
      </c>
    </row>
    <row r="140" spans="1:19">
      <c r="A140" s="150" t="str">
        <f>二期房号清单!C117</f>
        <v>3-2-702</v>
      </c>
      <c r="B140" s="54">
        <f>二期房号清单!D117</f>
        <v>89.82</v>
      </c>
      <c r="C140" s="21">
        <f t="shared" si="16"/>
        <v>1</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str">
        <f>二期房号清单!L117</f>
        <v>中区</v>
      </c>
      <c r="Q140" s="21">
        <f t="shared" si="23"/>
        <v>1</v>
      </c>
      <c r="R140" s="662">
        <f t="shared" ca="1" si="24"/>
        <v>35274</v>
      </c>
      <c r="S140" s="316">
        <f t="shared" ca="1" si="15"/>
        <v>317</v>
      </c>
    </row>
    <row r="141" spans="1:19">
      <c r="A141" s="150" t="str">
        <f>二期房号清单!C118</f>
        <v>3-2-801</v>
      </c>
      <c r="B141" s="54">
        <f>二期房号清单!D118</f>
        <v>89.82</v>
      </c>
      <c r="C141" s="21">
        <f t="shared" si="16"/>
        <v>1</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str">
        <f>二期房号清单!L118</f>
        <v>高区</v>
      </c>
      <c r="Q141" s="21">
        <f t="shared" si="23"/>
        <v>1.02</v>
      </c>
      <c r="R141" s="662">
        <f t="shared" ca="1" si="24"/>
        <v>35979</v>
      </c>
      <c r="S141" s="316">
        <f t="shared" ca="1" si="15"/>
        <v>323</v>
      </c>
    </row>
    <row r="142" spans="1:19">
      <c r="A142" s="150" t="str">
        <f>二期房号清单!C119</f>
        <v>3-2-802</v>
      </c>
      <c r="B142" s="54">
        <f>二期房号清单!D119</f>
        <v>89.82</v>
      </c>
      <c r="C142" s="21">
        <f t="shared" si="16"/>
        <v>1</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str">
        <f>二期房号清单!L119</f>
        <v>高区</v>
      </c>
      <c r="Q142" s="21">
        <f t="shared" si="23"/>
        <v>1.02</v>
      </c>
      <c r="R142" s="662">
        <f t="shared" ca="1" si="24"/>
        <v>35979</v>
      </c>
      <c r="S142" s="316">
        <f t="shared" ca="1" si="15"/>
        <v>323</v>
      </c>
    </row>
    <row r="143" spans="1:19">
      <c r="A143" s="150" t="str">
        <f>二期房号清单!C120</f>
        <v>3-2-901</v>
      </c>
      <c r="B143" s="54">
        <f>二期房号清单!D120</f>
        <v>89.82</v>
      </c>
      <c r="C143" s="21">
        <f t="shared" si="16"/>
        <v>1</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str">
        <f>二期房号清单!L120</f>
        <v>高区</v>
      </c>
      <c r="Q143" s="21">
        <f t="shared" si="23"/>
        <v>1.02</v>
      </c>
      <c r="R143" s="662">
        <f t="shared" ca="1" si="24"/>
        <v>35979</v>
      </c>
      <c r="S143" s="316">
        <f t="shared" ca="1" si="15"/>
        <v>323</v>
      </c>
    </row>
    <row r="144" spans="1:19">
      <c r="A144" s="150" t="str">
        <f>二期房号清单!C121</f>
        <v>3-2-902</v>
      </c>
      <c r="B144" s="54">
        <f>二期房号清单!D121</f>
        <v>89.82</v>
      </c>
      <c r="C144" s="21">
        <f t="shared" si="16"/>
        <v>1</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str">
        <f>二期房号清单!L121</f>
        <v>高区</v>
      </c>
      <c r="Q144" s="21">
        <f t="shared" si="23"/>
        <v>1.02</v>
      </c>
      <c r="R144" s="662">
        <f t="shared" ca="1" si="24"/>
        <v>35979</v>
      </c>
      <c r="S144" s="316">
        <f t="shared" ca="1" si="15"/>
        <v>323</v>
      </c>
    </row>
    <row r="145" spans="1:19">
      <c r="A145" s="150" t="str">
        <f>二期房号清单!C122</f>
        <v>3-2-1001</v>
      </c>
      <c r="B145" s="54">
        <f>二期房号清单!D122</f>
        <v>89.82</v>
      </c>
      <c r="C145" s="21">
        <f t="shared" si="16"/>
        <v>1</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str">
        <f>二期房号清单!L122</f>
        <v>高区</v>
      </c>
      <c r="Q145" s="21">
        <f t="shared" si="23"/>
        <v>1.02</v>
      </c>
      <c r="R145" s="662">
        <f t="shared" ca="1" si="24"/>
        <v>35979</v>
      </c>
      <c r="S145" s="316">
        <f t="shared" ca="1" si="15"/>
        <v>323</v>
      </c>
    </row>
    <row r="146" spans="1:19">
      <c r="A146" s="150" t="str">
        <f>二期房号清单!C123</f>
        <v>3-2-1002</v>
      </c>
      <c r="B146" s="54">
        <f>二期房号清单!D123</f>
        <v>89.82</v>
      </c>
      <c r="C146" s="21">
        <f t="shared" si="16"/>
        <v>1</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str">
        <f>二期房号清单!L123</f>
        <v>高区</v>
      </c>
      <c r="Q146" s="21">
        <f t="shared" si="23"/>
        <v>1.02</v>
      </c>
      <c r="R146" s="662">
        <f t="shared" ca="1" si="24"/>
        <v>35979</v>
      </c>
      <c r="S146" s="316">
        <f t="shared" ca="1" si="15"/>
        <v>323</v>
      </c>
    </row>
    <row r="147" spans="1:19">
      <c r="A147" s="150" t="str">
        <f>二期房号清单!C124</f>
        <v>3-2-1102</v>
      </c>
      <c r="B147" s="54">
        <f>二期房号清单!D124</f>
        <v>89.82</v>
      </c>
      <c r="C147" s="21">
        <f t="shared" si="16"/>
        <v>1</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str">
        <f>二期房号清单!L124</f>
        <v>顶层</v>
      </c>
      <c r="Q147" s="21">
        <f t="shared" si="23"/>
        <v>0.96</v>
      </c>
      <c r="R147" s="662">
        <f t="shared" ca="1" si="24"/>
        <v>33863</v>
      </c>
      <c r="S147" s="316">
        <f t="shared" ca="1" si="15"/>
        <v>304</v>
      </c>
    </row>
    <row r="148" spans="1:19">
      <c r="A148" s="150" t="str">
        <f>二期房号清单!C125</f>
        <v>3-3-101</v>
      </c>
      <c r="B148" s="54">
        <f>二期房号清单!D125</f>
        <v>73.41</v>
      </c>
      <c r="C148" s="21">
        <f t="shared" si="16"/>
        <v>1.01</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str">
        <f>二期房号清单!L125</f>
        <v>一层</v>
      </c>
      <c r="Q148" s="21">
        <f t="shared" si="23"/>
        <v>0.96</v>
      </c>
      <c r="R148" s="662">
        <f t="shared" ca="1" si="24"/>
        <v>34202</v>
      </c>
      <c r="S148" s="316">
        <f t="shared" ca="1" si="15"/>
        <v>251</v>
      </c>
    </row>
    <row r="149" spans="1:19">
      <c r="A149" s="150" t="str">
        <f>二期房号清单!C126</f>
        <v>3-3-102</v>
      </c>
      <c r="B149" s="54">
        <f>二期房号清单!D126</f>
        <v>89.82</v>
      </c>
      <c r="C149" s="21">
        <f t="shared" si="16"/>
        <v>1</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str">
        <f>二期房号清单!L126</f>
        <v>一层</v>
      </c>
      <c r="Q149" s="21">
        <f t="shared" si="23"/>
        <v>0.96</v>
      </c>
      <c r="R149" s="662">
        <f t="shared" ca="1" si="24"/>
        <v>33863</v>
      </c>
      <c r="S149" s="316">
        <f t="shared" ca="1" si="15"/>
        <v>304</v>
      </c>
    </row>
    <row r="150" spans="1:19">
      <c r="A150" s="150" t="str">
        <f>二期房号清单!C127</f>
        <v>3-3-201</v>
      </c>
      <c r="B150" s="54">
        <f>二期房号清单!D127</f>
        <v>89.82</v>
      </c>
      <c r="C150" s="21">
        <f t="shared" si="16"/>
        <v>1</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str">
        <f>二期房号清单!L127</f>
        <v>低区</v>
      </c>
      <c r="Q150" s="21">
        <f t="shared" si="23"/>
        <v>0.98</v>
      </c>
      <c r="R150" s="662">
        <f t="shared" ca="1" si="24"/>
        <v>34569</v>
      </c>
      <c r="S150" s="316">
        <f t="shared" ca="1" si="15"/>
        <v>310</v>
      </c>
    </row>
    <row r="151" spans="1:19">
      <c r="A151" s="150" t="str">
        <f>二期房号清单!C128</f>
        <v>3-3-202</v>
      </c>
      <c r="B151" s="54">
        <f>二期房号清单!D128</f>
        <v>89.82</v>
      </c>
      <c r="C151" s="21">
        <f t="shared" si="16"/>
        <v>1</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str">
        <f>二期房号清单!L128</f>
        <v>低区</v>
      </c>
      <c r="Q151" s="21">
        <f t="shared" si="23"/>
        <v>0.98</v>
      </c>
      <c r="R151" s="662">
        <f t="shared" ca="1" si="24"/>
        <v>34569</v>
      </c>
      <c r="S151" s="316">
        <f t="shared" ca="1" si="15"/>
        <v>310</v>
      </c>
    </row>
    <row r="152" spans="1:19">
      <c r="A152" s="150" t="str">
        <f>二期房号清单!C129</f>
        <v>3-3-302</v>
      </c>
      <c r="B152" s="54">
        <f>二期房号清单!D129</f>
        <v>89.82</v>
      </c>
      <c r="C152" s="21">
        <f t="shared" si="16"/>
        <v>1</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str">
        <f>二期房号清单!L129</f>
        <v>低区</v>
      </c>
      <c r="Q152" s="21">
        <f t="shared" si="23"/>
        <v>0.98</v>
      </c>
      <c r="R152" s="662">
        <f t="shared" ca="1" si="24"/>
        <v>34569</v>
      </c>
      <c r="S152" s="316">
        <f t="shared" ref="S152:S215" ca="1" si="25">ROUND(R152*B152/10000,0)</f>
        <v>310</v>
      </c>
    </row>
    <row r="153" spans="1:19">
      <c r="A153" s="150" t="str">
        <f>二期房号清单!C130</f>
        <v>3-3-401</v>
      </c>
      <c r="B153" s="54">
        <f>二期房号清单!D130</f>
        <v>89.82</v>
      </c>
      <c r="C153" s="21">
        <f t="shared" si="16"/>
        <v>1</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str">
        <f>二期房号清单!L130</f>
        <v>低区</v>
      </c>
      <c r="Q153" s="21">
        <f t="shared" si="23"/>
        <v>0.98</v>
      </c>
      <c r="R153" s="662">
        <f t="shared" ca="1" si="24"/>
        <v>34569</v>
      </c>
      <c r="S153" s="316">
        <f t="shared" ca="1" si="25"/>
        <v>310</v>
      </c>
    </row>
    <row r="154" spans="1:19">
      <c r="A154" s="150" t="str">
        <f>二期房号清单!C131</f>
        <v>3-3-402</v>
      </c>
      <c r="B154" s="54">
        <f>二期房号清单!D131</f>
        <v>89.82</v>
      </c>
      <c r="C154" s="21">
        <f t="shared" ref="C154:C217" si="26">IF(B154="",1,(LOOKUP(B154,$3:$3,$4:$4)-LOOKUP($B$24,$3:$3,$4:$4)+100)/100)</f>
        <v>1</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str">
        <f>二期房号清单!L131</f>
        <v>低区</v>
      </c>
      <c r="Q154" s="21">
        <f t="shared" ref="Q154:Q217" si="33">(SUMIF($17:$17,P154,$18:$18)-SUMIF($17:$17,$P$24,$18:$18)+100)/100</f>
        <v>0.98</v>
      </c>
      <c r="R154" s="662">
        <f t="shared" ref="R154:R217" ca="1" si="34">IF(B154="",0,ROUND($R$24*C154*E154*G154*I154*K154*M154*O154*Q154,0))</f>
        <v>34569</v>
      </c>
      <c r="S154" s="316">
        <f t="shared" ca="1" si="25"/>
        <v>310</v>
      </c>
    </row>
    <row r="155" spans="1:19">
      <c r="A155" s="150" t="str">
        <f>二期房号清单!C132</f>
        <v>3-3-502</v>
      </c>
      <c r="B155" s="54">
        <f>二期房号清单!D132</f>
        <v>89.82</v>
      </c>
      <c r="C155" s="21">
        <f t="shared" si="26"/>
        <v>1</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str">
        <f>二期房号清单!L132</f>
        <v>中区</v>
      </c>
      <c r="Q155" s="21">
        <f t="shared" si="33"/>
        <v>1</v>
      </c>
      <c r="R155" s="662">
        <f t="shared" ca="1" si="34"/>
        <v>35274</v>
      </c>
      <c r="S155" s="316">
        <f t="shared" ca="1" si="25"/>
        <v>317</v>
      </c>
    </row>
    <row r="156" spans="1:19">
      <c r="A156" s="150" t="str">
        <f>二期房号清单!C133</f>
        <v>3-3-601</v>
      </c>
      <c r="B156" s="54">
        <f>二期房号清单!D133</f>
        <v>89.82</v>
      </c>
      <c r="C156" s="21">
        <f t="shared" si="26"/>
        <v>1</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str">
        <f>二期房号清单!L133</f>
        <v>中区</v>
      </c>
      <c r="Q156" s="21">
        <f t="shared" si="33"/>
        <v>1</v>
      </c>
      <c r="R156" s="662">
        <f t="shared" ca="1" si="34"/>
        <v>35274</v>
      </c>
      <c r="S156" s="316">
        <f t="shared" ca="1" si="25"/>
        <v>317</v>
      </c>
    </row>
    <row r="157" spans="1:19">
      <c r="A157" s="150" t="str">
        <f>二期房号清单!C134</f>
        <v>3-3-602</v>
      </c>
      <c r="B157" s="54">
        <f>二期房号清单!D134</f>
        <v>89.82</v>
      </c>
      <c r="C157" s="21">
        <f t="shared" si="26"/>
        <v>1</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str">
        <f>二期房号清单!L134</f>
        <v>中区</v>
      </c>
      <c r="Q157" s="21">
        <f t="shared" si="33"/>
        <v>1</v>
      </c>
      <c r="R157" s="662">
        <f t="shared" ca="1" si="34"/>
        <v>35274</v>
      </c>
      <c r="S157" s="316">
        <f t="shared" ca="1" si="25"/>
        <v>317</v>
      </c>
    </row>
    <row r="158" spans="1:19">
      <c r="A158" s="150" t="str">
        <f>二期房号清单!C135</f>
        <v>3-3-802</v>
      </c>
      <c r="B158" s="54">
        <f>二期房号清单!D135</f>
        <v>89.82</v>
      </c>
      <c r="C158" s="21">
        <f t="shared" si="26"/>
        <v>1</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str">
        <f>二期房号清单!L135</f>
        <v>高区</v>
      </c>
      <c r="Q158" s="21">
        <f t="shared" si="33"/>
        <v>1.02</v>
      </c>
      <c r="R158" s="662">
        <f t="shared" ca="1" si="34"/>
        <v>35979</v>
      </c>
      <c r="S158" s="316">
        <f t="shared" ca="1" si="25"/>
        <v>323</v>
      </c>
    </row>
    <row r="159" spans="1:19">
      <c r="A159" s="150" t="str">
        <f>二期房号清单!C136</f>
        <v>3-3-1001</v>
      </c>
      <c r="B159" s="54">
        <f>二期房号清单!D136</f>
        <v>89.82</v>
      </c>
      <c r="C159" s="21">
        <f t="shared" si="26"/>
        <v>1</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str">
        <f>二期房号清单!L136</f>
        <v>高区</v>
      </c>
      <c r="Q159" s="21">
        <f t="shared" si="33"/>
        <v>1.02</v>
      </c>
      <c r="R159" s="662">
        <f t="shared" ca="1" si="34"/>
        <v>35979</v>
      </c>
      <c r="S159" s="316">
        <f t="shared" ca="1" si="25"/>
        <v>323</v>
      </c>
    </row>
    <row r="160" spans="1:19">
      <c r="A160" s="150" t="str">
        <f>二期房号清单!C137</f>
        <v>3-3-1002</v>
      </c>
      <c r="B160" s="54">
        <f>二期房号清单!D137</f>
        <v>89.82</v>
      </c>
      <c r="C160" s="21">
        <f t="shared" si="26"/>
        <v>1</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str">
        <f>二期房号清单!L137</f>
        <v>高区</v>
      </c>
      <c r="Q160" s="21">
        <f t="shared" si="33"/>
        <v>1.02</v>
      </c>
      <c r="R160" s="662">
        <f t="shared" ca="1" si="34"/>
        <v>35979</v>
      </c>
      <c r="S160" s="316">
        <f t="shared" ca="1" si="25"/>
        <v>323</v>
      </c>
    </row>
    <row r="161" spans="1:19">
      <c r="A161" s="150" t="str">
        <f>二期房号清单!C138</f>
        <v>3-3-1101</v>
      </c>
      <c r="B161" s="54">
        <f>二期房号清单!D138</f>
        <v>89.82</v>
      </c>
      <c r="C161" s="21">
        <f t="shared" si="26"/>
        <v>1</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str">
        <f>二期房号清单!L138</f>
        <v>顶层</v>
      </c>
      <c r="Q161" s="21">
        <f t="shared" si="33"/>
        <v>0.96</v>
      </c>
      <c r="R161" s="662">
        <f t="shared" ca="1" si="34"/>
        <v>33863</v>
      </c>
      <c r="S161" s="316">
        <f t="shared" ca="1" si="25"/>
        <v>304</v>
      </c>
    </row>
    <row r="162" spans="1:19">
      <c r="A162" s="150" t="str">
        <f>二期房号清单!C139</f>
        <v>3-3-1102</v>
      </c>
      <c r="B162" s="54">
        <f>二期房号清单!D139</f>
        <v>89.82</v>
      </c>
      <c r="C162" s="21">
        <f t="shared" si="26"/>
        <v>1</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str">
        <f>二期房号清单!L139</f>
        <v>顶层</v>
      </c>
      <c r="Q162" s="21">
        <f t="shared" si="33"/>
        <v>0.96</v>
      </c>
      <c r="R162" s="662">
        <f t="shared" ca="1" si="34"/>
        <v>33863</v>
      </c>
      <c r="S162" s="316">
        <f t="shared" ca="1" si="25"/>
        <v>304</v>
      </c>
    </row>
    <row r="163" spans="1:19">
      <c r="A163" s="150" t="str">
        <f>二期房号清单!C140</f>
        <v>3-4-101</v>
      </c>
      <c r="B163" s="54">
        <f>二期房号清单!D140</f>
        <v>73.400000000000006</v>
      </c>
      <c r="C163" s="21">
        <f t="shared" si="26"/>
        <v>1.01</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str">
        <f>二期房号清单!L140</f>
        <v>一层</v>
      </c>
      <c r="Q163" s="21">
        <f t="shared" si="33"/>
        <v>0.96</v>
      </c>
      <c r="R163" s="662">
        <f t="shared" ca="1" si="34"/>
        <v>34202</v>
      </c>
      <c r="S163" s="316">
        <f t="shared" ca="1" si="25"/>
        <v>251</v>
      </c>
    </row>
    <row r="164" spans="1:19">
      <c r="A164" s="150" t="str">
        <f>二期房号清单!C141</f>
        <v>3-4-102</v>
      </c>
      <c r="B164" s="54">
        <f>二期房号清单!D141</f>
        <v>174.31</v>
      </c>
      <c r="C164" s="21">
        <f t="shared" si="26"/>
        <v>0.98</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str">
        <f>二期房号清单!L141</f>
        <v>低区</v>
      </c>
      <c r="Q164" s="21">
        <f t="shared" si="33"/>
        <v>0.98</v>
      </c>
      <c r="R164" s="662">
        <f t="shared" ca="1" si="34"/>
        <v>33877</v>
      </c>
      <c r="S164" s="316">
        <f t="shared" ca="1" si="25"/>
        <v>591</v>
      </c>
    </row>
    <row r="165" spans="1:19">
      <c r="A165" s="150" t="str">
        <f>二期房号清单!C142</f>
        <v>3-4-201</v>
      </c>
      <c r="B165" s="54">
        <f>二期房号清单!D142</f>
        <v>89.82</v>
      </c>
      <c r="C165" s="21">
        <f t="shared" si="26"/>
        <v>1</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str">
        <f>二期房号清单!L142</f>
        <v>低区</v>
      </c>
      <c r="Q165" s="21">
        <f t="shared" si="33"/>
        <v>0.98</v>
      </c>
      <c r="R165" s="662">
        <f t="shared" ca="1" si="34"/>
        <v>34569</v>
      </c>
      <c r="S165" s="316">
        <f t="shared" ca="1" si="25"/>
        <v>310</v>
      </c>
    </row>
    <row r="166" spans="1:19">
      <c r="A166" s="150" t="str">
        <f>二期房号清单!C143</f>
        <v>3-4-301</v>
      </c>
      <c r="B166" s="54">
        <f>二期房号清单!D143</f>
        <v>89.82</v>
      </c>
      <c r="C166" s="21">
        <f t="shared" si="26"/>
        <v>1</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str">
        <f>二期房号清单!L143</f>
        <v>低区</v>
      </c>
      <c r="Q166" s="21">
        <f t="shared" si="33"/>
        <v>0.98</v>
      </c>
      <c r="R166" s="662">
        <f t="shared" ca="1" si="34"/>
        <v>34569</v>
      </c>
      <c r="S166" s="316">
        <f t="shared" ca="1" si="25"/>
        <v>310</v>
      </c>
    </row>
    <row r="167" spans="1:19">
      <c r="A167" s="150" t="str">
        <f>二期房号清单!C144</f>
        <v>3-4-302</v>
      </c>
      <c r="B167" s="54">
        <f>二期房号清单!D144</f>
        <v>87.15</v>
      </c>
      <c r="C167" s="21">
        <f t="shared" si="26"/>
        <v>1</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str">
        <f>二期房号清单!L144</f>
        <v>低区</v>
      </c>
      <c r="Q167" s="21">
        <f t="shared" si="33"/>
        <v>0.98</v>
      </c>
      <c r="R167" s="662">
        <f t="shared" ca="1" si="34"/>
        <v>34569</v>
      </c>
      <c r="S167" s="316">
        <f t="shared" ca="1" si="25"/>
        <v>301</v>
      </c>
    </row>
    <row r="168" spans="1:19">
      <c r="A168" s="150" t="str">
        <f>二期房号清单!C145</f>
        <v>3-4-402</v>
      </c>
      <c r="B168" s="54">
        <f>二期房号清单!D145</f>
        <v>87.15</v>
      </c>
      <c r="C168" s="21">
        <f t="shared" si="26"/>
        <v>1</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str">
        <f>二期房号清单!L145</f>
        <v>低区</v>
      </c>
      <c r="Q168" s="21">
        <f t="shared" si="33"/>
        <v>0.98</v>
      </c>
      <c r="R168" s="662">
        <f t="shared" ca="1" si="34"/>
        <v>34569</v>
      </c>
      <c r="S168" s="316">
        <f t="shared" ca="1" si="25"/>
        <v>301</v>
      </c>
    </row>
    <row r="169" spans="1:19">
      <c r="A169" s="150" t="str">
        <f>二期房号清单!C146</f>
        <v>3-4-501</v>
      </c>
      <c r="B169" s="54">
        <f>二期房号清单!D146</f>
        <v>89.82</v>
      </c>
      <c r="C169" s="21">
        <f t="shared" si="26"/>
        <v>1</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str">
        <f>二期房号清单!L146</f>
        <v>中区</v>
      </c>
      <c r="Q169" s="21">
        <f t="shared" si="33"/>
        <v>1</v>
      </c>
      <c r="R169" s="662">
        <f t="shared" ca="1" si="34"/>
        <v>35274</v>
      </c>
      <c r="S169" s="316">
        <f t="shared" ca="1" si="25"/>
        <v>317</v>
      </c>
    </row>
    <row r="170" spans="1:19">
      <c r="A170" s="150" t="str">
        <f>二期房号清单!C147</f>
        <v>3-4-502</v>
      </c>
      <c r="B170" s="54">
        <f>二期房号清单!D147</f>
        <v>87.15</v>
      </c>
      <c r="C170" s="21">
        <f t="shared" si="26"/>
        <v>1</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str">
        <f>二期房号清单!L147</f>
        <v>中区</v>
      </c>
      <c r="Q170" s="21">
        <f t="shared" si="33"/>
        <v>1</v>
      </c>
      <c r="R170" s="662">
        <f t="shared" ca="1" si="34"/>
        <v>35274</v>
      </c>
      <c r="S170" s="316">
        <f t="shared" ca="1" si="25"/>
        <v>307</v>
      </c>
    </row>
    <row r="171" spans="1:19">
      <c r="A171" s="150" t="str">
        <f>二期房号清单!C148</f>
        <v>3-4-601</v>
      </c>
      <c r="B171" s="54">
        <f>二期房号清单!D148</f>
        <v>89.82</v>
      </c>
      <c r="C171" s="21">
        <f t="shared" si="26"/>
        <v>1</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str">
        <f>二期房号清单!L148</f>
        <v>中区</v>
      </c>
      <c r="Q171" s="21">
        <f t="shared" si="33"/>
        <v>1</v>
      </c>
      <c r="R171" s="662">
        <f t="shared" ca="1" si="34"/>
        <v>35274</v>
      </c>
      <c r="S171" s="316">
        <f t="shared" ca="1" si="25"/>
        <v>317</v>
      </c>
    </row>
    <row r="172" spans="1:19">
      <c r="A172" s="150" t="str">
        <f>二期房号清单!C149</f>
        <v>3-4-602</v>
      </c>
      <c r="B172" s="54">
        <f>二期房号清单!D149</f>
        <v>87.15</v>
      </c>
      <c r="C172" s="21">
        <f t="shared" si="26"/>
        <v>1</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str">
        <f>二期房号清单!L149</f>
        <v>中区</v>
      </c>
      <c r="Q172" s="21">
        <f t="shared" si="33"/>
        <v>1</v>
      </c>
      <c r="R172" s="662">
        <f t="shared" ca="1" si="34"/>
        <v>35274</v>
      </c>
      <c r="S172" s="316">
        <f t="shared" ca="1" si="25"/>
        <v>307</v>
      </c>
    </row>
    <row r="173" spans="1:19">
      <c r="A173" s="150" t="str">
        <f>二期房号清单!C150</f>
        <v>3-4-701</v>
      </c>
      <c r="B173" s="54">
        <f>二期房号清单!D150</f>
        <v>89.82</v>
      </c>
      <c r="C173" s="21">
        <f t="shared" si="26"/>
        <v>1</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str">
        <f>二期房号清单!L150</f>
        <v>中区</v>
      </c>
      <c r="Q173" s="21">
        <f t="shared" si="33"/>
        <v>1</v>
      </c>
      <c r="R173" s="662">
        <f t="shared" ca="1" si="34"/>
        <v>35274</v>
      </c>
      <c r="S173" s="316">
        <f t="shared" ca="1" si="25"/>
        <v>317</v>
      </c>
    </row>
    <row r="174" spans="1:19">
      <c r="A174" s="150" t="str">
        <f>二期房号清单!C151</f>
        <v>3-4-702</v>
      </c>
      <c r="B174" s="54">
        <f>二期房号清单!D151</f>
        <v>87.15</v>
      </c>
      <c r="C174" s="21">
        <f t="shared" si="26"/>
        <v>1</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str">
        <f>二期房号清单!L151</f>
        <v>中区</v>
      </c>
      <c r="Q174" s="21">
        <f t="shared" si="33"/>
        <v>1</v>
      </c>
      <c r="R174" s="662">
        <f t="shared" ca="1" si="34"/>
        <v>35274</v>
      </c>
      <c r="S174" s="316">
        <f t="shared" ca="1" si="25"/>
        <v>307</v>
      </c>
    </row>
    <row r="175" spans="1:19">
      <c r="A175" s="150" t="str">
        <f>二期房号清单!C152</f>
        <v>3-4-801</v>
      </c>
      <c r="B175" s="54">
        <f>二期房号清单!D152</f>
        <v>89.82</v>
      </c>
      <c r="C175" s="21">
        <f t="shared" si="26"/>
        <v>1</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str">
        <f>二期房号清单!L152</f>
        <v>高区</v>
      </c>
      <c r="Q175" s="21">
        <f t="shared" si="33"/>
        <v>1.02</v>
      </c>
      <c r="R175" s="662">
        <f t="shared" ca="1" si="34"/>
        <v>35979</v>
      </c>
      <c r="S175" s="316">
        <f t="shared" ca="1" si="25"/>
        <v>323</v>
      </c>
    </row>
    <row r="176" spans="1:19">
      <c r="A176" s="150" t="str">
        <f>二期房号清单!C153</f>
        <v>3-4-802</v>
      </c>
      <c r="B176" s="54">
        <f>二期房号清单!D153</f>
        <v>87.15</v>
      </c>
      <c r="C176" s="21">
        <f t="shared" si="26"/>
        <v>1</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str">
        <f>二期房号清单!L153</f>
        <v>高区</v>
      </c>
      <c r="Q176" s="21">
        <f t="shared" si="33"/>
        <v>1.02</v>
      </c>
      <c r="R176" s="662">
        <f t="shared" ca="1" si="34"/>
        <v>35979</v>
      </c>
      <c r="S176" s="316">
        <f t="shared" ca="1" si="25"/>
        <v>314</v>
      </c>
    </row>
    <row r="177" spans="1:19">
      <c r="A177" s="150" t="str">
        <f>二期房号清单!C154</f>
        <v>3-4-901</v>
      </c>
      <c r="B177" s="54">
        <f>二期房号清单!D154</f>
        <v>89.82</v>
      </c>
      <c r="C177" s="21">
        <f t="shared" si="26"/>
        <v>1</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str">
        <f>二期房号清单!L154</f>
        <v>高区</v>
      </c>
      <c r="Q177" s="21">
        <f t="shared" si="33"/>
        <v>1.02</v>
      </c>
      <c r="R177" s="662">
        <f t="shared" ca="1" si="34"/>
        <v>35979</v>
      </c>
      <c r="S177" s="316">
        <f t="shared" ca="1" si="25"/>
        <v>323</v>
      </c>
    </row>
    <row r="178" spans="1:19">
      <c r="A178" s="150" t="str">
        <f>二期房号清单!C155</f>
        <v>3-4-902</v>
      </c>
      <c r="B178" s="54">
        <f>二期房号清单!D155</f>
        <v>87.15</v>
      </c>
      <c r="C178" s="21">
        <f t="shared" si="26"/>
        <v>1</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str">
        <f>二期房号清单!L155</f>
        <v>高区</v>
      </c>
      <c r="Q178" s="21">
        <f t="shared" si="33"/>
        <v>1.02</v>
      </c>
      <c r="R178" s="662">
        <f t="shared" ca="1" si="34"/>
        <v>35979</v>
      </c>
      <c r="S178" s="316">
        <f t="shared" ca="1" si="25"/>
        <v>314</v>
      </c>
    </row>
    <row r="179" spans="1:19">
      <c r="A179" s="150" t="str">
        <f>二期房号清单!C156</f>
        <v>3-4-1001</v>
      </c>
      <c r="B179" s="54">
        <f>二期房号清单!D156</f>
        <v>89.82</v>
      </c>
      <c r="C179" s="21">
        <f t="shared" si="26"/>
        <v>1</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str">
        <f>二期房号清单!L156</f>
        <v>高区</v>
      </c>
      <c r="Q179" s="21">
        <f t="shared" si="33"/>
        <v>1.02</v>
      </c>
      <c r="R179" s="662">
        <f t="shared" ca="1" si="34"/>
        <v>35979</v>
      </c>
      <c r="S179" s="316">
        <f t="shared" ca="1" si="25"/>
        <v>323</v>
      </c>
    </row>
    <row r="180" spans="1:19">
      <c r="A180" s="150" t="str">
        <f>二期房号清单!C157</f>
        <v>3-4-1101</v>
      </c>
      <c r="B180" s="54">
        <f>二期房号清单!D157</f>
        <v>89.82</v>
      </c>
      <c r="C180" s="21">
        <f t="shared" si="26"/>
        <v>1</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str">
        <f>二期房号清单!L157</f>
        <v>顶层</v>
      </c>
      <c r="Q180" s="21">
        <f t="shared" si="33"/>
        <v>0.96</v>
      </c>
      <c r="R180" s="662">
        <f t="shared" ca="1" si="34"/>
        <v>33863</v>
      </c>
      <c r="S180" s="316">
        <f t="shared" ca="1" si="25"/>
        <v>304</v>
      </c>
    </row>
    <row r="181" spans="1:19">
      <c r="A181" s="150" t="str">
        <f>二期房号清单!C158</f>
        <v>3-4-1102</v>
      </c>
      <c r="B181" s="54">
        <f>二期房号清单!D158</f>
        <v>87.15</v>
      </c>
      <c r="C181" s="21">
        <f t="shared" si="26"/>
        <v>1</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str">
        <f>二期房号清单!L158</f>
        <v>顶层</v>
      </c>
      <c r="Q181" s="21">
        <f t="shared" si="33"/>
        <v>0.96</v>
      </c>
      <c r="R181" s="662">
        <f t="shared" ca="1" si="34"/>
        <v>33863</v>
      </c>
      <c r="S181" s="316">
        <f t="shared" ca="1" si="25"/>
        <v>295</v>
      </c>
    </row>
    <row r="182" spans="1:19">
      <c r="A182" s="150" t="str">
        <f>二期房号清单!C159</f>
        <v>19-1-501</v>
      </c>
      <c r="B182" s="54">
        <f>二期房号清单!D159</f>
        <v>77.38</v>
      </c>
      <c r="C182" s="21">
        <f t="shared" si="26"/>
        <v>1.01</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str">
        <f>二期房号清单!L159</f>
        <v>一层</v>
      </c>
      <c r="Q182" s="21">
        <f t="shared" si="33"/>
        <v>0.96</v>
      </c>
      <c r="R182" s="662">
        <f t="shared" ca="1" si="34"/>
        <v>34202</v>
      </c>
      <c r="S182" s="316">
        <f t="shared" ca="1" si="25"/>
        <v>265</v>
      </c>
    </row>
    <row r="183" spans="1:19">
      <c r="A183" s="150" t="str">
        <f>二期房号清单!C160</f>
        <v>19-2-501</v>
      </c>
      <c r="B183" s="54">
        <f>二期房号清单!D160</f>
        <v>76.819999999999993</v>
      </c>
      <c r="C183" s="21">
        <f t="shared" si="26"/>
        <v>1.01</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str">
        <f>二期房号清单!L160</f>
        <v>高区</v>
      </c>
      <c r="Q183" s="21">
        <f t="shared" si="33"/>
        <v>1.02</v>
      </c>
      <c r="R183" s="662">
        <f t="shared" ca="1" si="34"/>
        <v>36339</v>
      </c>
      <c r="S183" s="316">
        <f t="shared" ca="1" si="25"/>
        <v>279</v>
      </c>
    </row>
    <row r="184" spans="1:19">
      <c r="A184" s="150" t="str">
        <f>二期房号清单!C161</f>
        <v>19-2-502</v>
      </c>
      <c r="B184" s="54">
        <f>二期房号清单!D161</f>
        <v>76.819999999999993</v>
      </c>
      <c r="C184" s="21">
        <f t="shared" si="26"/>
        <v>1.01</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str">
        <f>二期房号清单!L161</f>
        <v>高区</v>
      </c>
      <c r="Q184" s="21">
        <f t="shared" si="33"/>
        <v>1.02</v>
      </c>
      <c r="R184" s="662">
        <f t="shared" ca="1" si="34"/>
        <v>36339</v>
      </c>
      <c r="S184" s="316">
        <f t="shared" ca="1" si="25"/>
        <v>279</v>
      </c>
    </row>
    <row r="185" spans="1:19">
      <c r="A185" s="150" t="str">
        <f>二期房号清单!C162</f>
        <v>14-1-101</v>
      </c>
      <c r="B185" s="54">
        <f>二期房号清单!D162</f>
        <v>77.47</v>
      </c>
      <c r="C185" s="21">
        <f t="shared" si="26"/>
        <v>1.01</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str">
        <f>二期房号清单!L162</f>
        <v>一层</v>
      </c>
      <c r="Q185" s="21">
        <f t="shared" si="33"/>
        <v>0.96</v>
      </c>
      <c r="R185" s="662">
        <f t="shared" ca="1" si="34"/>
        <v>34202</v>
      </c>
      <c r="S185" s="316">
        <f t="shared" ca="1" si="25"/>
        <v>265</v>
      </c>
    </row>
    <row r="186" spans="1:19">
      <c r="A186" s="150" t="str">
        <f>二期房号清单!C163</f>
        <v>14-2-501</v>
      </c>
      <c r="B186" s="54">
        <f>二期房号清单!D163</f>
        <v>76.91</v>
      </c>
      <c r="C186" s="21">
        <f t="shared" si="26"/>
        <v>1.01</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str">
        <f>二期房号清单!L163</f>
        <v>高区</v>
      </c>
      <c r="Q186" s="21">
        <f t="shared" si="33"/>
        <v>1.02</v>
      </c>
      <c r="R186" s="662">
        <f t="shared" ca="1" si="34"/>
        <v>36339</v>
      </c>
      <c r="S186" s="316">
        <f t="shared" ca="1" si="25"/>
        <v>279</v>
      </c>
    </row>
    <row r="187" spans="1:19">
      <c r="A187" s="150" t="str">
        <f>二期房号清单!C164</f>
        <v>14-2-502</v>
      </c>
      <c r="B187" s="54">
        <f>二期房号清单!D164</f>
        <v>76.91</v>
      </c>
      <c r="C187" s="21">
        <f t="shared" si="26"/>
        <v>1.01</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str">
        <f>二期房号清单!L164</f>
        <v>高区</v>
      </c>
      <c r="Q187" s="21">
        <f t="shared" si="33"/>
        <v>1.02</v>
      </c>
      <c r="R187" s="662">
        <f t="shared" ca="1" si="34"/>
        <v>36339</v>
      </c>
      <c r="S187" s="316">
        <f t="shared" ca="1" si="25"/>
        <v>279</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895</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896</v>
      </c>
    </row>
    <row r="6" spans="1:1" ht="18.75">
      <c r="A6" s="1479" t="s">
        <v>897</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估价对象为北京市房地产，为所有。根据《国有土地使用证》[]，估价对象（分摊）出让国有建设用地使用权面积为0平方米，建筑面积为116.04平方米。</v>
      </c>
    </row>
    <row r="8" spans="1:1" ht="57.75">
      <c r="A8" s="1480" t="s">
        <v>898</v>
      </c>
    </row>
    <row r="9" spans="1:1" ht="18.75">
      <c r="A9" s="1479" t="s">
        <v>899</v>
      </c>
    </row>
    <row r="10" spans="1:1" ht="54">
      <c r="A10" s="1477" t="str">
        <f>"估价对象为"&amp;项目基本情况!S2&amp;IF('结果表-住宅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估价对象为北京市房地产,属开发建设的，该项目尚在开发建设中。根据《国有土地使用证》[]，估价对象（分摊）出让国有建设用地使用权面积为0平方米，规划建筑面积为116.04平方米。</v>
      </c>
    </row>
    <row r="11" spans="1:1" ht="76.5">
      <c r="A11" s="1480" t="s">
        <v>900</v>
      </c>
    </row>
    <row r="12" spans="1:1" ht="18.75">
      <c r="A12" s="1478" t="s">
        <v>901</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902</v>
      </c>
    </row>
    <row r="15" spans="1:1" ht="18">
      <c r="A15" s="1483" t="str">
        <f>TEXT(项目基本情况!D3,"yyyy年m月d日;;")&amp;IF(项目基本情况!D3=项目基本情况!B3,"（评估专业人员实地查勘之日）","")</f>
        <v>2023年10月17日</v>
      </c>
    </row>
    <row r="16" spans="1:1" ht="18.75">
      <c r="A16" s="1482" t="s">
        <v>903</v>
      </c>
    </row>
    <row r="17" spans="1:1" ht="75">
      <c r="A17" s="1477" t="s">
        <v>904</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893</v>
      </c>
    </row>
    <row r="24" spans="1:1" ht="18">
      <c r="A24" s="1484" t="str">
        <f>"本次评估采用的主估价方法为"&amp;'结果表-住宅基准'!K4&amp;"和"&amp;'结果表-住宅基准'!L4&amp;"。"</f>
        <v>本次评估采用的主估价方法为比较法和成本法。</v>
      </c>
    </row>
    <row r="25" spans="1:1" ht="18">
      <c r="A25" s="1484"/>
    </row>
    <row r="26" spans="1:1" ht="18.75">
      <c r="A26" s="1485" t="s">
        <v>894</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topLeftCell="B94" zoomScale="90" zoomScaleNormal="100" zoomScaleSheetLayoutView="90" zoomScalePageLayoutView="80" workbookViewId="0">
      <selection activeCell="P59" sqref="P59"/>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t="s">
        <v>3335</v>
      </c>
      <c r="D1" s="1744"/>
      <c r="E1" s="1744"/>
      <c r="F1" s="1746" t="s">
        <v>1260</v>
      </c>
      <c r="G1" s="1558"/>
      <c r="H1" s="1747" t="str">
        <f>IF(G1="现房","——","估价对象范围")</f>
        <v>估价对象范围</v>
      </c>
      <c r="I1" s="1748"/>
    </row>
    <row r="2" spans="1:12" ht="21.75" customHeight="1" thickBot="1">
      <c r="A2" s="3685" t="str">
        <f>项目基本情况!S2</f>
        <v>北京市房地产</v>
      </c>
      <c r="B2" s="3686"/>
      <c r="C2" s="3686"/>
      <c r="D2" s="3686"/>
      <c r="E2" s="3686"/>
      <c r="F2" s="3686"/>
      <c r="G2" s="3686"/>
      <c r="H2" s="3686"/>
      <c r="I2" s="3687"/>
    </row>
    <row r="3" spans="1:12" ht="12.75">
      <c r="A3" s="3689" t="s">
        <v>1261</v>
      </c>
      <c r="B3" s="3690"/>
      <c r="C3" s="3690"/>
      <c r="D3" s="3690"/>
      <c r="E3" s="3690"/>
      <c r="F3" s="3690"/>
      <c r="G3" s="3690"/>
      <c r="H3" s="3690"/>
      <c r="I3" s="3690"/>
    </row>
    <row r="4" spans="1:12" ht="14.25">
      <c r="A4" s="1751" t="s">
        <v>1262</v>
      </c>
      <c r="B4" s="1752" t="s">
        <v>1263</v>
      </c>
      <c r="C4" s="1753" t="s">
        <v>4071</v>
      </c>
      <c r="D4" s="1753" t="s">
        <v>3855</v>
      </c>
      <c r="E4" s="3694" t="s">
        <v>1264</v>
      </c>
      <c r="F4" s="3695"/>
      <c r="G4" s="3695"/>
      <c r="H4" s="3695"/>
      <c r="I4" s="3696"/>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33" t="s">
        <v>1265</v>
      </c>
      <c r="B5" s="3688">
        <v>25</v>
      </c>
      <c r="C5" s="3691"/>
      <c r="D5" s="3679"/>
      <c r="E5" s="131" t="s">
        <v>1266</v>
      </c>
      <c r="F5" s="1754"/>
      <c r="G5" s="1754"/>
      <c r="H5" s="1754"/>
      <c r="I5" s="1370"/>
    </row>
    <row r="6" spans="1:12" ht="12.75">
      <c r="A6" s="3633"/>
      <c r="B6" s="3688"/>
      <c r="C6" s="3693"/>
      <c r="D6" s="3679"/>
      <c r="E6" s="131" t="s">
        <v>1267</v>
      </c>
      <c r="F6" s="1754"/>
      <c r="G6" s="1754"/>
      <c r="H6" s="1754"/>
      <c r="I6" s="1370"/>
    </row>
    <row r="7" spans="1:12" ht="12.75">
      <c r="A7" s="3633"/>
      <c r="B7" s="3688"/>
      <c r="C7" s="3692"/>
      <c r="D7" s="3679"/>
      <c r="E7" s="131" t="s">
        <v>1268</v>
      </c>
      <c r="F7" s="1754"/>
      <c r="G7" s="1754"/>
      <c r="H7" s="1754"/>
      <c r="I7" s="1370"/>
    </row>
    <row r="8" spans="1:12" ht="12.75">
      <c r="A8" s="3633" t="s">
        <v>1269</v>
      </c>
      <c r="B8" s="3688">
        <v>15</v>
      </c>
      <c r="C8" s="3691"/>
      <c r="D8" s="3679"/>
      <c r="E8" s="131" t="s">
        <v>1270</v>
      </c>
      <c r="F8" s="1754"/>
      <c r="G8" s="1754"/>
      <c r="H8" s="1754"/>
      <c r="I8" s="1370"/>
    </row>
    <row r="9" spans="1:12" ht="12.75">
      <c r="A9" s="3633"/>
      <c r="B9" s="3688"/>
      <c r="C9" s="3692"/>
      <c r="D9" s="3679"/>
      <c r="E9" s="131" t="s">
        <v>1271</v>
      </c>
      <c r="F9" s="1754"/>
      <c r="G9" s="1754"/>
      <c r="H9" s="1754"/>
      <c r="I9" s="1370"/>
    </row>
    <row r="10" spans="1:12" ht="12.75">
      <c r="A10" s="3633" t="s">
        <v>1272</v>
      </c>
      <c r="B10" s="3688">
        <v>15</v>
      </c>
      <c r="C10" s="3691"/>
      <c r="D10" s="3679"/>
      <c r="E10" s="131" t="s">
        <v>1273</v>
      </c>
      <c r="F10" s="1754"/>
      <c r="G10" s="1754"/>
      <c r="H10" s="1754"/>
      <c r="I10" s="1370"/>
    </row>
    <row r="11" spans="1:12" ht="12.75">
      <c r="A11" s="3633"/>
      <c r="B11" s="3688"/>
      <c r="C11" s="3692"/>
      <c r="D11" s="3679"/>
      <c r="E11" s="131" t="s">
        <v>1274</v>
      </c>
      <c r="F11" s="1754"/>
      <c r="G11" s="1754"/>
      <c r="H11" s="1754"/>
      <c r="I11" s="1370"/>
    </row>
    <row r="12" spans="1:12" ht="12.75">
      <c r="A12" s="3633" t="s">
        <v>1275</v>
      </c>
      <c r="B12" s="3688">
        <v>15</v>
      </c>
      <c r="C12" s="3691"/>
      <c r="D12" s="3679"/>
      <c r="E12" s="131" t="s">
        <v>1276</v>
      </c>
      <c r="F12" s="1754"/>
      <c r="G12" s="1754"/>
      <c r="H12" s="1754"/>
      <c r="I12" s="1370"/>
    </row>
    <row r="13" spans="1:12" ht="12.75">
      <c r="A13" s="3633"/>
      <c r="B13" s="3688"/>
      <c r="C13" s="3692"/>
      <c r="D13" s="3679"/>
      <c r="E13" s="131" t="s">
        <v>1277</v>
      </c>
      <c r="F13" s="1754"/>
      <c r="G13" s="1754"/>
      <c r="H13" s="1754"/>
      <c r="I13" s="1370"/>
    </row>
    <row r="14" spans="1:12" ht="12.75">
      <c r="A14" s="3633" t="s">
        <v>1278</v>
      </c>
      <c r="B14" s="3688">
        <v>30</v>
      </c>
      <c r="C14" s="3691">
        <v>6</v>
      </c>
      <c r="D14" s="3679">
        <v>4</v>
      </c>
      <c r="E14" s="131" t="s">
        <v>1279</v>
      </c>
      <c r="F14" s="1754"/>
      <c r="G14" s="1754"/>
      <c r="H14" s="1754"/>
      <c r="I14" s="1370"/>
    </row>
    <row r="15" spans="1:12" ht="12.75">
      <c r="A15" s="3633"/>
      <c r="B15" s="3688"/>
      <c r="C15" s="3693"/>
      <c r="D15" s="3679"/>
      <c r="E15" s="131" t="s">
        <v>1280</v>
      </c>
      <c r="F15" s="1754"/>
      <c r="G15" s="1754"/>
      <c r="H15" s="1754"/>
      <c r="I15" s="1370"/>
    </row>
    <row r="16" spans="1:12" ht="12.75">
      <c r="A16" s="3633"/>
      <c r="B16" s="3688"/>
      <c r="C16" s="3692"/>
      <c r="D16" s="3679"/>
      <c r="E16" s="131" t="s">
        <v>1281</v>
      </c>
      <c r="F16" s="1754"/>
      <c r="G16" s="1754"/>
      <c r="H16" s="1754"/>
      <c r="I16" s="1370"/>
    </row>
    <row r="17" spans="1:36" ht="15">
      <c r="A17" s="1755" t="s">
        <v>1282</v>
      </c>
      <c r="B17" s="56"/>
      <c r="C17" s="132">
        <f>SUM(C5:C16)</f>
        <v>6</v>
      </c>
      <c r="D17" s="132">
        <f>SUM(D5:D16)</f>
        <v>4</v>
      </c>
      <c r="E17" s="129"/>
      <c r="F17" s="129"/>
      <c r="G17" s="129"/>
      <c r="H17" s="129"/>
      <c r="I17" s="129"/>
      <c r="K17" s="302"/>
      <c r="L17" s="302" t="s">
        <v>1283</v>
      </c>
      <c r="M17" s="302" t="s">
        <v>1284</v>
      </c>
    </row>
    <row r="18" spans="1:36" ht="31.9" customHeight="1" thickBot="1">
      <c r="A18" s="1756" t="s">
        <v>1285</v>
      </c>
      <c r="B18" s="1757"/>
      <c r="C18" s="133">
        <f>ROUND(C17/SUM(C17:D17),2)</f>
        <v>0.6</v>
      </c>
      <c r="D18" s="133">
        <f>1-C18</f>
        <v>0.4</v>
      </c>
      <c r="E18" s="3710" t="s">
        <v>2127</v>
      </c>
      <c r="F18" s="3711"/>
      <c r="G18" s="3711"/>
      <c r="H18" s="3711"/>
      <c r="I18" s="3711"/>
      <c r="K18" s="302" t="s">
        <v>1286</v>
      </c>
      <c r="L18" s="302">
        <f>IF(C1="",'数据-汇总表'!E3,SUMIF(项目类型,C1,'数据-汇总表'!E17:E26)+SUMIF(项目类型,C1,'数据-汇总表'!I17:I26))</f>
        <v>29.05</v>
      </c>
      <c r="M18" s="302">
        <f>IF(C1="",'数据-汇总表'!E3,SUMIF(项目类型,C1,'数据-汇总表'!E17:E26))</f>
        <v>29.05</v>
      </c>
    </row>
    <row r="19" spans="1:36" ht="15">
      <c r="A19" s="1758" t="s">
        <v>1287</v>
      </c>
      <c r="B19" s="1759" t="s">
        <v>1288</v>
      </c>
      <c r="C19" s="134">
        <f ca="1">SUMIF(INDIRECT("'"&amp;C4&amp;"'"&amp;"!A:A"),结果表车库!B19,INDIRECT("'"&amp;C4&amp;"'"&amp;"!B:B"))</f>
        <v>14</v>
      </c>
      <c r="D19" s="135">
        <f ca="1">SUMIF(INDIRECT("'"&amp;D4&amp;"'"&amp;"!A:A"),结果表车库!B19,INDIRECT("'"&amp;D4&amp;"'"&amp;"!B:B"))</f>
        <v>8.3164999999999996</v>
      </c>
      <c r="E19" s="1758" t="s">
        <v>1289</v>
      </c>
      <c r="F19" s="1759" t="s">
        <v>1288</v>
      </c>
      <c r="G19" s="136">
        <f ca="1">ROUND(C19*$C$18+D19*$D$18,0)</f>
        <v>12</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SUMIF(INDIRECT("'"&amp;C4&amp;"'"&amp;"!A:A"),结果表车库!B20,INDIRECT("'"&amp;C4&amp;"'"&amp;"!B:B"))</f>
        <v>4819</v>
      </c>
      <c r="D20" s="138">
        <f ca="1">SUMIF(INDIRECT("'"&amp;D4&amp;"'"&amp;"!A:A"),结果表车库!B20,INDIRECT("'"&amp;D4&amp;"'"&amp;"!B:B"))</f>
        <v>2863</v>
      </c>
      <c r="E20" s="1761"/>
      <c r="F20" s="1024" t="s">
        <v>1292</v>
      </c>
      <c r="G20" s="139">
        <f ca="1">ROUND(C20*$C$18+D20*$D$18,0)</f>
        <v>4037</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0.68340046894727369</v>
      </c>
      <c r="E22" s="129"/>
      <c r="F22" s="129"/>
      <c r="G22" s="129"/>
      <c r="H22" s="129"/>
      <c r="I22" s="129"/>
    </row>
    <row r="23" spans="1:36" ht="13.5" thickBot="1">
      <c r="A23" s="1744"/>
      <c r="B23" s="1744"/>
      <c r="C23" s="1744"/>
      <c r="D23" s="1744"/>
      <c r="E23" s="129"/>
      <c r="F23" s="129"/>
      <c r="G23" s="129"/>
      <c r="H23" s="129"/>
      <c r="I23" s="129"/>
    </row>
    <row r="24" spans="1:36" ht="14.25">
      <c r="A24" s="3703" t="s">
        <v>1296</v>
      </c>
      <c r="B24" s="1759" t="s">
        <v>1288</v>
      </c>
      <c r="C24" s="136">
        <f>IF(B30=0,0,D30)</f>
        <v>0</v>
      </c>
      <c r="D24" s="1766"/>
      <c r="E24" s="129"/>
      <c r="F24" s="129"/>
      <c r="G24" s="129"/>
      <c r="H24" s="129"/>
      <c r="I24" s="129"/>
    </row>
    <row r="25" spans="1:36" ht="14.25">
      <c r="A25" s="3704"/>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4037</v>
      </c>
      <c r="D32" s="1772" t="s">
        <v>3892</v>
      </c>
      <c r="E32" s="129"/>
      <c r="F32" s="129"/>
      <c r="G32" s="129"/>
      <c r="H32" s="129"/>
      <c r="I32" s="129"/>
    </row>
    <row r="33" spans="1:15" ht="15">
      <c r="A33" s="785" t="s">
        <v>1303</v>
      </c>
      <c r="B33" s="1773"/>
      <c r="C33" s="1774" t="s">
        <v>4090</v>
      </c>
      <c r="D33" s="1775" t="s">
        <v>3855</v>
      </c>
      <c r="E33" s="1776" t="s">
        <v>1304</v>
      </c>
      <c r="F33" s="1777" t="str">
        <f>IF(D32="楼面单价","取值（单价）","取值（总价）")</f>
        <v>取值（单价）</v>
      </c>
      <c r="G33" s="129"/>
      <c r="H33" s="129"/>
      <c r="I33" s="129"/>
    </row>
    <row r="34" spans="1:15" ht="15">
      <c r="A34" s="1778"/>
      <c r="B34" s="1779" t="s">
        <v>1305</v>
      </c>
      <c r="C34" s="148">
        <f ca="1">IF(C33="自定义",F34,C32-C35)</f>
        <v>-5995</v>
      </c>
      <c r="D34" s="860">
        <f ca="1">IF(C33="自定义",ROUND(C34/C32,3),IF(C33="收益比率",SUMIF(INDIRECT("'"&amp;D33&amp;"'"&amp;"!b:b"),"土地收益比率",INDIRECT("'"&amp;D33&amp;"'"&amp;"!c:c")),SUMIF(INDIRECT("'"&amp;D33&amp;"'"&amp;"!b:b"),"土地成本比率",INDIRECT("'"&amp;D33&amp;"'"&amp;"!c:c"))))</f>
        <v>-1.4849999999999999</v>
      </c>
      <c r="E34" s="1780" t="s">
        <v>1306</v>
      </c>
      <c r="F34" s="1327"/>
      <c r="G34" s="129"/>
      <c r="H34" s="129"/>
      <c r="I34" s="129"/>
    </row>
    <row r="35" spans="1:15" ht="15.75" thickBot="1">
      <c r="A35" s="1781"/>
      <c r="B35" s="1782" t="s">
        <v>1307</v>
      </c>
      <c r="C35" s="1168">
        <f ca="1">IF(C33="自定义",F35,ROUND(C32*D35,0))</f>
        <v>10032</v>
      </c>
      <c r="D35" s="1169">
        <f ca="1">IF(C33="自定义",ROUND(C35/C32,3),IF(C33="收益比率",SUMIF(INDIRECT("'"&amp;D33&amp;"'"&amp;"!b:b"),"建筑物收益比率",INDIRECT("'"&amp;D33&amp;"'"&amp;"!c:c")),SUMIF(INDIRECT("'"&amp;D33&amp;"'"&amp;"!b:b"),"建筑物成本比率",INDIRECT("'"&amp;D33&amp;"'"&amp;"!c:c"))))</f>
        <v>2.4849999999999999</v>
      </c>
      <c r="E35" s="1783" t="s">
        <v>1308</v>
      </c>
      <c r="F35" s="154"/>
      <c r="G35" s="129"/>
      <c r="H35" s="129"/>
      <c r="I35" s="129"/>
    </row>
    <row r="36" spans="1:15" ht="15.75" thickBot="1">
      <c r="A36" s="3680" t="s">
        <v>1309</v>
      </c>
      <c r="B36" s="1784" t="s">
        <v>1310</v>
      </c>
      <c r="C36" s="145"/>
      <c r="D36" s="1785"/>
      <c r="E36" s="1786"/>
      <c r="F36" s="1787"/>
      <c r="G36" s="129"/>
      <c r="H36" s="129"/>
      <c r="I36" s="129"/>
    </row>
    <row r="37" spans="1:15" ht="15.75" thickBot="1">
      <c r="A37" s="3681"/>
      <c r="B37" s="1671" t="s">
        <v>1311</v>
      </c>
      <c r="C37" s="147"/>
      <c r="D37" s="1137"/>
      <c r="E37" s="1137"/>
      <c r="F37" s="1787"/>
      <c r="G37" s="129"/>
      <c r="H37" s="129"/>
      <c r="I37" s="129"/>
    </row>
    <row r="38" spans="1:15" ht="15.75" thickBot="1">
      <c r="A38" s="3682"/>
      <c r="B38" s="1788" t="s">
        <v>1312</v>
      </c>
      <c r="C38" s="673"/>
      <c r="D38" s="1789" t="s">
        <v>1313</v>
      </c>
      <c r="E38" s="1137"/>
      <c r="F38" s="1787"/>
      <c r="G38" s="129"/>
      <c r="H38" s="129"/>
      <c r="I38" s="129"/>
    </row>
    <row r="39" spans="1:15" ht="15">
      <c r="A39" s="1761" t="s">
        <v>1314</v>
      </c>
      <c r="B39" s="1790" t="s">
        <v>1315</v>
      </c>
      <c r="C39" s="1791" t="s">
        <v>1299</v>
      </c>
      <c r="D39" s="1791" t="s">
        <v>1317</v>
      </c>
      <c r="E39" s="1792" t="s">
        <v>1300</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700" t="s">
        <v>1323</v>
      </c>
      <c r="B45" s="3701"/>
      <c r="C45" s="3702"/>
      <c r="D45" s="155">
        <f ca="1">'典型户型修正-车库'!S22</f>
        <v>964</v>
      </c>
      <c r="E45" s="156" t="s">
        <v>1324</v>
      </c>
      <c r="F45" s="157">
        <v>1</v>
      </c>
      <c r="G45" s="158" t="s">
        <v>1325</v>
      </c>
      <c r="H45" s="129"/>
      <c r="I45" s="129"/>
      <c r="J45" s="3620" t="s">
        <v>1326</v>
      </c>
      <c r="K45" s="3620"/>
      <c r="L45" s="3620"/>
      <c r="M45" s="3620"/>
      <c r="N45" s="3620"/>
      <c r="O45" s="3620"/>
    </row>
    <row r="46" spans="1:15" ht="14.25" customHeight="1">
      <c r="A46" s="3697" t="s">
        <v>1327</v>
      </c>
      <c r="B46" s="3698"/>
      <c r="C46" s="3698"/>
      <c r="D46" s="3698"/>
      <c r="E46" s="3698"/>
      <c r="F46" s="3698"/>
      <c r="G46" s="3699"/>
      <c r="H46" s="1803"/>
      <c r="I46" s="159"/>
      <c r="J46" s="3458">
        <v>1</v>
      </c>
      <c r="K46" s="3621" t="s">
        <v>1328</v>
      </c>
      <c r="L46" s="3621"/>
      <c r="M46" s="3622"/>
      <c r="N46" s="3622"/>
      <c r="O46" s="3622"/>
    </row>
    <row r="47" spans="1:15" ht="12" customHeight="1">
      <c r="A47" s="160" t="s">
        <v>1329</v>
      </c>
      <c r="B47" s="161"/>
      <c r="C47" s="162"/>
      <c r="D47" s="1085" t="s">
        <v>1330</v>
      </c>
      <c r="E47" s="302" t="s">
        <v>1331</v>
      </c>
      <c r="F47" s="163" t="s">
        <v>1332</v>
      </c>
      <c r="G47" s="2541" t="s">
        <v>1333</v>
      </c>
      <c r="H47" s="2542"/>
      <c r="I47" s="159"/>
      <c r="J47" s="3458">
        <v>2</v>
      </c>
      <c r="K47" s="3621" t="s">
        <v>1334</v>
      </c>
      <c r="L47" s="3621"/>
      <c r="M47" s="3623">
        <f>'数据-取费表'!B2</f>
        <v>45216</v>
      </c>
      <c r="N47" s="3623"/>
      <c r="O47" s="3623"/>
    </row>
    <row r="48" spans="1:15" ht="25.5">
      <c r="A48" s="3683" t="s">
        <v>1335</v>
      </c>
      <c r="B48" s="3684"/>
      <c r="C48" s="3684"/>
      <c r="D48" s="3460">
        <f ca="1">IF(H48="情况1",0,IF(H48="情况2",D52,IF(H48="情况3",D53,IF(H48="情况4",D54))))</f>
        <v>50</v>
      </c>
      <c r="E48" s="3451" t="str">
        <f>IF(H48="情况4","(销售额-原购置价)×税（费）率","销售额×税（费）率")</f>
        <v>销售额×税（费）率</v>
      </c>
      <c r="F48" s="2543">
        <f>IF(H48="情况1","免征",'数据-取费表'!B41)</f>
        <v>5.5000000000000007E-2</v>
      </c>
      <c r="G48" s="2544" t="s">
        <v>1336</v>
      </c>
      <c r="H48" s="2545" t="s">
        <v>4087</v>
      </c>
      <c r="I48" s="1803"/>
      <c r="J48" s="3458">
        <v>3</v>
      </c>
      <c r="K48" s="3621" t="s">
        <v>1337</v>
      </c>
      <c r="L48" s="3621"/>
      <c r="M48" s="3624">
        <f ca="1">'典型户型修正-车库'!S22</f>
        <v>964</v>
      </c>
      <c r="N48" s="3624"/>
      <c r="O48" s="3624"/>
    </row>
    <row r="49" spans="1:35" ht="25.5" customHeight="1">
      <c r="A49" s="3455" t="s">
        <v>1338</v>
      </c>
      <c r="B49" s="3669" t="s">
        <v>1339</v>
      </c>
      <c r="C49" s="3669"/>
      <c r="D49" s="1587">
        <v>0</v>
      </c>
      <c r="E49" s="324" t="s">
        <v>1340</v>
      </c>
      <c r="F49" s="3445" t="s">
        <v>28</v>
      </c>
      <c r="G49" s="3652"/>
      <c r="H49" s="2305" t="s">
        <v>2130</v>
      </c>
      <c r="I49" s="2306"/>
      <c r="J49" s="3458">
        <v>4</v>
      </c>
      <c r="K49" s="3621" t="str">
        <f>IF(项目基本情况!E8="房地产抵押价值","房地产抵押价值","抵押担保权已注销时的房地产抵押价值")</f>
        <v>房地产抵押价值</v>
      </c>
      <c r="L49" s="3621"/>
      <c r="M49" s="3624">
        <f ca="1">M48</f>
        <v>964</v>
      </c>
      <c r="N49" s="3624"/>
      <c r="O49" s="3624"/>
    </row>
    <row r="50" spans="1:35" ht="25.5" customHeight="1">
      <c r="A50" s="2546"/>
      <c r="B50" s="3669" t="s">
        <v>1341</v>
      </c>
      <c r="C50" s="3669"/>
      <c r="D50" s="2547"/>
      <c r="E50" s="332"/>
      <c r="F50" s="3445"/>
      <c r="G50" s="3653"/>
      <c r="H50" s="2307" t="s">
        <v>2131</v>
      </c>
      <c r="I50" s="2306"/>
      <c r="J50" s="3620" t="s">
        <v>1342</v>
      </c>
      <c r="K50" s="3620"/>
      <c r="L50" s="3620"/>
      <c r="M50" s="3620"/>
      <c r="N50" s="3620"/>
      <c r="O50" s="3620"/>
    </row>
    <row r="51" spans="1:35" ht="20.45" customHeight="1">
      <c r="A51" s="2548"/>
      <c r="B51" s="3669" t="s">
        <v>1343</v>
      </c>
      <c r="C51" s="3669"/>
      <c r="D51" s="1085"/>
      <c r="E51" s="327"/>
      <c r="F51" s="3445"/>
      <c r="G51" s="3654"/>
      <c r="H51" s="2307" t="s">
        <v>2132</v>
      </c>
      <c r="I51" s="2306"/>
      <c r="J51" s="3457" t="s">
        <v>1344</v>
      </c>
      <c r="K51" s="3621" t="s">
        <v>1345</v>
      </c>
      <c r="L51" s="3621"/>
      <c r="M51" s="3457" t="s">
        <v>1346</v>
      </c>
      <c r="N51" s="3457" t="s">
        <v>1347</v>
      </c>
      <c r="O51" s="3457" t="s">
        <v>1348</v>
      </c>
    </row>
    <row r="52" spans="1:35" ht="24" customHeight="1">
      <c r="A52" s="3450" t="s">
        <v>1349</v>
      </c>
      <c r="B52" s="3669" t="s">
        <v>1350</v>
      </c>
      <c r="C52" s="3669"/>
      <c r="D52" s="1085">
        <f ca="1">ROUND(D45*'数据-取费表'!B41/(1+'数据-取费表'!C42),0)</f>
        <v>50</v>
      </c>
      <c r="E52" s="3451" t="s">
        <v>1351</v>
      </c>
      <c r="F52" s="2549">
        <f>'数据-取费表'!B41</f>
        <v>5.5000000000000007E-2</v>
      </c>
      <c r="G52" s="2550"/>
      <c r="H52" s="2539"/>
      <c r="I52" s="1804"/>
      <c r="J52" s="3458">
        <v>1</v>
      </c>
      <c r="K52" s="3646" t="s">
        <v>1352</v>
      </c>
      <c r="L52" s="3646"/>
      <c r="M52" s="2520">
        <f ca="1">D48</f>
        <v>50</v>
      </c>
      <c r="N52" s="3458" t="str">
        <f>E48</f>
        <v>销售额×税（费）率</v>
      </c>
      <c r="O52" s="2521">
        <f>F48</f>
        <v>5.5000000000000007E-2</v>
      </c>
    </row>
    <row r="53" spans="1:35" ht="12" customHeight="1">
      <c r="A53" s="3450" t="s">
        <v>1353</v>
      </c>
      <c r="B53" s="3670" t="s">
        <v>2287</v>
      </c>
      <c r="C53" s="3671"/>
      <c r="D53" s="1085">
        <f ca="1">ROUND(D45*'数据-取费表'!B41/(1+'数据-取费表'!C42),0)</f>
        <v>50</v>
      </c>
      <c r="E53" s="3451" t="s">
        <v>1351</v>
      </c>
      <c r="F53" s="2549">
        <f>'数据-取费表'!B41</f>
        <v>5.5000000000000007E-2</v>
      </c>
      <c r="G53" s="2550"/>
      <c r="H53" s="2539"/>
      <c r="I53" s="1804"/>
      <c r="J53" s="3458">
        <v>2</v>
      </c>
      <c r="K53" s="3646" t="s">
        <v>1354</v>
      </c>
      <c r="L53" s="3646"/>
      <c r="M53" s="2520">
        <f t="shared" ref="M53:O54" ca="1" si="0">D55</f>
        <v>0</v>
      </c>
      <c r="N53" s="3458" t="str">
        <f t="shared" si="0"/>
        <v>销售额×税（费）率</v>
      </c>
      <c r="O53" s="2521">
        <f t="shared" si="0"/>
        <v>5.0000000000000001E-4</v>
      </c>
    </row>
    <row r="54" spans="1:35" ht="12" customHeight="1">
      <c r="A54" s="3450" t="s">
        <v>1355</v>
      </c>
      <c r="B54" s="3670" t="s">
        <v>2288</v>
      </c>
      <c r="C54" s="3671"/>
      <c r="D54" s="1085">
        <f ca="1">C68</f>
        <v>50</v>
      </c>
      <c r="E54" s="327" t="s">
        <v>1356</v>
      </c>
      <c r="F54" s="2549">
        <f>'数据-取费表'!B41</f>
        <v>5.5000000000000007E-2</v>
      </c>
      <c r="G54" s="2550"/>
      <c r="H54" s="2551"/>
      <c r="I54" s="1804"/>
      <c r="J54" s="3458">
        <v>3</v>
      </c>
      <c r="K54" s="3646" t="s">
        <v>1357</v>
      </c>
      <c r="L54" s="3646"/>
      <c r="M54" s="2520">
        <f t="shared" ca="1" si="0"/>
        <v>264</v>
      </c>
      <c r="N54" s="3458" t="str">
        <f t="shared" si="0"/>
        <v>增值额×税（费）率</v>
      </c>
      <c r="O54" s="2522" t="str">
        <f t="shared" si="0"/>
        <v>——</v>
      </c>
    </row>
    <row r="55" spans="1:35" ht="24" customHeight="1">
      <c r="A55" s="3706" t="s">
        <v>1358</v>
      </c>
      <c r="B55" s="3684"/>
      <c r="C55" s="3684"/>
      <c r="D55" s="3460">
        <f ca="1">IF(H55="个人住宅",0,ROUND(D45*I55,0))</f>
        <v>0</v>
      </c>
      <c r="E55" s="3451" t="s">
        <v>1359</v>
      </c>
      <c r="F55" s="2549">
        <f>IF(H55="正常",I55,"免征")</f>
        <v>5.0000000000000001E-4</v>
      </c>
      <c r="G55" s="2550"/>
      <c r="H55" s="2545" t="s">
        <v>3862</v>
      </c>
      <c r="I55" s="165">
        <f>'数据-取费表'!B49</f>
        <v>5.0000000000000001E-4</v>
      </c>
      <c r="J55" s="3458" t="str">
        <f>IF(H59="非个人房产","",4)</f>
        <v/>
      </c>
      <c r="K55" s="3646" t="str">
        <f>IF(H59="非个人房产","——","个人所得税")</f>
        <v>——</v>
      </c>
      <c r="L55" s="3646"/>
      <c r="M55" s="2523" t="str">
        <f>D59</f>
        <v>——</v>
      </c>
      <c r="N55" s="3459" t="str">
        <f>E59</f>
        <v>——</v>
      </c>
      <c r="O55" s="2524" t="str">
        <f>F59</f>
        <v>——</v>
      </c>
    </row>
    <row r="56" spans="1:35" ht="24.75">
      <c r="A56" s="3706" t="s">
        <v>1360</v>
      </c>
      <c r="B56" s="3684"/>
      <c r="C56" s="3684"/>
      <c r="D56" s="3460">
        <f ca="1">IF(H56="个人住宅",D57,D58)</f>
        <v>264</v>
      </c>
      <c r="E56" s="3451" t="s">
        <v>1361</v>
      </c>
      <c r="F56" s="2549" t="str">
        <f>IF(H56="正常",F58,"免征")</f>
        <v>——</v>
      </c>
      <c r="G56" s="2552" t="s">
        <v>1362</v>
      </c>
      <c r="H56" s="2553" t="s">
        <v>3862</v>
      </c>
      <c r="I56" s="1805"/>
      <c r="J56" s="3458" t="str">
        <f>IF(项目基本情况!K6="上海银行",IF(J55="",4,J55+1),"")</f>
        <v/>
      </c>
      <c r="K56" s="3627" t="str">
        <f>IF(项目基本情况!K6="上海银行","其他处置费用","")</f>
        <v/>
      </c>
      <c r="L56" s="3628"/>
      <c r="M56" s="2520" t="str">
        <f>IF(项目基本情况!K6="上海银行",M69,"")</f>
        <v/>
      </c>
      <c r="N56" s="3627" t="str">
        <f>IF(项目基本情况!K6="上海银行","包含处置中涉及的律师、诉讼、拍卖、评估等费用","")</f>
        <v/>
      </c>
      <c r="O56" s="3630"/>
    </row>
    <row r="57" spans="1:35" ht="12.75">
      <c r="A57" s="3450" t="s">
        <v>1338</v>
      </c>
      <c r="B57" s="3670" t="s">
        <v>1363</v>
      </c>
      <c r="C57" s="3671"/>
      <c r="D57" s="1587">
        <v>0</v>
      </c>
      <c r="E57" s="324" t="s">
        <v>1340</v>
      </c>
      <c r="F57" s="302"/>
      <c r="G57" s="2550"/>
      <c r="H57" s="2554"/>
      <c r="I57" s="1805"/>
      <c r="J57" s="3646">
        <f>IF(AND(J55="",J56=""),4,IF(项目基本情况!K6="上海银行",结果表车库!J56+1,结果表车库!J55+1))</f>
        <v>4</v>
      </c>
      <c r="K57" s="3646" t="s">
        <v>1364</v>
      </c>
      <c r="L57" s="2525" t="s">
        <v>1365</v>
      </c>
      <c r="M57" s="2526"/>
      <c r="N57" s="2527">
        <f ca="1">SUMIF(M52:M56,"&lt;9e307")</f>
        <v>314</v>
      </c>
      <c r="O57" s="2528"/>
      <c r="P57" s="2685">
        <f ca="1">N57/M49</f>
        <v>0.32572614107883818</v>
      </c>
    </row>
    <row r="58" spans="1:35" ht="24.75">
      <c r="A58" s="3450" t="s">
        <v>1349</v>
      </c>
      <c r="B58" s="3670" t="s">
        <v>1366</v>
      </c>
      <c r="C58" s="3669"/>
      <c r="D58" s="3460">
        <f ca="1">IF(H58="转让取得",C81,C97)</f>
        <v>264</v>
      </c>
      <c r="E58" s="3451" t="s">
        <v>1361</v>
      </c>
      <c r="F58" s="302" t="s">
        <v>28</v>
      </c>
      <c r="G58" s="2550"/>
      <c r="H58" s="2553" t="s">
        <v>4088</v>
      </c>
      <c r="I58" s="1805"/>
      <c r="J58" s="3646"/>
      <c r="K58" s="3646"/>
      <c r="L58" s="2525" t="s">
        <v>1367</v>
      </c>
      <c r="M58" s="2529"/>
      <c r="N58" s="2530" t="str">
        <f ca="1">NUMBERSTRING(INT(N57*10000),2)&amp;"元整"</f>
        <v>叁佰壹拾肆万元整</v>
      </c>
      <c r="O58" s="2531"/>
    </row>
    <row r="59" spans="1:35" ht="24.75" thickBot="1">
      <c r="A59" s="3650" t="s">
        <v>1368</v>
      </c>
      <c r="B59" s="3651"/>
      <c r="C59" s="3651"/>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09" t="s">
        <v>4089</v>
      </c>
      <c r="I59" s="2308" t="s">
        <v>2133</v>
      </c>
      <c r="J59" s="3648">
        <f>J57+1</f>
        <v>5</v>
      </c>
      <c r="K59" s="3646" t="s">
        <v>1369</v>
      </c>
      <c r="L59" s="3458" t="s">
        <v>1365</v>
      </c>
      <c r="M59" s="2532"/>
      <c r="N59" s="2533">
        <f ca="1">M49-N57</f>
        <v>650</v>
      </c>
      <c r="O59" s="2534"/>
      <c r="P59" s="724">
        <f ca="1">N59*10000/二期车位清单!E81</f>
        <v>2724.8870219919354</v>
      </c>
    </row>
    <row r="60" spans="1:35" ht="12" customHeight="1">
      <c r="A60" s="1806"/>
      <c r="B60" s="1744"/>
      <c r="C60" s="1744"/>
      <c r="D60" s="1744"/>
      <c r="E60" s="1575"/>
      <c r="F60" s="1805"/>
      <c r="G60" s="1805"/>
      <c r="H60" s="1807"/>
      <c r="I60" s="129"/>
      <c r="J60" s="3649"/>
      <c r="K60" s="3646"/>
      <c r="L60" s="2525" t="s">
        <v>1367</v>
      </c>
      <c r="M60" s="2529"/>
      <c r="N60" s="2530" t="str">
        <f ca="1">NUMBERSTRING(INT(N59*10000),2)&amp;"元整"</f>
        <v>陆佰伍拾万元整</v>
      </c>
      <c r="O60" s="2531"/>
    </row>
    <row r="61" spans="1:35" ht="13.5" thickBot="1">
      <c r="A61" s="3705" t="s">
        <v>1370</v>
      </c>
      <c r="B61" s="3705"/>
      <c r="C61" s="3705"/>
      <c r="D61" s="3705"/>
      <c r="E61" s="3705"/>
      <c r="F61" s="1805"/>
      <c r="G61" s="1805"/>
      <c r="H61" s="1807"/>
      <c r="I61" s="129"/>
      <c r="J61" s="3458">
        <f>J59+1</f>
        <v>6</v>
      </c>
      <c r="K61" s="3646" t="s">
        <v>1371</v>
      </c>
      <c r="L61" s="3646"/>
      <c r="M61" s="2535"/>
      <c r="N61" s="2536">
        <f ca="1">ROUND(N59*10000/'数据-汇总表'!E3,0)</f>
        <v>56015</v>
      </c>
      <c r="O61" s="2537"/>
    </row>
    <row r="62" spans="1:35" ht="12.75">
      <c r="A62" s="3665" t="s">
        <v>1372</v>
      </c>
      <c r="B62" s="3666"/>
      <c r="C62" s="3454"/>
      <c r="D62" s="3454" t="s">
        <v>1373</v>
      </c>
      <c r="E62" s="166" t="s">
        <v>1374</v>
      </c>
      <c r="F62" s="1805"/>
      <c r="G62" s="1805"/>
      <c r="H62" s="1807"/>
      <c r="I62" s="129"/>
    </row>
    <row r="63" spans="1:35" ht="12.75">
      <c r="A63" s="173" t="s">
        <v>330</v>
      </c>
      <c r="B63" s="167" t="s">
        <v>1375</v>
      </c>
      <c r="C63" s="2559">
        <f ca="1">ROUND((C64+C65)/(1+'数据-取费表'!C42),0)</f>
        <v>918</v>
      </c>
      <c r="D63" s="167"/>
      <c r="E63" s="168"/>
      <c r="F63" s="1805"/>
      <c r="G63" s="1805"/>
      <c r="H63" s="1807"/>
      <c r="I63" s="129"/>
      <c r="J63" s="3629" t="s">
        <v>1376</v>
      </c>
      <c r="K63" s="3461" t="s">
        <v>1377</v>
      </c>
      <c r="L63" s="3461">
        <f ca="1">IF(M49&gt;10000,M49*0.5%,IF(AND(M49&gt;1000,M49&lt;=10000),M49*1%,IF(AND(M49&gt;100,M49&lt;=1000),M49*3%,IF(AND(M49&gt;10,M49&lt;=100),M49*5%,M49*8%))))</f>
        <v>28.919999999999998</v>
      </c>
      <c r="M63" s="302">
        <f ca="1">ROUND(L63,1)</f>
        <v>28.9</v>
      </c>
      <c r="N63" s="2538"/>
      <c r="Z63" s="1749"/>
      <c r="AI63" s="1750"/>
    </row>
    <row r="64" spans="1:35" ht="14.25" customHeight="1">
      <c r="A64" s="169" t="s">
        <v>325</v>
      </c>
      <c r="B64" s="170" t="s">
        <v>1378</v>
      </c>
      <c r="C64" s="2560">
        <f ca="1">D45</f>
        <v>964</v>
      </c>
      <c r="D64" s="170" t="s">
        <v>26</v>
      </c>
      <c r="E64" s="172"/>
      <c r="F64" s="1805"/>
      <c r="G64" s="1805"/>
      <c r="H64" s="1807"/>
      <c r="I64" s="129"/>
      <c r="J64" s="3629"/>
      <c r="K64" s="3461" t="s">
        <v>1379</v>
      </c>
      <c r="L64" s="3461">
        <f ca="1">IF(M49&gt;2000,M49*0.5%,IF(AND(M49&gt;1000,M49&lt;=2000),M49*0.6%,IF(AND(M49&gt;500,M49&lt;=1000),M49*0.7%,IF(AND(M49&gt;200,M49&lt;=500),M49*0.8%,IF(AND(M49&gt;100,M49&lt;=200),M49*0.9%,IF(AND(M49&gt;50,M49&lt;=100),M49*1%,IF(AND(M49&gt;20,M49&lt;=50),M49*1.5%,IF(AND(M49&gt;10,M49&lt;=20),M49*2%,IF(AND(M49&gt;1,M49&lt;=10),M49*2.5%)))))))))</f>
        <v>6.7479999999999993</v>
      </c>
      <c r="M64" s="302">
        <f t="shared" ref="M64:M65" ca="1" si="1">ROUND(L64,1)</f>
        <v>6.7</v>
      </c>
      <c r="N64" s="2539" t="s">
        <v>1380</v>
      </c>
      <c r="Z64" s="1749"/>
      <c r="AI64" s="1750"/>
    </row>
    <row r="65" spans="1:35" ht="14.25" customHeight="1">
      <c r="A65" s="169" t="s">
        <v>326</v>
      </c>
      <c r="B65" s="170" t="s">
        <v>1381</v>
      </c>
      <c r="C65" s="2561"/>
      <c r="D65" s="170"/>
      <c r="E65" s="172"/>
      <c r="F65" s="1805"/>
      <c r="G65" s="1805"/>
      <c r="H65" s="1807"/>
      <c r="I65" s="129"/>
      <c r="J65" s="3629"/>
      <c r="K65" s="3461" t="s">
        <v>1382</v>
      </c>
      <c r="L65" s="3461">
        <f ca="1">IF(M49&gt;1000,M49*0.1%,IF(AND(M49&gt;500,M49&lt;=1000),M49*0.5%,IF(AND(M49&gt;50,M49&lt;=500),M49*1%,IF(AND(M49&gt;1,M49&lt;=50),M49*1.5%))))</f>
        <v>4.82</v>
      </c>
      <c r="M65" s="302">
        <f t="shared" ca="1" si="1"/>
        <v>4.8</v>
      </c>
      <c r="N65" s="2539" t="s">
        <v>1380</v>
      </c>
      <c r="Z65" s="1749"/>
      <c r="AI65" s="1750"/>
    </row>
    <row r="66" spans="1:35" ht="14.25" customHeight="1">
      <c r="A66" s="173" t="s">
        <v>327</v>
      </c>
      <c r="B66" s="174" t="s">
        <v>1383</v>
      </c>
      <c r="C66" s="2562"/>
      <c r="D66" s="174" t="s">
        <v>26</v>
      </c>
      <c r="E66" s="1335" t="s">
        <v>668</v>
      </c>
      <c r="F66" s="1805"/>
      <c r="G66" s="1805"/>
      <c r="H66" s="1807"/>
      <c r="I66" s="129"/>
      <c r="J66" s="3629"/>
      <c r="K66" s="3461" t="s">
        <v>1384</v>
      </c>
      <c r="L66" s="3461">
        <f ca="1">M49*0.5%</f>
        <v>4.82</v>
      </c>
      <c r="M66" s="302">
        <f ca="1">IF(L66&gt;0.5,0.5,ROUND(L66,0))</f>
        <v>0.5</v>
      </c>
      <c r="N66" s="2539" t="s">
        <v>1385</v>
      </c>
      <c r="Z66" s="1749"/>
      <c r="AI66" s="1750"/>
    </row>
    <row r="67" spans="1:35" ht="14.25" customHeight="1">
      <c r="A67" s="173" t="s">
        <v>328</v>
      </c>
      <c r="B67" s="174" t="s">
        <v>1386</v>
      </c>
      <c r="C67" s="2563">
        <f ca="1">C63-C66</f>
        <v>918</v>
      </c>
      <c r="D67" s="170" t="s">
        <v>26</v>
      </c>
      <c r="E67" s="172"/>
      <c r="F67" s="1805"/>
      <c r="G67" s="1805"/>
      <c r="H67" s="1807"/>
      <c r="I67" s="129"/>
      <c r="J67" s="3629"/>
      <c r="K67" s="3461" t="s">
        <v>1387</v>
      </c>
      <c r="L67" s="3461">
        <f ca="1">IF(M49&gt;=10000,(8.25+(M49-10000)*0.01%),IF(AND(M49&gt;=8000,M49&lt;10000),(7.85+(M49-8000)*0.02%),IF(AND(M49&gt;=5000,M49&lt;8000),(6.65+(M49-5000)*0.04%),IF(AND(M49&gt;=2000,M49&lt;5000),(4.25+(PM49-2000)*0.08%),IF(AND(M49&gt;=1000,M49&lt;2000),(2.75+(M49-1000)*0.15%),IF(AND(M49&gt;=100,M49&lt;1000),(0.5+(M49-100)*0.25%),IF(AND(M49&gt;0,M49&lt;100),M49*0.5%)))))))</f>
        <v>2.66</v>
      </c>
      <c r="M67" s="302">
        <f ca="1">ROUND(L67*0.9,1)</f>
        <v>2.4</v>
      </c>
      <c r="N67" s="2538"/>
      <c r="Z67" s="1749"/>
      <c r="AI67" s="1750"/>
    </row>
    <row r="68" spans="1:35" ht="14.25" customHeight="1" thickBot="1">
      <c r="A68" s="176" t="s">
        <v>329</v>
      </c>
      <c r="B68" s="177" t="s">
        <v>1388</v>
      </c>
      <c r="C68" s="2564">
        <f ca="1">IF(C67&lt;=0,0,ROUND(C67*D68,0))</f>
        <v>50</v>
      </c>
      <c r="D68" s="2565">
        <f>'数据-取费表'!B41</f>
        <v>5.5000000000000007E-2</v>
      </c>
      <c r="E68" s="178"/>
      <c r="F68" s="1805"/>
      <c r="G68" s="1805"/>
      <c r="H68" s="1807"/>
      <c r="I68" s="129"/>
      <c r="J68" s="3629"/>
      <c r="K68" s="3461" t="s">
        <v>1389</v>
      </c>
      <c r="L68" s="3461">
        <f ca="1">IF(M49&gt;10000,M49*0.5%,IF(AND(M49&gt;5000,M49&lt;=10000),M49*1%,IF(AND(M49&gt;1000,M49&lt;=5000),M49*2%,IF(AND(M49&gt;200,M49&lt;=1000),M49*3%,M49*5%))))</f>
        <v>28.919999999999998</v>
      </c>
      <c r="M68" s="302">
        <f ca="1">ROUND(L68,1)</f>
        <v>28.9</v>
      </c>
      <c r="N68" s="2538"/>
      <c r="Z68" s="1749"/>
      <c r="AI68" s="1750"/>
    </row>
    <row r="69" spans="1:35" s="1769" customFormat="1" ht="16.5" customHeight="1">
      <c r="A69" s="1808"/>
      <c r="B69" s="1809"/>
      <c r="C69" s="1810"/>
      <c r="D69" s="1811"/>
      <c r="E69" s="1812"/>
      <c r="F69" s="1575"/>
      <c r="G69" s="1575"/>
      <c r="H69" s="1574"/>
      <c r="I69" s="1744"/>
      <c r="J69" s="3629"/>
      <c r="K69" s="3461" t="s">
        <v>1390</v>
      </c>
      <c r="L69" s="3461"/>
      <c r="M69" s="302">
        <f ca="1">ROUND(SUM(M63:M68),0)</f>
        <v>72</v>
      </c>
      <c r="N69" s="2540">
        <f ca="1">M69/M49</f>
        <v>7.4688796680497924E-2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73" t="s">
        <v>1391</v>
      </c>
      <c r="B70" s="3674"/>
      <c r="C70" s="3674"/>
      <c r="D70" s="3674"/>
      <c r="E70" s="3674"/>
      <c r="F70" s="3674"/>
      <c r="G70" s="3674"/>
      <c r="H70" s="3674"/>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65" t="s">
        <v>1372</v>
      </c>
      <c r="B71" s="3666"/>
      <c r="C71" s="3454"/>
      <c r="D71" s="3454"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918</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5</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70" t="s">
        <v>1399</v>
      </c>
      <c r="F76" s="3669"/>
      <c r="G76" s="3669"/>
      <c r="H76" s="367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3460" t="s">
        <v>1401</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5</v>
      </c>
      <c r="D78" s="2572">
        <f>'数据-取费表'!B43</f>
        <v>5.000000000000001E-3</v>
      </c>
      <c r="E78" s="3662" t="s">
        <v>1403</v>
      </c>
      <c r="F78" s="3663"/>
      <c r="G78" s="3663"/>
      <c r="H78" s="366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1404</v>
      </c>
      <c r="C79" s="2563">
        <f ca="1">C72-C73</f>
        <v>913</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182.6</v>
      </c>
      <c r="D80" s="170"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546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73" t="s">
        <v>1407</v>
      </c>
      <c r="B83" s="3674"/>
      <c r="C83" s="3674"/>
      <c r="D83" s="3674"/>
      <c r="E83" s="3674"/>
      <c r="F83" s="3674"/>
      <c r="G83" s="3674"/>
      <c r="H83" s="367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65" t="s">
        <v>1372</v>
      </c>
      <c r="B84" s="3666"/>
      <c r="C84" s="3454"/>
      <c r="D84" s="3454"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918</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301.64289609999992</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176.64289609999992</v>
      </c>
      <c r="D87" s="2572"/>
      <c r="E87" s="3447"/>
      <c r="F87" s="3448"/>
      <c r="G87" s="3448"/>
      <c r="H87" s="3452"/>
      <c r="I87" s="1818">
        <v>19188</v>
      </c>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f>I88*二期车位清单!E81/10000</f>
        <v>171.64289609999992</v>
      </c>
      <c r="D88" s="2572"/>
      <c r="E88" s="193" t="s">
        <v>1410</v>
      </c>
      <c r="F88" s="3448"/>
      <c r="G88" s="194" t="s">
        <v>1411</v>
      </c>
      <c r="H88" s="1821" t="s">
        <v>4084</v>
      </c>
      <c r="I88" s="1818">
        <f>I87*0.15*0.25</f>
        <v>719.55</v>
      </c>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5</v>
      </c>
      <c r="D89" s="2572">
        <f>'数据-取费表'!B48+'数据-取费表'!B49</f>
        <v>3.0499999999999999E-2</v>
      </c>
      <c r="E89" s="193" t="s">
        <v>1412</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3448"/>
      <c r="G90" s="3631" t="s">
        <v>2125</v>
      </c>
      <c r="H90" s="3632"/>
      <c r="I90" s="1818">
        <f ca="1">'收益法 (元)'!H33</f>
        <v>4056.1101549053355</v>
      </c>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 ca="1">IF(H91="——",成本法!C33,I91)</f>
        <v>51</v>
      </c>
      <c r="D91" s="2572"/>
      <c r="E91" s="3662" t="s">
        <v>1416</v>
      </c>
      <c r="F91" s="3663"/>
      <c r="G91" s="3663"/>
      <c r="H91" s="1822" t="s">
        <v>43</v>
      </c>
      <c r="I91" s="1823">
        <f ca="1">I90*二期车位清单!E81/10000</f>
        <v>967.55262857142816</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 ca="1">ROUND((C87+C90+C91)*D92,0)</f>
        <v>23</v>
      </c>
      <c r="D92" s="2578">
        <v>0.1</v>
      </c>
      <c r="E92" s="3662" t="s">
        <v>1419</v>
      </c>
      <c r="F92" s="3663"/>
      <c r="G92" s="3663"/>
      <c r="H92" s="3664"/>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5</v>
      </c>
      <c r="D93" s="2572">
        <f>'数据-取费表'!B43</f>
        <v>5.000000000000001E-3</v>
      </c>
      <c r="E93" s="3662" t="s">
        <v>1403</v>
      </c>
      <c r="F93" s="3663"/>
      <c r="G93" s="3663"/>
      <c r="H93" s="366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 ca="1">ROUND((C87+C90+C91)*D94,0)</f>
        <v>46</v>
      </c>
      <c r="D94" s="2572">
        <v>0.2</v>
      </c>
      <c r="E94" s="3707" t="s">
        <v>1423</v>
      </c>
      <c r="F94" s="3708"/>
      <c r="G94" s="3708"/>
      <c r="H94" s="370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1404</v>
      </c>
      <c r="C95" s="2563">
        <f ca="1">ROUND(C85-C86,0)</f>
        <v>616</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2.0421498664957296</v>
      </c>
      <c r="D96" s="170"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264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12" t="s">
        <v>1425</v>
      </c>
      <c r="B100" s="3613"/>
      <c r="C100" s="3613"/>
      <c r="D100" s="3647"/>
      <c r="E100" s="3613" t="s">
        <v>1426</v>
      </c>
      <c r="F100" s="3613"/>
      <c r="G100" s="3613"/>
      <c r="H100" s="3647"/>
      <c r="I100" s="129"/>
    </row>
    <row r="101" spans="1:35" ht="18.75" customHeight="1">
      <c r="A101" s="3655" t="s">
        <v>1427</v>
      </c>
      <c r="B101" s="3656"/>
      <c r="C101" s="2580" t="str">
        <f>C4</f>
        <v>比较法-车位</v>
      </c>
      <c r="D101" s="2581" t="str">
        <f>D4</f>
        <v>收益法 (元)</v>
      </c>
      <c r="E101" s="3625" t="s">
        <v>1428</v>
      </c>
      <c r="F101" s="3626"/>
      <c r="G101" s="1824" t="s">
        <v>1429</v>
      </c>
      <c r="H101" s="2590">
        <f ca="1">H118</f>
        <v>12</v>
      </c>
      <c r="I101" s="129"/>
    </row>
    <row r="102" spans="1:35" ht="18.75" customHeight="1">
      <c r="A102" s="3657" t="s">
        <v>1430</v>
      </c>
      <c r="B102" s="2579" t="s">
        <v>1429</v>
      </c>
      <c r="C102" s="2580">
        <f ca="1">IF(D32="楼面单价",ROUND(C19,0),C19)</f>
        <v>14</v>
      </c>
      <c r="D102" s="2581">
        <f ca="1">IF(D32="楼面单价",ROUND(D19,0),D19)</f>
        <v>8</v>
      </c>
      <c r="E102" s="3625"/>
      <c r="F102" s="3626"/>
      <c r="G102" s="1824" t="s">
        <v>1431</v>
      </c>
      <c r="H102" s="2550">
        <f ca="1">I118</f>
        <v>4037</v>
      </c>
      <c r="I102" s="129"/>
    </row>
    <row r="103" spans="1:35" ht="42.75" customHeight="1">
      <c r="A103" s="3657"/>
      <c r="B103" s="2579" t="s">
        <v>1431</v>
      </c>
      <c r="C103" s="2582">
        <f ca="1">C20</f>
        <v>4819</v>
      </c>
      <c r="D103" s="2583">
        <f ca="1">D20</f>
        <v>2863</v>
      </c>
      <c r="E103" s="3618" t="s">
        <v>1432</v>
      </c>
      <c r="F103" s="3619"/>
      <c r="G103" s="1825" t="s">
        <v>1433</v>
      </c>
      <c r="H103" s="2590">
        <f>IF(D36="正常操作",H104+H105+H106,H105+H106)</f>
        <v>0</v>
      </c>
      <c r="I103" s="129"/>
    </row>
    <row r="104" spans="1:35" ht="18.75" customHeight="1">
      <c r="A104" s="3657" t="s">
        <v>1434</v>
      </c>
      <c r="B104" s="2584" t="s">
        <v>1429</v>
      </c>
      <c r="C104" s="2585">
        <f ca="1">H118</f>
        <v>12</v>
      </c>
      <c r="D104" s="2586"/>
      <c r="E104" s="1671" t="s">
        <v>1435</v>
      </c>
      <c r="F104" s="1663"/>
      <c r="G104" s="1825" t="s">
        <v>1433</v>
      </c>
      <c r="H104" s="2591">
        <f>IF(D36="同一抵押权人同一抵押物续贷",C36&amp;"（续贷，未扣减，详见特别提示）",C36)</f>
        <v>0</v>
      </c>
      <c r="I104" s="129"/>
    </row>
    <row r="105" spans="1:35" ht="18.75" customHeight="1" thickBot="1">
      <c r="A105" s="3667"/>
      <c r="B105" s="2587" t="s">
        <v>1431</v>
      </c>
      <c r="C105" s="2588">
        <f ca="1">I118</f>
        <v>4037</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8" t="str">
        <f>IF(项目基本情况!E8="已注销","——","3.房地产抵押价值")</f>
        <v>3.房地产抵押价值</v>
      </c>
      <c r="F107" s="3626"/>
      <c r="G107" s="1824" t="s">
        <v>1429</v>
      </c>
      <c r="H107" s="2590">
        <f ca="1">IF(E107="——","——",H101-H103)</f>
        <v>12</v>
      </c>
      <c r="I107" s="129"/>
    </row>
    <row r="108" spans="1:35" ht="18.75" customHeight="1">
      <c r="A108" s="129"/>
      <c r="B108" s="129"/>
      <c r="C108" s="129"/>
      <c r="D108" s="129"/>
      <c r="E108" s="3658"/>
      <c r="F108" s="3626"/>
      <c r="G108" s="1824" t="s">
        <v>1431</v>
      </c>
      <c r="H108" s="2550">
        <f ca="1">IF(H107=H101,H102,ROUND(H107*10000/'数据-汇总表'!E3,0))</f>
        <v>4037</v>
      </c>
      <c r="I108" s="129"/>
    </row>
    <row r="109" spans="1:35" ht="18.75" customHeight="1">
      <c r="A109" s="129"/>
      <c r="B109" s="129"/>
      <c r="C109" s="129"/>
      <c r="D109" s="129"/>
      <c r="E109" s="3658" t="str">
        <f>IF(项目基本情况!E8="已注销及未注销","4.抵押担保权已注销时的房地产抵押价值",IF(项目基本情况!E8="已注销","3.抵押担保权已注销时的房地产抵押价值","——"))</f>
        <v>——</v>
      </c>
      <c r="F109" s="3626"/>
      <c r="G109" s="1824" t="s">
        <v>1429</v>
      </c>
      <c r="H109" s="2593" t="str">
        <f>IF(E109="——","——",H101-H105-H106)</f>
        <v>——</v>
      </c>
      <c r="I109" s="129"/>
    </row>
    <row r="110" spans="1:35" ht="18.75" customHeight="1">
      <c r="A110" s="129"/>
      <c r="B110" s="129"/>
      <c r="C110" s="129"/>
      <c r="D110" s="129"/>
      <c r="E110" s="3658"/>
      <c r="F110" s="3626"/>
      <c r="G110" s="1824" t="s">
        <v>1431</v>
      </c>
      <c r="H110" s="2550"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4.抵押净值</v>
      </c>
      <c r="F111" s="3645"/>
      <c r="G111" s="1824" t="s">
        <v>1429</v>
      </c>
      <c r="H111" s="2590">
        <f ca="1">IF(E111="——","——",N59)</f>
        <v>650</v>
      </c>
      <c r="I111" s="129"/>
    </row>
    <row r="112" spans="1:35" ht="18.75" customHeight="1" thickBot="1">
      <c r="A112" s="129"/>
      <c r="B112" s="129"/>
      <c r="C112" s="129"/>
      <c r="D112" s="129"/>
      <c r="E112" s="3660"/>
      <c r="F112" s="3661"/>
      <c r="G112" s="1827" t="s">
        <v>1431</v>
      </c>
      <c r="H112" s="2594">
        <f ca="1">IF(E111="——","——",N61)</f>
        <v>56015</v>
      </c>
      <c r="I112" s="129"/>
    </row>
    <row r="113" spans="1:27" ht="18.75" customHeight="1">
      <c r="A113" s="129"/>
      <c r="B113" s="129"/>
      <c r="C113" s="129"/>
      <c r="D113" s="129"/>
      <c r="E113" s="3668" t="s">
        <v>1437</v>
      </c>
      <c r="F113" s="3668"/>
      <c r="G113" s="3668"/>
      <c r="H113" s="3668"/>
      <c r="I113" s="129"/>
    </row>
    <row r="114" spans="1:27" ht="3.75" customHeight="1">
      <c r="A114" s="1744"/>
      <c r="B114" s="1744"/>
      <c r="C114" s="1744"/>
      <c r="D114" s="1744"/>
      <c r="E114" s="1806"/>
      <c r="F114" s="1806"/>
      <c r="G114" s="1806"/>
      <c r="H114" s="1806"/>
      <c r="I114" s="1744"/>
    </row>
    <row r="115" spans="1:27" ht="18.75" customHeight="1">
      <c r="A115" s="3676" t="s">
        <v>1439</v>
      </c>
      <c r="B115" s="3677"/>
      <c r="C115" s="3677"/>
      <c r="D115" s="3677"/>
      <c r="E115" s="3677"/>
      <c r="F115" s="3677"/>
      <c r="G115" s="3677"/>
      <c r="H115" s="3677"/>
      <c r="I115" s="3678"/>
    </row>
    <row r="116" spans="1:27" ht="27" customHeight="1">
      <c r="A116" s="3633" t="s">
        <v>1440</v>
      </c>
      <c r="B116" s="3637" t="s">
        <v>1441</v>
      </c>
      <c r="C116" s="3637" t="s">
        <v>1442</v>
      </c>
      <c r="D116" s="3643" t="s">
        <v>1443</v>
      </c>
      <c r="E116" s="3644"/>
      <c r="F116" s="3675" t="s">
        <v>1444</v>
      </c>
      <c r="G116" s="3675"/>
      <c r="H116" s="3633" t="s">
        <v>1445</v>
      </c>
      <c r="I116" s="3633"/>
    </row>
    <row r="117" spans="1:27" ht="18.75" customHeight="1">
      <c r="A117" s="3633"/>
      <c r="B117" s="3638"/>
      <c r="C117" s="3638"/>
      <c r="D117" s="3449" t="s">
        <v>1446</v>
      </c>
      <c r="E117" s="3449" t="s">
        <v>1447</v>
      </c>
      <c r="F117" s="3449" t="s">
        <v>1446</v>
      </c>
      <c r="G117" s="3449" t="s">
        <v>1448</v>
      </c>
      <c r="H117" s="3449" t="s">
        <v>1446</v>
      </c>
      <c r="I117" s="3449" t="s">
        <v>1448</v>
      </c>
    </row>
    <row r="118" spans="1:27" ht="24.75" customHeight="1">
      <c r="A118" s="2595" t="str">
        <f>项目基本情况!S2</f>
        <v>北京市房地产</v>
      </c>
      <c r="B118" s="3449">
        <f>M18</f>
        <v>29.05</v>
      </c>
      <c r="C118" s="3449">
        <f>M19</f>
        <v>0</v>
      </c>
      <c r="D118" s="3449">
        <f ca="1">ROUND(IF(D32="总价",C34,E118*B118/10000),0)</f>
        <v>-17</v>
      </c>
      <c r="E118" s="3449">
        <f ca="1">ROUND(IF(C33="自定义",IF(D32="楼面单价",C34,D118*10000/B118),I118-G118),0)</f>
        <v>-5995</v>
      </c>
      <c r="F118" s="3449">
        <f ca="1">ROUND(IF(D32="总价",C35,G118*B118/10000),0)</f>
        <v>29</v>
      </c>
      <c r="G118" s="3449">
        <f ca="1">ROUND(IF(D32="楼面单价",C35,F118*10000/B118),0)</f>
        <v>10032</v>
      </c>
      <c r="H118" s="3449">
        <f ca="1">ROUND(IF(D32="总价",C32,I118*B118/10000),0)</f>
        <v>12</v>
      </c>
      <c r="I118" s="3449">
        <f ca="1">ROUND(IF(D32="楼面单价",C32,H118*10000/B118),0)</f>
        <v>4037</v>
      </c>
    </row>
    <row r="119" spans="1:27" ht="18.75" customHeight="1">
      <c r="A119" s="3633" t="s">
        <v>1449</v>
      </c>
      <c r="B119" s="3633"/>
      <c r="C119" s="3633"/>
      <c r="D119" s="3639" t="e">
        <f ca="1">NUMBERSTRING(INT(D118*10000),2)&amp;"元整"</f>
        <v>#NUM!</v>
      </c>
      <c r="E119" s="3640"/>
      <c r="F119" s="3639" t="str">
        <f ca="1">NUMBERSTRING(INT(F118*10000),2)&amp;"元整"</f>
        <v>贰拾玖万元整</v>
      </c>
      <c r="G119" s="3640"/>
      <c r="H119" s="3639" t="str">
        <f ca="1">NUMBERSTRING(INT(H118*10000),2)&amp;"元整"</f>
        <v>壹拾贰万元整</v>
      </c>
      <c r="I119" s="3640"/>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39" t="s">
        <v>1449</v>
      </c>
      <c r="B121" s="3641"/>
      <c r="C121" s="3640"/>
      <c r="D121" s="3639" t="str">
        <f>IF(D120=0,"零元整",NUMBERSTRING(INT(D120*10000),2)&amp;"元整")</f>
        <v>零元整</v>
      </c>
      <c r="E121" s="3641"/>
      <c r="F121" s="3641"/>
      <c r="G121" s="3641"/>
      <c r="H121" s="3641"/>
      <c r="I121" s="3640"/>
      <c r="AA121" s="724"/>
    </row>
    <row r="122" spans="1:27" ht="18.75" customHeight="1">
      <c r="A122" s="3645" t="str">
        <f>IF(项目基本情况!B9="房地产市场价值","",MID(E107,3,LEN(E107)-2))</f>
        <v>房地产抵押价值</v>
      </c>
      <c r="B122" s="3645"/>
      <c r="C122" s="3645"/>
      <c r="D122" s="3634">
        <f ca="1">H107</f>
        <v>12</v>
      </c>
      <c r="E122" s="3635"/>
      <c r="F122" s="3635"/>
      <c r="G122" s="3635"/>
      <c r="H122" s="3635"/>
      <c r="I122" s="3636"/>
      <c r="AA122" s="724"/>
    </row>
    <row r="123" spans="1:27" ht="18.75" customHeight="1">
      <c r="A123" s="3633" t="s">
        <v>1449</v>
      </c>
      <c r="B123" s="3633"/>
      <c r="C123" s="3633"/>
      <c r="D123" s="3639" t="str">
        <f ca="1">NUMBERSTRING(INT(D122*10000),2)&amp;"元整"</f>
        <v>壹拾贰万元整</v>
      </c>
      <c r="E123" s="3641"/>
      <c r="F123" s="3641"/>
      <c r="G123" s="3641"/>
      <c r="H123" s="3641"/>
      <c r="I123" s="3640"/>
      <c r="AA123" s="724"/>
    </row>
    <row r="124" spans="1:27" ht="18.75" customHeight="1">
      <c r="A124" s="3645" t="str">
        <f>IF(项目基本情况!B9="房地产市场价值","",MID(E109,3,LEN(E109)-2))</f>
        <v/>
      </c>
      <c r="B124" s="3645"/>
      <c r="C124" s="3645"/>
      <c r="D124" s="3634" t="str">
        <f>H109</f>
        <v>——</v>
      </c>
      <c r="E124" s="3635"/>
      <c r="F124" s="3635"/>
      <c r="G124" s="3635"/>
      <c r="H124" s="3635"/>
      <c r="I124" s="3636"/>
      <c r="AA124" s="724"/>
    </row>
    <row r="125" spans="1:27" ht="18.75" customHeight="1">
      <c r="A125" s="3633" t="s">
        <v>1449</v>
      </c>
      <c r="B125" s="3633"/>
      <c r="C125" s="3633"/>
      <c r="D125" s="3639" t="e">
        <f>NUMBERSTRING(INT(D124*10000),2)&amp;"元整"</f>
        <v>#VALUE!</v>
      </c>
      <c r="E125" s="3641"/>
      <c r="F125" s="3641"/>
      <c r="G125" s="3641"/>
      <c r="H125" s="3641"/>
      <c r="I125" s="3640"/>
      <c r="AA125" s="724"/>
    </row>
    <row r="126" spans="1:27" ht="18.75" customHeight="1">
      <c r="A126" s="3645" t="str">
        <f>IF(项目基本情况!B9="房地产市场价值","",MID(E111,3,LEN(E111)-2))</f>
        <v>抵押净值</v>
      </c>
      <c r="B126" s="3645"/>
      <c r="C126" s="3645"/>
      <c r="D126" s="3634">
        <f ca="1">H111</f>
        <v>650</v>
      </c>
      <c r="E126" s="3635"/>
      <c r="F126" s="3635"/>
      <c r="G126" s="3635"/>
      <c r="H126" s="3635"/>
      <c r="I126" s="3636"/>
      <c r="AA126" s="724"/>
    </row>
    <row r="127" spans="1:27" ht="18.75" customHeight="1">
      <c r="A127" s="3633" t="s">
        <v>1449</v>
      </c>
      <c r="B127" s="3633"/>
      <c r="C127" s="3633"/>
      <c r="D127" s="3639" t="str">
        <f ca="1">NUMBERSTRING(INT(D126*10000),2)&amp;"元整"</f>
        <v>陆佰伍拾万元整</v>
      </c>
      <c r="E127" s="3641"/>
      <c r="F127" s="3641"/>
      <c r="G127" s="3641"/>
      <c r="H127" s="3641"/>
      <c r="I127" s="3640"/>
      <c r="AA127" s="724"/>
    </row>
    <row r="128" spans="1:27" ht="21.75" customHeight="1">
      <c r="A128" s="3642" t="s">
        <v>1450</v>
      </c>
      <c r="B128" s="3642"/>
      <c r="C128" s="3642"/>
      <c r="D128" s="3642"/>
      <c r="E128" s="3642"/>
      <c r="F128" s="3642"/>
      <c r="G128" s="3642"/>
      <c r="H128" s="3642"/>
      <c r="I128" s="3642"/>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85" zoomScaleNormal="60" zoomScaleSheetLayoutView="85" workbookViewId="0">
      <selection activeCell="F93" sqref="F93"/>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3756</v>
      </c>
      <c r="C1" s="1221" t="s">
        <v>1659</v>
      </c>
      <c r="D1" s="1222" t="s">
        <v>3335</v>
      </c>
      <c r="E1" s="3428" t="s">
        <v>3860</v>
      </c>
      <c r="F1" s="1876" t="s">
        <v>3861</v>
      </c>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IF(B37="元/平方米",ROUND(C39*D3/10000,0),ROUND(F3*C39/10000,0)),IF(B37="元/平方米",ROUND(C39*D3/10000,0),ROUND(F3*C39/10000,0))-D2),IF(E1="单套模式",IF(C2="——",IF(B37="元/平方米",ROUND(C39*D3/10000,0),ROUND(F3*C39/10000,0)),IF(B37="元/平方米",ROUND(C39*D3/10000,0),ROUND(F3*C39/10000,0))-D2)))</f>
        <v>14</v>
      </c>
      <c r="C2" s="1878" t="s">
        <v>43</v>
      </c>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1461</v>
      </c>
      <c r="B3" s="558">
        <f>IF(AND(C2="——",B37="元/平方米"),C39,ROUND(B2*10000/D3,0))</f>
        <v>4819</v>
      </c>
      <c r="C3" s="354" t="s">
        <v>1765</v>
      </c>
      <c r="D3" s="353">
        <f>SUMIF('数据-汇总表'!$C19:$C33,D1,'数据-汇总表'!$E19:$E33)</f>
        <v>29.05</v>
      </c>
      <c r="E3" s="354" t="s">
        <v>1829</v>
      </c>
      <c r="F3" s="353">
        <f>SUMIF('数据-取费表'!A5:A15,D1,'数据-取费表'!AH5:AH15)</f>
        <v>1</v>
      </c>
      <c r="G3" s="907"/>
      <c r="H3" s="907"/>
      <c r="I3" s="907"/>
      <c r="J3" s="907"/>
      <c r="K3" s="909"/>
      <c r="L3" s="2729"/>
      <c r="M3" s="2730">
        <f>IF(C2="——",IF(B37="元/平方米",ROUND(C39*D3/10000,0),ROUND(F3*C39/10000,0)),IF(B37="元/平方米",ROUND(C39*D3/10000,0),ROUND(F3*C39/10000,0))-D2)</f>
        <v>14</v>
      </c>
      <c r="N3" s="2730"/>
      <c r="O3" s="2730"/>
      <c r="P3" s="1163"/>
      <c r="Q3" s="698"/>
      <c r="R3" s="698"/>
      <c r="S3" s="698"/>
      <c r="T3" s="698"/>
      <c r="U3" s="698"/>
      <c r="V3" s="698"/>
      <c r="W3" s="698"/>
      <c r="X3" s="698"/>
      <c r="Y3" s="698"/>
      <c r="Z3" s="698"/>
      <c r="AA3" s="698"/>
      <c r="AB3" s="715"/>
      <c r="AC3" s="712"/>
    </row>
    <row r="4" spans="1:29" ht="15">
      <c r="A4" s="355" t="s">
        <v>1766</v>
      </c>
      <c r="B4" s="356"/>
      <c r="C4" s="3731" t="s">
        <v>1767</v>
      </c>
      <c r="D4" s="3732"/>
      <c r="E4" s="3733" t="s">
        <v>1768</v>
      </c>
      <c r="F4" s="3734"/>
      <c r="G4" s="3731" t="s">
        <v>1769</v>
      </c>
      <c r="H4" s="3732"/>
      <c r="I4" s="3731" t="s">
        <v>1770</v>
      </c>
      <c r="J4" s="3732"/>
      <c r="K4" s="559" t="s">
        <v>1771</v>
      </c>
      <c r="L4" s="2710"/>
      <c r="M4" s="2711"/>
      <c r="N4" s="2711"/>
      <c r="O4" s="2711"/>
      <c r="P4" s="3735" t="s">
        <v>1772</v>
      </c>
      <c r="Q4" s="3736"/>
      <c r="R4" s="3717" t="s">
        <v>1768</v>
      </c>
      <c r="S4" s="3718"/>
      <c r="T4" s="3717" t="s">
        <v>1769</v>
      </c>
      <c r="U4" s="3718"/>
      <c r="V4" s="3743" t="s">
        <v>1770</v>
      </c>
      <c r="W4" s="3743"/>
      <c r="X4" s="1352"/>
      <c r="Y4" s="3717" t="s">
        <v>1772</v>
      </c>
      <c r="Z4" s="3718"/>
      <c r="AA4" s="3712" t="s">
        <v>1768</v>
      </c>
      <c r="AB4" s="3713" t="s">
        <v>1769</v>
      </c>
      <c r="AC4" s="3712" t="s">
        <v>1770</v>
      </c>
    </row>
    <row r="5" spans="1:29" ht="15">
      <c r="A5" s="358"/>
      <c r="B5" s="359"/>
      <c r="C5" s="3723" t="s">
        <v>1670</v>
      </c>
      <c r="D5" s="3724"/>
      <c r="E5" s="3721" t="s">
        <v>4081</v>
      </c>
      <c r="F5" s="3722"/>
      <c r="G5" s="3727" t="s">
        <v>4082</v>
      </c>
      <c r="H5" s="3724"/>
      <c r="I5" s="3727" t="s">
        <v>4083</v>
      </c>
      <c r="J5" s="3724"/>
      <c r="K5" s="559"/>
      <c r="L5" s="2710"/>
      <c r="M5" s="2711"/>
      <c r="N5" s="2711"/>
      <c r="O5" s="2711"/>
      <c r="P5" s="3737"/>
      <c r="Q5" s="3738"/>
      <c r="R5" s="3719"/>
      <c r="S5" s="3720"/>
      <c r="T5" s="3719"/>
      <c r="U5" s="3720"/>
      <c r="V5" s="3743"/>
      <c r="W5" s="3743"/>
      <c r="X5" s="1352"/>
      <c r="Y5" s="3719"/>
      <c r="Z5" s="3720"/>
      <c r="AA5" s="3713"/>
      <c r="AB5" s="3713"/>
      <c r="AC5" s="3713"/>
    </row>
    <row r="6" spans="1:29" ht="15.75" thickBot="1">
      <c r="A6" s="360"/>
      <c r="B6" s="361"/>
      <c r="C6" s="3725" t="s">
        <v>1674</v>
      </c>
      <c r="D6" s="3726"/>
      <c r="E6" s="3728" t="s">
        <v>1674</v>
      </c>
      <c r="F6" s="3729"/>
      <c r="G6" s="3725" t="s">
        <v>1674</v>
      </c>
      <c r="H6" s="3726"/>
      <c r="I6" s="3725" t="s">
        <v>1674</v>
      </c>
      <c r="J6" s="3726"/>
      <c r="K6" s="559" t="s">
        <v>1675</v>
      </c>
      <c r="L6" s="2710"/>
      <c r="M6" s="2711"/>
      <c r="N6" s="2711"/>
      <c r="O6" s="2711"/>
      <c r="P6" s="3739"/>
      <c r="Q6" s="3740"/>
      <c r="R6" s="3719"/>
      <c r="S6" s="3720"/>
      <c r="T6" s="3741"/>
      <c r="U6" s="3742"/>
      <c r="V6" s="3743"/>
      <c r="W6" s="3743"/>
      <c r="X6" s="1352"/>
      <c r="Y6" s="3741"/>
      <c r="Z6" s="3742"/>
      <c r="AA6" s="3714"/>
      <c r="AB6" s="3714"/>
      <c r="AC6" s="3714"/>
    </row>
    <row r="7" spans="1:29" s="108" customFormat="1" ht="15.75" thickBot="1">
      <c r="A7" s="362" t="s">
        <v>1676</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715" t="s">
        <v>1677</v>
      </c>
      <c r="Q7" s="3744"/>
      <c r="R7" s="700" t="s">
        <v>14</v>
      </c>
      <c r="S7" s="701">
        <f t="shared" ref="S7:S14" si="0">F7</f>
        <v>100</v>
      </c>
      <c r="T7" s="700" t="s">
        <v>14</v>
      </c>
      <c r="U7" s="701">
        <f t="shared" ref="U7:U14" si="1">H7</f>
        <v>100</v>
      </c>
      <c r="V7" s="700" t="s">
        <v>14</v>
      </c>
      <c r="W7" s="701">
        <f t="shared" ref="W7:W14" si="2">J7</f>
        <v>100</v>
      </c>
      <c r="X7" s="702"/>
      <c r="Y7" s="3715" t="s">
        <v>1677</v>
      </c>
      <c r="Z7" s="3716"/>
      <c r="AA7" s="703">
        <f>D7/F7</f>
        <v>1</v>
      </c>
      <c r="AB7" s="703">
        <f>D7/H7</f>
        <v>1</v>
      </c>
      <c r="AC7" s="703">
        <f>D7/J7</f>
        <v>1</v>
      </c>
    </row>
    <row r="8" spans="1:29" s="108" customFormat="1" ht="15.75" thickBot="1">
      <c r="A8" s="362" t="s">
        <v>1678</v>
      </c>
      <c r="B8" s="363"/>
      <c r="C8" s="368" t="s">
        <v>3862</v>
      </c>
      <c r="D8" s="365">
        <v>100</v>
      </c>
      <c r="E8" s="368" t="s">
        <v>3862</v>
      </c>
      <c r="F8" s="367">
        <f>SUMIF(51:51,E8,52:52)-SUMIF(51:51,C8,52:52)+100</f>
        <v>100</v>
      </c>
      <c r="G8" s="368" t="s">
        <v>3862</v>
      </c>
      <c r="H8" s="365">
        <f>SUMIF(51:51,G8,52:52)-SUMIF(51:51,C8,52:52)+100</f>
        <v>100</v>
      </c>
      <c r="I8" s="368" t="s">
        <v>3862</v>
      </c>
      <c r="J8" s="365">
        <f>SUMIF(51:51,I8,52:52)-SUMIF(51:51,C8,52:52)+100</f>
        <v>100</v>
      </c>
      <c r="K8" s="560"/>
      <c r="L8" s="2712"/>
      <c r="M8" s="2713"/>
      <c r="N8" s="2713"/>
      <c r="O8" s="2713"/>
      <c r="P8" s="3715" t="s">
        <v>1680</v>
      </c>
      <c r="Q8" s="3716"/>
      <c r="R8" s="700" t="s">
        <v>14</v>
      </c>
      <c r="S8" s="701">
        <f t="shared" si="0"/>
        <v>100</v>
      </c>
      <c r="T8" s="700" t="s">
        <v>14</v>
      </c>
      <c r="U8" s="701">
        <f t="shared" si="1"/>
        <v>100</v>
      </c>
      <c r="V8" s="700" t="s">
        <v>14</v>
      </c>
      <c r="W8" s="701">
        <f t="shared" si="2"/>
        <v>100</v>
      </c>
      <c r="X8" s="702"/>
      <c r="Y8" s="3715" t="s">
        <v>1680</v>
      </c>
      <c r="Z8" s="3716"/>
      <c r="AA8" s="703">
        <f t="shared" ref="AA8:AA36" si="3">D8/F8</f>
        <v>1</v>
      </c>
      <c r="AB8" s="703">
        <f t="shared" ref="AB8:AB36" si="4">D8/H8</f>
        <v>1</v>
      </c>
      <c r="AC8" s="703">
        <f t="shared" ref="AC8:AC36" si="5">D8/J8</f>
        <v>1</v>
      </c>
    </row>
    <row r="9" spans="1:29" s="108" customFormat="1">
      <c r="A9" s="60" t="s">
        <v>1681</v>
      </c>
      <c r="B9" s="588" t="s">
        <v>1682</v>
      </c>
      <c r="C9" s="3504" t="s">
        <v>3893</v>
      </c>
      <c r="D9" s="126">
        <v>100</v>
      </c>
      <c r="E9" s="373" t="s">
        <v>3335</v>
      </c>
      <c r="F9" s="126">
        <f>SUMIF(53:53,E9,54:54)-SUMIF(53:53,C9,54:54)+100</f>
        <v>100</v>
      </c>
      <c r="G9" s="373" t="s">
        <v>3335</v>
      </c>
      <c r="H9" s="126">
        <f>SUMIF(53:53,G9,54:54)-SUMIF(53:53,C9,54:54)+100</f>
        <v>100</v>
      </c>
      <c r="I9" s="373" t="s">
        <v>3335</v>
      </c>
      <c r="J9" s="126">
        <f>SUMIF(53:53,I9,54:54)-SUMIF(53:53,C9,54:54)+100</f>
        <v>100</v>
      </c>
      <c r="K9" s="560"/>
      <c r="L9" s="2712"/>
      <c r="M9" s="2713"/>
      <c r="N9" s="2713"/>
      <c r="O9" s="2713"/>
      <c r="P9" s="3748" t="s">
        <v>1683</v>
      </c>
      <c r="Q9" s="1340" t="str">
        <f t="shared" ref="Q9:Q14" si="6">B9</f>
        <v>用途</v>
      </c>
      <c r="R9" s="700" t="s">
        <v>14</v>
      </c>
      <c r="S9" s="701">
        <f t="shared" si="0"/>
        <v>100</v>
      </c>
      <c r="T9" s="700" t="s">
        <v>14</v>
      </c>
      <c r="U9" s="701">
        <f t="shared" si="1"/>
        <v>100</v>
      </c>
      <c r="V9" s="700" t="s">
        <v>14</v>
      </c>
      <c r="W9" s="701">
        <f t="shared" si="2"/>
        <v>100</v>
      </c>
      <c r="X9" s="702"/>
      <c r="Y9" s="3688" t="s">
        <v>1684</v>
      </c>
      <c r="Z9" s="52" t="str">
        <f t="shared" ref="Z9:Z14" si="7">Q9</f>
        <v>用途</v>
      </c>
      <c r="AA9" s="703">
        <f t="shared" si="3"/>
        <v>1</v>
      </c>
      <c r="AB9" s="703">
        <f t="shared" si="4"/>
        <v>1</v>
      </c>
      <c r="AC9" s="703">
        <f t="shared" si="5"/>
        <v>1</v>
      </c>
    </row>
    <row r="10" spans="1:29" s="378" customFormat="1" ht="27">
      <c r="A10" s="589"/>
      <c r="B10" s="590"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48"/>
      <c r="Q10" s="1340"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8"/>
      <c r="Q11" s="1340">
        <f t="shared" si="6"/>
        <v>111</v>
      </c>
      <c r="R11" s="700" t="s">
        <v>14</v>
      </c>
      <c r="S11" s="701">
        <f t="shared" si="0"/>
        <v>100</v>
      </c>
      <c r="T11" s="700" t="s">
        <v>14</v>
      </c>
      <c r="U11" s="701">
        <f t="shared" si="1"/>
        <v>100</v>
      </c>
      <c r="V11" s="700" t="s">
        <v>14</v>
      </c>
      <c r="W11" s="701">
        <f t="shared" si="2"/>
        <v>100</v>
      </c>
      <c r="X11" s="702"/>
      <c r="Y11" s="368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8"/>
      <c r="Q12" s="1340">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8"/>
      <c r="Q13" s="1340">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71.25">
      <c r="A14" s="355" t="s">
        <v>1687</v>
      </c>
      <c r="B14" s="577" t="s">
        <v>1830</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100</v>
      </c>
      <c r="K14" s="563">
        <v>3</v>
      </c>
      <c r="L14" s="2717"/>
      <c r="M14" s="2711"/>
      <c r="N14" s="2711"/>
      <c r="O14" s="2711"/>
      <c r="P14" s="3750" t="s">
        <v>1688</v>
      </c>
      <c r="Q14" s="1349" t="str">
        <f t="shared" si="6"/>
        <v>交通便捷度</v>
      </c>
      <c r="R14" s="704" t="s">
        <v>14</v>
      </c>
      <c r="S14" s="705">
        <f t="shared" si="0"/>
        <v>100</v>
      </c>
      <c r="T14" s="704" t="s">
        <v>14</v>
      </c>
      <c r="U14" s="705">
        <f t="shared" si="1"/>
        <v>103</v>
      </c>
      <c r="V14" s="704" t="s">
        <v>14</v>
      </c>
      <c r="W14" s="705">
        <f t="shared" si="2"/>
        <v>100</v>
      </c>
      <c r="X14" s="1352"/>
      <c r="Y14" s="3750" t="s">
        <v>1688</v>
      </c>
      <c r="Z14" s="1353" t="str">
        <f t="shared" si="7"/>
        <v>交通便捷度</v>
      </c>
      <c r="AA14" s="1350">
        <f t="shared" si="3"/>
        <v>1</v>
      </c>
      <c r="AB14" s="1350">
        <f t="shared" si="4"/>
        <v>0.970873786407767</v>
      </c>
      <c r="AC14" s="1350">
        <f t="shared" si="5"/>
        <v>1</v>
      </c>
    </row>
    <row r="15" spans="1:29" ht="15">
      <c r="A15" s="358"/>
      <c r="B15" s="595"/>
      <c r="C15" s="398" t="s">
        <v>3866</v>
      </c>
      <c r="D15" s="399"/>
      <c r="E15" s="398" t="s">
        <v>3866</v>
      </c>
      <c r="F15" s="400"/>
      <c r="G15" s="398" t="s">
        <v>3883</v>
      </c>
      <c r="H15" s="401"/>
      <c r="I15" s="398" t="s">
        <v>3866</v>
      </c>
      <c r="J15" s="399"/>
      <c r="K15" s="564"/>
      <c r="L15" s="2717"/>
      <c r="M15" s="2711"/>
      <c r="N15" s="2711"/>
      <c r="O15" s="2711"/>
      <c r="P15" s="3751"/>
      <c r="Q15" s="1349"/>
      <c r="R15" s="704"/>
      <c r="S15" s="705"/>
      <c r="T15" s="704"/>
      <c r="U15" s="705"/>
      <c r="V15" s="704"/>
      <c r="W15" s="705"/>
      <c r="X15" s="1352"/>
      <c r="Y15" s="3751"/>
      <c r="Z15" s="1353"/>
      <c r="AA15" s="1350">
        <v>1</v>
      </c>
      <c r="AB15" s="1350">
        <v>1</v>
      </c>
      <c r="AC15" s="1350">
        <v>1</v>
      </c>
    </row>
    <row r="16" spans="1:29" ht="42.75">
      <c r="A16" s="358"/>
      <c r="B16" s="579"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100</v>
      </c>
      <c r="K16" s="563">
        <v>3</v>
      </c>
      <c r="L16" s="2717"/>
      <c r="M16" s="2711"/>
      <c r="N16" s="2711"/>
      <c r="O16" s="2711"/>
      <c r="P16" s="3751"/>
      <c r="Q16" s="1349" t="str">
        <f>B16</f>
        <v>公共配套设施</v>
      </c>
      <c r="R16" s="704" t="s">
        <v>14</v>
      </c>
      <c r="S16" s="705">
        <f>F16</f>
        <v>100</v>
      </c>
      <c r="T16" s="704" t="s">
        <v>14</v>
      </c>
      <c r="U16" s="705">
        <f>H16</f>
        <v>103</v>
      </c>
      <c r="V16" s="704" t="s">
        <v>14</v>
      </c>
      <c r="W16" s="705">
        <f>J16</f>
        <v>100</v>
      </c>
      <c r="X16" s="1352"/>
      <c r="Y16" s="3751"/>
      <c r="Z16" s="1353" t="str">
        <f>Q16</f>
        <v>公共配套设施</v>
      </c>
      <c r="AA16" s="1350">
        <f t="shared" si="3"/>
        <v>1</v>
      </c>
      <c r="AB16" s="1350">
        <f t="shared" si="4"/>
        <v>0.970873786407767</v>
      </c>
      <c r="AC16" s="1350">
        <f t="shared" si="5"/>
        <v>1</v>
      </c>
    </row>
    <row r="17" spans="1:29" ht="15">
      <c r="A17" s="358"/>
      <c r="B17" s="580"/>
      <c r="C17" s="1897" t="s">
        <v>3866</v>
      </c>
      <c r="D17" s="399"/>
      <c r="E17" s="398" t="s">
        <v>3866</v>
      </c>
      <c r="F17" s="400"/>
      <c r="G17" s="398" t="s">
        <v>3883</v>
      </c>
      <c r="H17" s="399"/>
      <c r="I17" s="398" t="s">
        <v>3866</v>
      </c>
      <c r="J17" s="399"/>
      <c r="K17" s="564"/>
      <c r="L17" s="2717"/>
      <c r="M17" s="2711"/>
      <c r="N17" s="2711"/>
      <c r="O17" s="2711"/>
      <c r="P17" s="3751"/>
      <c r="Q17" s="1349"/>
      <c r="R17" s="704"/>
      <c r="S17" s="705"/>
      <c r="T17" s="704"/>
      <c r="U17" s="705"/>
      <c r="V17" s="704"/>
      <c r="W17" s="705"/>
      <c r="X17" s="1352"/>
      <c r="Y17" s="3751"/>
      <c r="Z17" s="1353"/>
      <c r="AA17" s="1350">
        <v>1</v>
      </c>
      <c r="AB17" s="1350">
        <v>1</v>
      </c>
      <c r="AC17" s="1350">
        <v>1</v>
      </c>
    </row>
    <row r="18" spans="1:29" ht="28.5">
      <c r="A18" s="358"/>
      <c r="B18" s="581"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51"/>
      <c r="Q18" s="1349" t="str">
        <f>B18</f>
        <v>基础设施水平</v>
      </c>
      <c r="R18" s="704" t="s">
        <v>14</v>
      </c>
      <c r="S18" s="705">
        <f>F18</f>
        <v>100</v>
      </c>
      <c r="T18" s="704" t="s">
        <v>14</v>
      </c>
      <c r="U18" s="705">
        <f>H18</f>
        <v>100</v>
      </c>
      <c r="V18" s="704" t="s">
        <v>14</v>
      </c>
      <c r="W18" s="705">
        <f>J18</f>
        <v>100</v>
      </c>
      <c r="X18" s="1352"/>
      <c r="Y18" s="3751"/>
      <c r="Z18" s="1353" t="str">
        <f>Q18</f>
        <v>基础设施水平</v>
      </c>
      <c r="AA18" s="1350">
        <f t="shared" ref="AA18" si="8">D18/F18</f>
        <v>1</v>
      </c>
      <c r="AB18" s="1350">
        <f t="shared" ref="AB18" si="9">D18/H18</f>
        <v>1</v>
      </c>
      <c r="AC18" s="1350">
        <f t="shared" ref="AC18" si="10">D18/J18</f>
        <v>1</v>
      </c>
    </row>
    <row r="19" spans="1:29" ht="15">
      <c r="A19" s="358"/>
      <c r="B19" s="581"/>
      <c r="C19" s="1897" t="s">
        <v>3868</v>
      </c>
      <c r="D19" s="401"/>
      <c r="E19" s="1897" t="s">
        <v>3868</v>
      </c>
      <c r="F19" s="404"/>
      <c r="G19" s="1897" t="s">
        <v>3868</v>
      </c>
      <c r="H19" s="399"/>
      <c r="I19" s="1897" t="s">
        <v>3868</v>
      </c>
      <c r="J19" s="399"/>
      <c r="K19" s="1128"/>
      <c r="L19" s="2717"/>
      <c r="M19" s="2711"/>
      <c r="N19" s="2711"/>
      <c r="O19" s="2711"/>
      <c r="P19" s="3751"/>
      <c r="Q19" s="1349"/>
      <c r="R19" s="704"/>
      <c r="S19" s="705"/>
      <c r="T19" s="704"/>
      <c r="U19" s="705"/>
      <c r="V19" s="704"/>
      <c r="W19" s="705"/>
      <c r="X19" s="1352"/>
      <c r="Y19" s="3751"/>
      <c r="Z19" s="1353"/>
      <c r="AA19" s="1350">
        <v>1</v>
      </c>
      <c r="AB19" s="1350">
        <v>1</v>
      </c>
      <c r="AC19" s="1350">
        <v>1</v>
      </c>
    </row>
    <row r="20" spans="1:29" ht="42.75">
      <c r="A20" s="358"/>
      <c r="B20" s="579"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51"/>
      <c r="Q20" s="1349" t="str">
        <f>B20</f>
        <v>自然及人文环境</v>
      </c>
      <c r="R20" s="704" t="s">
        <v>14</v>
      </c>
      <c r="S20" s="705">
        <f>F20</f>
        <v>100</v>
      </c>
      <c r="T20" s="704" t="s">
        <v>14</v>
      </c>
      <c r="U20" s="705">
        <f>H20</f>
        <v>100</v>
      </c>
      <c r="V20" s="704" t="s">
        <v>14</v>
      </c>
      <c r="W20" s="705">
        <f>J20</f>
        <v>100</v>
      </c>
      <c r="X20" s="1352"/>
      <c r="Y20" s="3751"/>
      <c r="Z20" s="1353" t="str">
        <f>Q20</f>
        <v>自然及人文环境</v>
      </c>
      <c r="AA20" s="1350">
        <f t="shared" si="3"/>
        <v>1</v>
      </c>
      <c r="AB20" s="1350">
        <f t="shared" si="4"/>
        <v>1</v>
      </c>
      <c r="AC20" s="1350">
        <f t="shared" si="5"/>
        <v>1</v>
      </c>
    </row>
    <row r="21" spans="1:29" ht="15">
      <c r="A21" s="358"/>
      <c r="B21" s="580"/>
      <c r="C21" s="398" t="s">
        <v>3866</v>
      </c>
      <c r="D21" s="399"/>
      <c r="E21" s="398" t="s">
        <v>3866</v>
      </c>
      <c r="F21" s="400"/>
      <c r="G21" s="398" t="s">
        <v>3866</v>
      </c>
      <c r="H21" s="399"/>
      <c r="I21" s="398" t="s">
        <v>3866</v>
      </c>
      <c r="J21" s="399"/>
      <c r="K21" s="564"/>
      <c r="L21" s="2717"/>
      <c r="M21" s="2711"/>
      <c r="N21" s="2711"/>
      <c r="O21" s="2711"/>
      <c r="P21" s="3751"/>
      <c r="Q21" s="1349"/>
      <c r="R21" s="704"/>
      <c r="S21" s="705"/>
      <c r="T21" s="704"/>
      <c r="U21" s="705"/>
      <c r="V21" s="704"/>
      <c r="W21" s="705"/>
      <c r="X21" s="1352"/>
      <c r="Y21" s="3751"/>
      <c r="Z21" s="1353"/>
      <c r="AA21" s="1350">
        <v>1</v>
      </c>
      <c r="AB21" s="1350">
        <v>1</v>
      </c>
      <c r="AC21" s="1350">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51"/>
      <c r="Q22" s="1349" t="str">
        <f>B22</f>
        <v>楼层</v>
      </c>
      <c r="R22" s="704" t="s">
        <v>14</v>
      </c>
      <c r="S22" s="705">
        <f>F22</f>
        <v>100</v>
      </c>
      <c r="T22" s="704" t="s">
        <v>14</v>
      </c>
      <c r="U22" s="705">
        <f>H22</f>
        <v>100</v>
      </c>
      <c r="V22" s="704" t="s">
        <v>14</v>
      </c>
      <c r="W22" s="705">
        <f>J22</f>
        <v>100</v>
      </c>
      <c r="X22" s="1352"/>
      <c r="Y22" s="3751"/>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51"/>
      <c r="Q23" s="1349">
        <f>B23</f>
        <v>111</v>
      </c>
      <c r="R23" s="704" t="s">
        <v>14</v>
      </c>
      <c r="S23" s="705">
        <f>F23</f>
        <v>100</v>
      </c>
      <c r="T23" s="704" t="s">
        <v>14</v>
      </c>
      <c r="U23" s="705">
        <f>H23</f>
        <v>100</v>
      </c>
      <c r="V23" s="704" t="s">
        <v>14</v>
      </c>
      <c r="W23" s="705">
        <f>J23</f>
        <v>100</v>
      </c>
      <c r="X23" s="1352"/>
      <c r="Y23" s="3751"/>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51"/>
      <c r="Q24" s="1349">
        <f t="shared" ref="Q24:Q36" si="11">B24</f>
        <v>111</v>
      </c>
      <c r="R24" s="704" t="s">
        <v>14</v>
      </c>
      <c r="S24" s="705">
        <f>F24</f>
        <v>100</v>
      </c>
      <c r="T24" s="704" t="s">
        <v>14</v>
      </c>
      <c r="U24" s="705">
        <f>H24</f>
        <v>100</v>
      </c>
      <c r="V24" s="704" t="s">
        <v>14</v>
      </c>
      <c r="W24" s="705">
        <f>J24</f>
        <v>100</v>
      </c>
      <c r="X24" s="1352"/>
      <c r="Y24" s="3751"/>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51"/>
      <c r="Q25" s="1340">
        <f t="shared" si="11"/>
        <v>111</v>
      </c>
      <c r="R25" s="700" t="s">
        <v>14</v>
      </c>
      <c r="S25" s="701">
        <f>F25</f>
        <v>100</v>
      </c>
      <c r="T25" s="700" t="s">
        <v>14</v>
      </c>
      <c r="U25" s="701">
        <f>H25</f>
        <v>100</v>
      </c>
      <c r="V25" s="700" t="s">
        <v>14</v>
      </c>
      <c r="W25" s="701">
        <f>J25</f>
        <v>100</v>
      </c>
      <c r="X25" s="702"/>
      <c r="Y25" s="3751"/>
      <c r="Z25" s="52">
        <f>Q25</f>
        <v>111</v>
      </c>
      <c r="AA25" s="1350">
        <f>D25/F25</f>
        <v>1</v>
      </c>
      <c r="AB25" s="1350">
        <f>D25/H25</f>
        <v>1</v>
      </c>
      <c r="AC25" s="1350">
        <f>D25/J25</f>
        <v>1</v>
      </c>
    </row>
    <row r="26" spans="1:29" ht="28.5">
      <c r="A26" s="600" t="s">
        <v>1691</v>
      </c>
      <c r="B26" s="62" t="s">
        <v>1833</v>
      </c>
      <c r="C26" s="1967" t="str">
        <f>B1</f>
        <v>住宅</v>
      </c>
      <c r="D26" s="399">
        <v>100</v>
      </c>
      <c r="E26" s="398" t="s">
        <v>3756</v>
      </c>
      <c r="F26" s="400">
        <f>SUMIF(79:79,E26,80:80)-SUMIF(79:79,C26,80:80)+100</f>
        <v>100</v>
      </c>
      <c r="G26" s="398" t="s">
        <v>3756</v>
      </c>
      <c r="H26" s="399">
        <f>SUMIF(79:79,G26,80:80)-SUMIF(79:79,C26,80:80)+100</f>
        <v>100</v>
      </c>
      <c r="I26" s="398" t="s">
        <v>3756</v>
      </c>
      <c r="J26" s="399">
        <f>SUMIF(79:79,I26,80:80)-SUMIF(79:79,C26,80:80)+100</f>
        <v>100</v>
      </c>
      <c r="K26" s="561">
        <v>2</v>
      </c>
      <c r="L26" s="2717"/>
      <c r="M26" s="2711"/>
      <c r="N26" s="2711"/>
      <c r="O26" s="2711"/>
      <c r="P26" s="3763" t="s">
        <v>1693</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755" t="s">
        <v>1693</v>
      </c>
      <c r="Z26" s="1353" t="str">
        <f t="shared" ref="Z26:Z36" si="15">Q26</f>
        <v>配套类型</v>
      </c>
      <c r="AA26" s="1350">
        <f t="shared" si="3"/>
        <v>1</v>
      </c>
      <c r="AB26" s="1350">
        <f t="shared" si="4"/>
        <v>1</v>
      </c>
      <c r="AC26" s="1350">
        <f t="shared" si="5"/>
        <v>1</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55"/>
      <c r="Q27" s="706" t="str">
        <f t="shared" si="11"/>
        <v>项目停车位配比</v>
      </c>
      <c r="R27" s="707" t="s">
        <v>14</v>
      </c>
      <c r="S27" s="708">
        <f t="shared" si="12"/>
        <v>100</v>
      </c>
      <c r="T27" s="707" t="s">
        <v>14</v>
      </c>
      <c r="U27" s="708">
        <f t="shared" si="13"/>
        <v>100</v>
      </c>
      <c r="V27" s="707" t="s">
        <v>14</v>
      </c>
      <c r="W27" s="708">
        <f t="shared" si="14"/>
        <v>100</v>
      </c>
      <c r="X27" s="709"/>
      <c r="Y27" s="3755"/>
      <c r="Z27" s="710" t="str">
        <f t="shared" si="15"/>
        <v>项目停车位配比</v>
      </c>
      <c r="AA27" s="1350">
        <f t="shared" si="3"/>
        <v>1</v>
      </c>
      <c r="AB27" s="1350">
        <f t="shared" si="4"/>
        <v>1</v>
      </c>
      <c r="AC27" s="1350">
        <f t="shared" si="5"/>
        <v>1</v>
      </c>
    </row>
    <row r="28" spans="1:29" ht="15">
      <c r="A28" s="604"/>
      <c r="B28" s="602" t="s">
        <v>1835</v>
      </c>
      <c r="C28" s="411" t="s">
        <v>3874</v>
      </c>
      <c r="D28" s="386">
        <v>100</v>
      </c>
      <c r="E28" s="411" t="s">
        <v>3874</v>
      </c>
      <c r="F28" s="412">
        <f>SUMIF(83:83,E28,84:84)-SUMIF(83:83,C28,84:84)+100</f>
        <v>100</v>
      </c>
      <c r="G28" s="411" t="s">
        <v>3874</v>
      </c>
      <c r="H28" s="386">
        <f>SUMIF(83:83,G28,84:84)-SUMIF(83:83,C28,84:84)+100</f>
        <v>100</v>
      </c>
      <c r="I28" s="411" t="s">
        <v>3874</v>
      </c>
      <c r="J28" s="386">
        <f>SUMIF(83:83,I28,84:84)-SUMIF(83:83,C28,84:84)+100</f>
        <v>100</v>
      </c>
      <c r="K28" s="561">
        <v>2</v>
      </c>
      <c r="L28" s="2717"/>
      <c r="M28" s="2711"/>
      <c r="N28" s="2711"/>
      <c r="O28" s="2711"/>
      <c r="P28" s="3755"/>
      <c r="Q28" s="1349" t="str">
        <f t="shared" si="11"/>
        <v>公共部分装修</v>
      </c>
      <c r="R28" s="704" t="s">
        <v>14</v>
      </c>
      <c r="S28" s="705">
        <f t="shared" si="12"/>
        <v>100</v>
      </c>
      <c r="T28" s="704" t="s">
        <v>14</v>
      </c>
      <c r="U28" s="705">
        <f t="shared" si="13"/>
        <v>100</v>
      </c>
      <c r="V28" s="704" t="s">
        <v>14</v>
      </c>
      <c r="W28" s="705">
        <f t="shared" si="14"/>
        <v>100</v>
      </c>
      <c r="X28" s="1352"/>
      <c r="Y28" s="3755"/>
      <c r="Z28" s="1353" t="str">
        <f t="shared" si="15"/>
        <v>公共部分装修</v>
      </c>
      <c r="AA28" s="1350">
        <f t="shared" si="3"/>
        <v>1</v>
      </c>
      <c r="AB28" s="1350">
        <f t="shared" si="4"/>
        <v>1</v>
      </c>
      <c r="AC28" s="1350">
        <f t="shared" si="5"/>
        <v>1</v>
      </c>
    </row>
    <row r="29" spans="1:29" ht="15">
      <c r="A29" s="604"/>
      <c r="B29" s="602"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755"/>
      <c r="Q29" s="1349" t="str">
        <f t="shared" si="11"/>
        <v>成新率</v>
      </c>
      <c r="R29" s="704" t="s">
        <v>14</v>
      </c>
      <c r="S29" s="705">
        <f t="shared" si="12"/>
        <v>100</v>
      </c>
      <c r="T29" s="704" t="s">
        <v>14</v>
      </c>
      <c r="U29" s="705">
        <f t="shared" si="13"/>
        <v>100</v>
      </c>
      <c r="V29" s="704" t="s">
        <v>14</v>
      </c>
      <c r="W29" s="705">
        <f t="shared" si="14"/>
        <v>100</v>
      </c>
      <c r="X29" s="1352"/>
      <c r="Y29" s="3755"/>
      <c r="Z29" s="1353" t="str">
        <f t="shared" si="15"/>
        <v>成新率</v>
      </c>
      <c r="AA29" s="1350">
        <f t="shared" si="3"/>
        <v>1</v>
      </c>
      <c r="AB29" s="1350">
        <f t="shared" si="4"/>
        <v>1</v>
      </c>
      <c r="AC29" s="1350">
        <f t="shared" si="5"/>
        <v>1</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55"/>
      <c r="Q30" s="1349" t="str">
        <f t="shared" si="11"/>
        <v>物业等级</v>
      </c>
      <c r="R30" s="704" t="s">
        <v>14</v>
      </c>
      <c r="S30" s="705">
        <f t="shared" si="12"/>
        <v>100</v>
      </c>
      <c r="T30" s="704" t="s">
        <v>14</v>
      </c>
      <c r="U30" s="705">
        <f t="shared" si="13"/>
        <v>100</v>
      </c>
      <c r="V30" s="704" t="s">
        <v>14</v>
      </c>
      <c r="W30" s="705">
        <f t="shared" si="14"/>
        <v>100</v>
      </c>
      <c r="X30" s="1352"/>
      <c r="Y30" s="3755"/>
      <c r="Z30" s="1353" t="str">
        <f t="shared" si="15"/>
        <v>物业等级</v>
      </c>
      <c r="AA30" s="1350">
        <f t="shared" si="3"/>
        <v>1</v>
      </c>
      <c r="AB30" s="1350">
        <f t="shared" si="4"/>
        <v>1</v>
      </c>
      <c r="AC30" s="1350">
        <f t="shared" si="5"/>
        <v>1</v>
      </c>
    </row>
    <row r="31" spans="1:29" s="108" customFormat="1" ht="15">
      <c r="A31" s="606"/>
      <c r="B31" s="602" t="s">
        <v>1838</v>
      </c>
      <c r="C31" s="420">
        <f>'数据-基础表'!K13</f>
        <v>29.05</v>
      </c>
      <c r="D31" s="127">
        <v>100</v>
      </c>
      <c r="E31" s="420">
        <v>34.4</v>
      </c>
      <c r="F31" s="412">
        <f>LOOKUP(E31,91:91,92:92)-LOOKUP(C31,91:91,92:92)+100</f>
        <v>110</v>
      </c>
      <c r="G31" s="420">
        <v>31.58</v>
      </c>
      <c r="H31" s="386">
        <f>LOOKUP(G31,91:91,92:92)-LOOKUP(C31,91:91,92:92)+100</f>
        <v>110</v>
      </c>
      <c r="I31" s="420">
        <v>31.6</v>
      </c>
      <c r="J31" s="386">
        <f>LOOKUP(I31,91:91,92:92)-LOOKUP(C31,91:91,92:92)+100</f>
        <v>110</v>
      </c>
      <c r="K31" s="561"/>
      <c r="L31" s="2712"/>
      <c r="M31" s="2713"/>
      <c r="N31" s="2713"/>
      <c r="O31" s="2713"/>
      <c r="P31" s="3755"/>
      <c r="Q31" s="1340" t="str">
        <f t="shared" si="11"/>
        <v>停车位面积</v>
      </c>
      <c r="R31" s="700" t="s">
        <v>14</v>
      </c>
      <c r="S31" s="701">
        <f t="shared" si="12"/>
        <v>110</v>
      </c>
      <c r="T31" s="700" t="s">
        <v>14</v>
      </c>
      <c r="U31" s="701">
        <f t="shared" si="13"/>
        <v>110</v>
      </c>
      <c r="V31" s="700" t="s">
        <v>14</v>
      </c>
      <c r="W31" s="701">
        <f t="shared" si="14"/>
        <v>110</v>
      </c>
      <c r="X31" s="702"/>
      <c r="Y31" s="3755"/>
      <c r="Z31" s="52" t="str">
        <f t="shared" si="15"/>
        <v>停车位面积</v>
      </c>
      <c r="AA31" s="703">
        <f t="shared" si="3"/>
        <v>0.90909090909090906</v>
      </c>
      <c r="AB31" s="703">
        <f t="shared" si="4"/>
        <v>0.90909090909090906</v>
      </c>
      <c r="AC31" s="703">
        <f t="shared" si="5"/>
        <v>0.90909090909090906</v>
      </c>
    </row>
    <row r="32" spans="1:29" ht="15">
      <c r="A32" s="604"/>
      <c r="B32" s="602" t="s">
        <v>1839</v>
      </c>
      <c r="C32" s="411" t="s">
        <v>4073</v>
      </c>
      <c r="D32" s="386">
        <v>100</v>
      </c>
      <c r="E32" s="411" t="s">
        <v>4073</v>
      </c>
      <c r="F32" s="412">
        <f>SUMIF(93:93,E32,94:94)-SUMIF(93:93,C32,94:94)+100</f>
        <v>100</v>
      </c>
      <c r="G32" s="411" t="s">
        <v>4073</v>
      </c>
      <c r="H32" s="386">
        <f>SUMIF(93:93,G32,94:94)-SUMIF(93:93,C32,94:94)+100</f>
        <v>100</v>
      </c>
      <c r="I32" s="411" t="s">
        <v>4073</v>
      </c>
      <c r="J32" s="386">
        <f>SUMIF(93:93,I32,94:94)-SUMIF(93:93,C32,94:94)+100</f>
        <v>100</v>
      </c>
      <c r="K32" s="561">
        <v>2</v>
      </c>
      <c r="L32" s="2717"/>
      <c r="M32" s="2711"/>
      <c r="N32" s="2711"/>
      <c r="O32" s="2711"/>
      <c r="P32" s="3755" t="s">
        <v>1693</v>
      </c>
      <c r="Q32" s="1349" t="str">
        <f t="shared" si="11"/>
        <v>车位类型</v>
      </c>
      <c r="R32" s="704" t="s">
        <v>14</v>
      </c>
      <c r="S32" s="705">
        <f t="shared" si="12"/>
        <v>100</v>
      </c>
      <c r="T32" s="704" t="s">
        <v>14</v>
      </c>
      <c r="U32" s="705">
        <f t="shared" si="13"/>
        <v>100</v>
      </c>
      <c r="V32" s="704" t="s">
        <v>14</v>
      </c>
      <c r="W32" s="705">
        <f t="shared" si="14"/>
        <v>100</v>
      </c>
      <c r="X32" s="1352"/>
      <c r="Y32" s="3755" t="s">
        <v>1693</v>
      </c>
      <c r="Z32" s="1353" t="str">
        <f t="shared" si="15"/>
        <v>车位类型</v>
      </c>
      <c r="AA32" s="1350">
        <f t="shared" si="3"/>
        <v>1</v>
      </c>
      <c r="AB32" s="1350">
        <f t="shared" si="4"/>
        <v>1</v>
      </c>
      <c r="AC32" s="1350">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55"/>
      <c r="Q33" s="1349" t="str">
        <f t="shared" si="11"/>
        <v>是否直接入户</v>
      </c>
      <c r="R33" s="704" t="s">
        <v>14</v>
      </c>
      <c r="S33" s="705">
        <f t="shared" si="12"/>
        <v>100</v>
      </c>
      <c r="T33" s="704" t="s">
        <v>14</v>
      </c>
      <c r="U33" s="705">
        <f t="shared" si="13"/>
        <v>100</v>
      </c>
      <c r="V33" s="704" t="s">
        <v>14</v>
      </c>
      <c r="W33" s="705">
        <f t="shared" si="14"/>
        <v>100</v>
      </c>
      <c r="X33" s="1352"/>
      <c r="Y33" s="3755"/>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55"/>
      <c r="Q34" s="1349">
        <f t="shared" si="11"/>
        <v>111</v>
      </c>
      <c r="R34" s="704" t="s">
        <v>14</v>
      </c>
      <c r="S34" s="705">
        <f t="shared" si="12"/>
        <v>100</v>
      </c>
      <c r="T34" s="704" t="s">
        <v>14</v>
      </c>
      <c r="U34" s="705">
        <f t="shared" si="13"/>
        <v>100</v>
      </c>
      <c r="V34" s="704" t="s">
        <v>14</v>
      </c>
      <c r="W34" s="705">
        <f t="shared" si="14"/>
        <v>100</v>
      </c>
      <c r="X34" s="1352"/>
      <c r="Y34" s="3755"/>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55"/>
      <c r="Q35" s="706">
        <f t="shared" si="11"/>
        <v>111</v>
      </c>
      <c r="R35" s="707" t="s">
        <v>14</v>
      </c>
      <c r="S35" s="708">
        <f t="shared" si="12"/>
        <v>100</v>
      </c>
      <c r="T35" s="707" t="s">
        <v>14</v>
      </c>
      <c r="U35" s="708">
        <f t="shared" si="13"/>
        <v>100</v>
      </c>
      <c r="V35" s="707" t="s">
        <v>14</v>
      </c>
      <c r="W35" s="708">
        <f t="shared" si="14"/>
        <v>100</v>
      </c>
      <c r="X35" s="709"/>
      <c r="Y35" s="3755"/>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55"/>
      <c r="Q36" s="1349">
        <f t="shared" si="11"/>
        <v>111</v>
      </c>
      <c r="R36" s="704" t="s">
        <v>14</v>
      </c>
      <c r="S36" s="705">
        <f t="shared" si="12"/>
        <v>100</v>
      </c>
      <c r="T36" s="704" t="s">
        <v>14</v>
      </c>
      <c r="U36" s="705">
        <f t="shared" si="13"/>
        <v>100</v>
      </c>
      <c r="V36" s="704" t="s">
        <v>14</v>
      </c>
      <c r="W36" s="705">
        <f t="shared" si="14"/>
        <v>100</v>
      </c>
      <c r="X36" s="1352"/>
      <c r="Y36" s="3755"/>
      <c r="Z36" s="1353">
        <f t="shared" si="15"/>
        <v>111</v>
      </c>
      <c r="AA36" s="1350">
        <f t="shared" si="3"/>
        <v>1</v>
      </c>
      <c r="AB36" s="1350">
        <f t="shared" si="4"/>
        <v>1</v>
      </c>
      <c r="AC36" s="1350">
        <f t="shared" si="5"/>
        <v>1</v>
      </c>
    </row>
    <row r="37" spans="1:29" ht="15">
      <c r="A37" s="430" t="s">
        <v>1841</v>
      </c>
      <c r="B37" s="1968" t="s">
        <v>4075</v>
      </c>
      <c r="C37" s="1152" t="s">
        <v>0</v>
      </c>
      <c r="D37" s="1153"/>
      <c r="E37" s="1154">
        <v>132000</v>
      </c>
      <c r="F37" s="1155"/>
      <c r="G37" s="1156">
        <v>169833</v>
      </c>
      <c r="H37" s="1157"/>
      <c r="I37" s="1154">
        <v>160000</v>
      </c>
      <c r="J37" s="1157"/>
      <c r="K37" s="568"/>
      <c r="L37" s="2719"/>
      <c r="M37" s="2720"/>
      <c r="N37" s="2711"/>
      <c r="O37" s="2720"/>
      <c r="P37" s="3748" t="str">
        <f>A37</f>
        <v>成交单价</v>
      </c>
      <c r="Q37" s="3748"/>
      <c r="R37" s="3749">
        <f>E37</f>
        <v>132000</v>
      </c>
      <c r="S37" s="3749"/>
      <c r="T37" s="3749">
        <f>G37</f>
        <v>169833</v>
      </c>
      <c r="U37" s="3749"/>
      <c r="V37" s="3749">
        <f>I37</f>
        <v>160000</v>
      </c>
      <c r="W37" s="3749"/>
      <c r="X37" s="689"/>
      <c r="Y37" s="711"/>
      <c r="Z37" s="689"/>
      <c r="AA37" s="689"/>
      <c r="AB37" s="689"/>
      <c r="AC37" s="689"/>
    </row>
    <row r="38" spans="1:29" ht="15.75" thickBot="1">
      <c r="A38" s="437" t="s">
        <v>1842</v>
      </c>
      <c r="B38" s="438" t="str">
        <f>B37</f>
        <v>元/车位</v>
      </c>
      <c r="C38" s="1158">
        <f>R39</f>
        <v>136995</v>
      </c>
      <c r="D38" s="2312" t="s">
        <v>2134</v>
      </c>
      <c r="E38" s="1159">
        <f>R38</f>
        <v>120000</v>
      </c>
      <c r="F38" s="2313"/>
      <c r="G38" s="1158">
        <f>T38</f>
        <v>145531</v>
      </c>
      <c r="H38" s="2313"/>
      <c r="I38" s="1159">
        <f>V38</f>
        <v>145455</v>
      </c>
      <c r="J38" s="2313"/>
      <c r="K38" s="2315">
        <f>F38+H38+J38</f>
        <v>0</v>
      </c>
      <c r="L38" s="2719"/>
      <c r="M38" s="2720"/>
      <c r="N38" s="2720"/>
      <c r="O38" s="2720"/>
      <c r="P38" s="3748" t="str">
        <f>A38</f>
        <v>比较价值（元/平方米）</v>
      </c>
      <c r="Q38" s="3748"/>
      <c r="R38" s="3749">
        <f>IF(F1="售价",ROUND(PRODUCT(R37,AA7:AA36),0),ROUND(PRODUCT(R37,AA7:AA36),1))</f>
        <v>120000</v>
      </c>
      <c r="S38" s="3749"/>
      <c r="T38" s="3749">
        <f>IF(F1="售价",ROUND(PRODUCT(T37,AB7:AB36),0),ROUND(PRODUCT(T37,AB7:AB36),1))</f>
        <v>145531</v>
      </c>
      <c r="U38" s="3749"/>
      <c r="V38" s="3749">
        <f>IF(F1="售价",ROUND(PRODUCT(V37,AC7:AC36),0),ROUND(PRODUCT(V37,AC7:AC36),1))</f>
        <v>145455</v>
      </c>
      <c r="W38" s="3749"/>
      <c r="X38" s="689"/>
      <c r="Y38" s="689"/>
      <c r="Z38" s="689"/>
      <c r="AA38" s="689"/>
      <c r="AB38" s="689"/>
      <c r="AC38" s="689"/>
    </row>
    <row r="39" spans="1:29" ht="15.75" thickBot="1">
      <c r="A39" s="441" t="s">
        <v>1843</v>
      </c>
      <c r="B39" s="442"/>
      <c r="C39" s="1161">
        <f>R39</f>
        <v>136995</v>
      </c>
      <c r="D39" s="1161"/>
      <c r="E39" s="1161"/>
      <c r="F39" s="1161"/>
      <c r="G39" s="1161"/>
      <c r="H39" s="1161"/>
      <c r="I39" s="1161"/>
      <c r="J39" s="1161"/>
      <c r="K39" s="569"/>
      <c r="L39" s="2719"/>
      <c r="M39" s="2720"/>
      <c r="N39" s="2720"/>
      <c r="O39" s="2720"/>
      <c r="P39" s="3745" t="str">
        <f>A39</f>
        <v>估价对象XX用房的比较价值（楼面单价，元/平方米）</v>
      </c>
      <c r="Q39" s="3746"/>
      <c r="R39" s="3780">
        <f>IF(F1="售价",ROUND(IF(D38="简单平均",AVERAGE(R38:W38),R38*F38+T38*H38+V38*J38),0),ROUND(IF(D38="简单平均",AVERAGE(R38:V38),R38*F38+T38*H38+V38*J38),1))</f>
        <v>136995</v>
      </c>
      <c r="S39" s="3780"/>
      <c r="T39" s="3780"/>
      <c r="U39" s="3780"/>
      <c r="V39" s="3780"/>
      <c r="W39" s="3780"/>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1844</v>
      </c>
      <c r="D42" s="447"/>
      <c r="E42" s="448">
        <f>IF(E37&lt;E38,E38/E37-1,E37/E38-1)</f>
        <v>0.10000000000000009</v>
      </c>
      <c r="F42" s="449" t="str">
        <f>IF(OR(E42&gt;=0.3,E42&lt;=-0.3),"超过30%","")</f>
        <v/>
      </c>
      <c r="G42" s="448">
        <f>IF(G37&lt;G38,G38/G37-1,G37/G38-1)</f>
        <v>0.16698847668194405</v>
      </c>
      <c r="H42" s="449" t="str">
        <f>IF(OR(G42&gt;=0.3,G42&lt;=-0.3),"超过30%","")</f>
        <v/>
      </c>
      <c r="I42" s="448">
        <f>IF(I37&lt;I38,I38/I37-1,I37/I38-1)</f>
        <v>9.9996562510742182E-2</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1845</v>
      </c>
      <c r="D43" s="450"/>
      <c r="E43" s="448">
        <f>IF(E38&lt;G38,G38/E38-1,E38/G38-1)</f>
        <v>0.21275833333333338</v>
      </c>
      <c r="F43" s="449" t="str">
        <f>IF(OR(E43&gt;=0.2,E43&lt;=-0.2),"超过20%","")</f>
        <v>超过20%</v>
      </c>
      <c r="G43" s="448">
        <f>IF(G38&lt;I38,I38/G38-1,G38/I38-1)</f>
        <v>5.2249836719253651E-4</v>
      </c>
      <c r="H43" s="449" t="str">
        <f>IF(OR(G43&gt;=0.2,G43&lt;=-0.2),"超过20%","")</f>
        <v/>
      </c>
      <c r="I43" s="448">
        <f>IF(I38&lt;E38,E38/I38-1,I38/E38-1)</f>
        <v>0.2121249999999999</v>
      </c>
      <c r="J43" s="449" t="str">
        <f>IF(OR(I43&gt;=0.2,I43&lt;=-0.2),"超过20%","")</f>
        <v>超过20%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1846</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1847</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1848</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1713</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1678</v>
      </c>
      <c r="B51" s="459"/>
      <c r="C51" s="471" t="s">
        <v>1773</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1716</v>
      </c>
      <c r="B53" s="477" t="s">
        <v>1682</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1685</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1724</v>
      </c>
      <c r="C65" s="527" t="s">
        <v>1718</v>
      </c>
      <c r="D65" s="527" t="s">
        <v>1719</v>
      </c>
      <c r="E65" s="527" t="s">
        <v>1720</v>
      </c>
      <c r="F65" s="527" t="s">
        <v>1721</v>
      </c>
      <c r="G65" s="527" t="s">
        <v>1722</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1810</v>
      </c>
      <c r="C67" s="608" t="s">
        <v>1796</v>
      </c>
      <c r="D67" s="608" t="s">
        <v>1797</v>
      </c>
      <c r="E67" s="608" t="s">
        <v>1798</v>
      </c>
      <c r="F67" s="608" t="s">
        <v>1799</v>
      </c>
      <c r="G67" s="608" t="s">
        <v>1800</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1730</v>
      </c>
      <c r="C69" s="527" t="s">
        <v>1718</v>
      </c>
      <c r="D69" s="527" t="s">
        <v>1719</v>
      </c>
      <c r="E69" s="527" t="s">
        <v>1720</v>
      </c>
      <c r="F69" s="527" t="s">
        <v>1721</v>
      </c>
      <c r="G69" s="527" t="s">
        <v>1722</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1849</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1691</v>
      </c>
      <c r="B79" s="477" t="s">
        <v>1850</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1851</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1737</v>
      </c>
      <c r="C83" s="3506" t="s">
        <v>4072</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1853</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1854</v>
      </c>
      <c r="C90" s="527" t="str">
        <f>C91&amp;"(含)"&amp;"-"&amp;D91</f>
        <v>20(含)-25</v>
      </c>
      <c r="D90" s="527" t="str">
        <f t="shared" ref="D90:L90" si="21">D91&amp;"(含)"&amp;"-"&amp;E91</f>
        <v>25(含)-30</v>
      </c>
      <c r="E90" s="527" t="str">
        <f t="shared" si="21"/>
        <v>30(含)-35</v>
      </c>
      <c r="F90" s="527" t="str">
        <f t="shared" si="21"/>
        <v>35(含)-40</v>
      </c>
      <c r="G90" s="527" t="str">
        <f t="shared" si="21"/>
        <v>40(含)-50</v>
      </c>
      <c r="H90" s="527" t="str">
        <f t="shared" si="21"/>
        <v>50(含)-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20</v>
      </c>
      <c r="D91" s="544">
        <v>25</v>
      </c>
      <c r="E91" s="544">
        <v>30</v>
      </c>
      <c r="F91" s="544">
        <v>35</v>
      </c>
      <c r="G91" s="544">
        <v>40</v>
      </c>
      <c r="H91" s="544">
        <v>50</v>
      </c>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v>125</v>
      </c>
      <c r="E92" s="485">
        <v>135</v>
      </c>
      <c r="F92" s="485">
        <v>145</v>
      </c>
      <c r="G92" s="485">
        <v>155</v>
      </c>
      <c r="H92" s="485">
        <v>165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1855</v>
      </c>
      <c r="C93" s="3506" t="s">
        <v>4074</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1856</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L4:T359"/>
  <sheetViews>
    <sheetView zoomScale="80" zoomScaleNormal="80" workbookViewId="0">
      <selection activeCell="U9" sqref="U9"/>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70" zoomScaleNormal="70" zoomScaleSheetLayoutView="70" workbookViewId="0">
      <selection activeCell="H34" sqref="H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t="s">
        <v>3335</v>
      </c>
      <c r="D1" s="1359" t="s">
        <v>43</v>
      </c>
      <c r="E1" s="1360" t="s">
        <v>675</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875</v>
      </c>
      <c r="B2" s="3420">
        <f ca="1">ROUND(D2/10000,4)</f>
        <v>8.3164999999999996</v>
      </c>
      <c r="C2" s="1384" t="s">
        <v>876</v>
      </c>
      <c r="D2" s="1468">
        <f ca="1">C40+J29+L46</f>
        <v>83165</v>
      </c>
      <c r="E2" s="1385" t="s">
        <v>877</v>
      </c>
      <c r="F2" s="1386"/>
      <c r="G2" s="2701"/>
      <c r="H2" s="2690"/>
      <c r="I2" s="2690"/>
      <c r="J2" s="2690"/>
      <c r="K2" s="2691"/>
      <c r="L2" s="2690"/>
      <c r="M2" s="2690"/>
    </row>
    <row r="3" spans="1:37" ht="18" customHeight="1" thickBot="1">
      <c r="A3" s="1387" t="s">
        <v>878</v>
      </c>
      <c r="B3" s="1388">
        <f ca="1">IF(ISERROR(D2/F43),0,ROUND(D2/F43,0))</f>
        <v>2863</v>
      </c>
      <c r="C3" s="1384" t="s">
        <v>879</v>
      </c>
      <c r="D3" s="1384"/>
      <c r="E3" s="1385"/>
      <c r="F3" s="1386"/>
      <c r="G3" s="2701"/>
      <c r="H3" s="682" t="s">
        <v>873</v>
      </c>
      <c r="I3" s="1379"/>
      <c r="J3" s="1379"/>
      <c r="K3" s="1380"/>
      <c r="L3" s="1379"/>
      <c r="M3" s="1379"/>
    </row>
    <row r="4" spans="1:37" ht="18" customHeight="1">
      <c r="A4" s="295" t="s">
        <v>880</v>
      </c>
      <c r="B4" s="296" t="s">
        <v>881</v>
      </c>
      <c r="C4" s="296" t="s">
        <v>882</v>
      </c>
      <c r="D4" s="296" t="s">
        <v>883</v>
      </c>
      <c r="E4" s="297" t="s">
        <v>884</v>
      </c>
      <c r="F4" s="298"/>
      <c r="G4" s="1381"/>
      <c r="H4" s="295" t="s">
        <v>880</v>
      </c>
      <c r="I4" s="296" t="s">
        <v>881</v>
      </c>
      <c r="J4" s="296" t="s">
        <v>882</v>
      </c>
      <c r="K4" s="296" t="s">
        <v>883</v>
      </c>
      <c r="L4" s="297" t="s">
        <v>884</v>
      </c>
      <c r="M4" s="298"/>
    </row>
    <row r="5" spans="1:37" ht="18" customHeight="1">
      <c r="A5" s="299">
        <v>1</v>
      </c>
      <c r="B5" s="300" t="s">
        <v>885</v>
      </c>
      <c r="C5" s="1068">
        <f ca="1">C6+C10+C12</f>
        <v>4860</v>
      </c>
      <c r="D5" s="1361" t="s">
        <v>886</v>
      </c>
      <c r="E5" s="1069"/>
      <c r="F5" s="1070"/>
      <c r="G5" s="1381"/>
      <c r="H5" s="299">
        <v>1</v>
      </c>
      <c r="I5" s="300" t="s">
        <v>885</v>
      </c>
      <c r="J5" s="1068">
        <f ca="1">J6+J10+J12</f>
        <v>0</v>
      </c>
      <c r="K5" s="1361" t="s">
        <v>886</v>
      </c>
      <c r="L5" s="1069"/>
      <c r="M5" s="1070"/>
    </row>
    <row r="6" spans="1:37" ht="18" customHeight="1">
      <c r="A6" s="1067" t="s">
        <v>398</v>
      </c>
      <c r="B6" s="3771" t="s">
        <v>691</v>
      </c>
      <c r="C6" s="1072">
        <f ca="1">ROUND(F6*F8*F7*(1-F9),0)</f>
        <v>4860</v>
      </c>
      <c r="D6" s="155" t="s">
        <v>2102</v>
      </c>
      <c r="E6" s="302" t="s">
        <v>693</v>
      </c>
      <c r="F6" s="303">
        <f ca="1">INDIRECT("'数据-取费表'!u"&amp;$G$1)</f>
        <v>450</v>
      </c>
      <c r="G6" s="1381"/>
      <c r="H6" s="1067" t="s">
        <v>398</v>
      </c>
      <c r="I6" s="3771" t="s">
        <v>691</v>
      </c>
      <c r="J6" s="301">
        <f ca="1">ROUND(M6*M8*M7*(1-M9),0)</f>
        <v>0</v>
      </c>
      <c r="K6" s="1373" t="s">
        <v>2103</v>
      </c>
      <c r="L6" s="302" t="s">
        <v>693</v>
      </c>
      <c r="M6" s="303">
        <f ca="1">INDIRECT("'数据-取费表'!z"&amp;$G$1)</f>
        <v>0</v>
      </c>
    </row>
    <row r="7" spans="1:37" ht="18" customHeight="1">
      <c r="A7" s="1071"/>
      <c r="B7" s="3772"/>
      <c r="C7" s="1073"/>
      <c r="D7" s="307"/>
      <c r="E7" s="1074" t="s">
        <v>694</v>
      </c>
      <c r="F7" s="303">
        <f ca="1">IF(INDIRECT("'数据-取费表'!ah"&amp;$G$1)="",INDIRECT("'数据-取费表'!k"&amp;$G$1),INDIRECT("'数据-取费表'!ah"&amp;$G$1))</f>
        <v>1</v>
      </c>
      <c r="G7" s="1381"/>
      <c r="H7" s="304"/>
      <c r="I7" s="3772"/>
      <c r="J7" s="306"/>
      <c r="K7" s="307"/>
      <c r="L7" s="302" t="s">
        <v>694</v>
      </c>
      <c r="M7" s="303">
        <f ca="1">F7</f>
        <v>1</v>
      </c>
    </row>
    <row r="8" spans="1:37" ht="18" customHeight="1">
      <c r="A8" s="304"/>
      <c r="B8" s="3772"/>
      <c r="C8" s="306"/>
      <c r="D8" s="307"/>
      <c r="E8" s="302" t="s">
        <v>695</v>
      </c>
      <c r="F8" s="303">
        <f ca="1">INDIRECT("'数据-取费表'!ai"&amp;$G$1)</f>
        <v>12</v>
      </c>
      <c r="G8" s="1381"/>
      <c r="H8" s="304"/>
      <c r="I8" s="3772"/>
      <c r="J8" s="306"/>
      <c r="K8" s="307"/>
      <c r="L8" s="302" t="s">
        <v>695</v>
      </c>
      <c r="M8" s="303">
        <f ca="1">INDIRECT("'数据-取费表'!ai"&amp;$G$1)</f>
        <v>12</v>
      </c>
    </row>
    <row r="9" spans="1:37" ht="18" customHeight="1">
      <c r="A9" s="304"/>
      <c r="B9" s="3773"/>
      <c r="C9" s="306"/>
      <c r="D9" s="307"/>
      <c r="E9" s="302" t="s">
        <v>696</v>
      </c>
      <c r="F9" s="312">
        <f ca="1">INDIRECT("'数据-取费表'!w"&amp;$G$1)</f>
        <v>0.1</v>
      </c>
      <c r="G9" s="1381"/>
      <c r="H9" s="304"/>
      <c r="I9" s="3773"/>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2112</v>
      </c>
      <c r="E10" s="313" t="s">
        <v>698</v>
      </c>
      <c r="F10" s="1114" t="s">
        <v>3856</v>
      </c>
      <c r="G10" s="1381"/>
      <c r="H10" s="1067" t="s">
        <v>402</v>
      </c>
      <c r="I10" s="1362" t="s">
        <v>697</v>
      </c>
      <c r="J10" s="301">
        <f ca="1">ROUND(IF(M10="押一",J6/12*M11,IF(M10="押二",J6/12*2*M11,IF(M10="押三",J6/12*3*M11,J11*M11))),0)</f>
        <v>0</v>
      </c>
      <c r="K10" s="1374" t="s">
        <v>2114</v>
      </c>
      <c r="L10" s="313" t="s">
        <v>698</v>
      </c>
      <c r="M10" s="1114"/>
    </row>
    <row r="11" spans="1:37" ht="18" customHeight="1">
      <c r="A11" s="308"/>
      <c r="B11" s="1364" t="s">
        <v>887</v>
      </c>
      <c r="C11" s="958"/>
      <c r="D11" s="307"/>
      <c r="E11" s="313" t="s">
        <v>699</v>
      </c>
      <c r="F11" s="314">
        <f ca="1">'数据-取费表'!B39</f>
        <v>1.4999999999999999E-2</v>
      </c>
      <c r="G11" s="1381"/>
      <c r="H11" s="1075"/>
      <c r="I11" s="1364" t="s">
        <v>888</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117830</v>
      </c>
      <c r="D13" s="1079" t="s">
        <v>702</v>
      </c>
      <c r="E13" s="1079" t="s">
        <v>703</v>
      </c>
      <c r="F13" s="1080">
        <f ca="1">INDIRECT("'数据-取费表'!y"&amp;$G$1)</f>
        <v>1</v>
      </c>
      <c r="G13" s="1381"/>
      <c r="H13" s="1077">
        <v>2</v>
      </c>
      <c r="I13" s="1078" t="s">
        <v>701</v>
      </c>
      <c r="J13" s="1066">
        <f ca="1">ROUND(J14*J15,0)</f>
        <v>0</v>
      </c>
      <c r="K13" s="1085" t="s">
        <v>702</v>
      </c>
      <c r="L13" s="1389"/>
      <c r="M13" s="1390"/>
    </row>
    <row r="14" spans="1:37" ht="18" customHeight="1">
      <c r="A14" s="981" t="s">
        <v>397</v>
      </c>
      <c r="B14" s="302" t="s">
        <v>704</v>
      </c>
      <c r="C14" s="318">
        <f ca="1">ROUND(INDIRECT("'数据-取费表'!l"&amp;$G$1)*F43+'数据-取费表'!L14*INDIRECT("'数据-取费表'!S"&amp;$G$1),0)</f>
        <v>87150</v>
      </c>
      <c r="D14" s="1342" t="s">
        <v>705</v>
      </c>
      <c r="E14" s="1339"/>
      <c r="F14" s="319"/>
      <c r="G14" s="1381"/>
      <c r="H14" s="981" t="s">
        <v>398</v>
      </c>
      <c r="I14" s="302" t="s">
        <v>706</v>
      </c>
      <c r="J14" s="21">
        <f ca="1">C29</f>
        <v>117830</v>
      </c>
      <c r="K14" s="12"/>
      <c r="L14" s="806"/>
      <c r="M14" s="807"/>
    </row>
    <row r="15" spans="1:37" s="1394" customFormat="1" ht="18" customHeight="1" thickBot="1">
      <c r="A15" s="981" t="s">
        <v>399</v>
      </c>
      <c r="B15" s="302" t="s">
        <v>707</v>
      </c>
      <c r="C15" s="21">
        <f ca="1">ROUND(C14*F15,0)</f>
        <v>4358</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1"/>
      <c r="H16" s="1077" t="s">
        <v>393</v>
      </c>
      <c r="I16" s="1078" t="s">
        <v>711</v>
      </c>
      <c r="J16" s="310">
        <f ca="1">ROUND(J17+J22+J23+J24,0)</f>
        <v>589</v>
      </c>
      <c r="K16" s="1085" t="s">
        <v>712</v>
      </c>
      <c r="L16" s="1086"/>
      <c r="M16" s="1070"/>
    </row>
    <row r="17" spans="1:37" s="1394" customFormat="1" ht="18" customHeight="1">
      <c r="A17" s="981" t="s">
        <v>678</v>
      </c>
      <c r="B17" s="302" t="s">
        <v>713</v>
      </c>
      <c r="C17" s="21">
        <f ca="1">ROUND(F17*(F43+INDIRECT("'数据-取费表'!S"&amp;$G$1)),0)</f>
        <v>5810</v>
      </c>
      <c r="D17" s="302" t="s">
        <v>714</v>
      </c>
      <c r="E17" s="302" t="s">
        <v>715</v>
      </c>
      <c r="F17" s="23">
        <f>'数据-取费表'!B35</f>
        <v>200</v>
      </c>
      <c r="G17" s="1393"/>
      <c r="H17" s="981" t="s">
        <v>398</v>
      </c>
      <c r="I17" s="302" t="s">
        <v>716</v>
      </c>
      <c r="J17" s="2311">
        <f ca="1">ROUND(IF(AND(项目基本情况!B11="自然人",项目基本情况!B10="北京市"),J6*M17/(1+'数据-取费表'!C42),J18+J19+J20),0)</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1307</v>
      </c>
      <c r="D18" s="302" t="s">
        <v>708</v>
      </c>
      <c r="E18" s="302" t="s">
        <v>709</v>
      </c>
      <c r="F18" s="322">
        <f>'数据-取费表'!B36</f>
        <v>1.4999999999999999E-2</v>
      </c>
      <c r="G18" s="1393"/>
      <c r="H18" s="981" t="s">
        <v>397</v>
      </c>
      <c r="I18" s="302" t="s">
        <v>720</v>
      </c>
      <c r="J18" s="21">
        <f ca="1">ROUND(J6*M18/(1+'数据-取费表'!C42),0)</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98625</v>
      </c>
      <c r="D19" s="131" t="s">
        <v>723</v>
      </c>
      <c r="E19" s="1357"/>
      <c r="F19" s="23"/>
      <c r="G19" s="1381"/>
      <c r="H19" s="981" t="s">
        <v>399</v>
      </c>
      <c r="I19" s="302" t="s">
        <v>724</v>
      </c>
      <c r="J19" s="21">
        <f ca="1">IF(K19="按租金收入计税",ROUND(J6*M19/(1+'数据-取费表'!C42),0),ROUND(C29*M19*0.7,0))</f>
        <v>0</v>
      </c>
      <c r="K19" s="1367" t="s">
        <v>3338</v>
      </c>
      <c r="L19" s="302" t="s">
        <v>709</v>
      </c>
      <c r="M19" s="322">
        <f>IF(K19="按租金收入计税",'数据-取费表'!B51,'数据-取费表'!B50)</f>
        <v>0.12</v>
      </c>
    </row>
    <row r="20" spans="1:37" s="1394" customFormat="1" ht="18" customHeight="1">
      <c r="A20" s="981" t="s">
        <v>402</v>
      </c>
      <c r="B20" s="302" t="s">
        <v>725</v>
      </c>
      <c r="C20" s="21">
        <f ca="1">ROUND(C19*F20,0)</f>
        <v>1973</v>
      </c>
      <c r="D20" s="323" t="s">
        <v>726</v>
      </c>
      <c r="E20" s="302" t="s">
        <v>709</v>
      </c>
      <c r="F20" s="322">
        <f>'数据-取费表'!B37</f>
        <v>0.02</v>
      </c>
      <c r="G20" s="1393"/>
      <c r="H20" s="981" t="s">
        <v>677</v>
      </c>
      <c r="I20" s="155" t="s">
        <v>727</v>
      </c>
      <c r="J20" s="22">
        <f ca="1">ROUND(M20*M21,0)</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0</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ROUND(J14*M22,0)</f>
        <v>589</v>
      </c>
      <c r="K22" s="1341" t="s">
        <v>736</v>
      </c>
      <c r="L22" s="302" t="s">
        <v>709</v>
      </c>
      <c r="M22" s="328">
        <f ca="1">INDIRECT("'数据-取费表'!Ak"&amp;$G$1)</f>
        <v>5.0000000000000001E-3</v>
      </c>
    </row>
    <row r="23" spans="1:37" s="1394" customFormat="1" ht="18" customHeight="1">
      <c r="A23" s="981" t="s">
        <v>397</v>
      </c>
      <c r="B23" s="302" t="s">
        <v>737</v>
      </c>
      <c r="C23" s="21">
        <f ca="1">IF('数据-取费表'!B22&lt;=1,ROUND(C19*F24*F23/2,0)+ROUND(C20*F24*F23/2,0),ROUND(C19*(POWER((1+F24),F23/2)-1),0)+ROUND(C20*(POWER((1+F24),F23/2)-1),0))</f>
        <v>3471</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ROUND(J13*M23,0)</f>
        <v>0</v>
      </c>
      <c r="K23" s="1341" t="s">
        <v>740</v>
      </c>
      <c r="L23" s="302" t="s">
        <v>741</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ROUND(J5*M24,0)</f>
        <v>0</v>
      </c>
      <c r="K24" s="1090" t="s">
        <v>745</v>
      </c>
      <c r="L24" s="1088" t="s">
        <v>741</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746</v>
      </c>
      <c r="B25" s="302" t="s">
        <v>747</v>
      </c>
      <c r="C25" s="21"/>
      <c r="D25" s="131" t="s">
        <v>748</v>
      </c>
      <c r="E25" s="1357"/>
      <c r="F25" s="23"/>
      <c r="G25" s="1381"/>
      <c r="H25" s="1077" t="s">
        <v>394</v>
      </c>
      <c r="I25" s="1092" t="s">
        <v>749</v>
      </c>
      <c r="J25" s="310">
        <f ca="1">J5-J16</f>
        <v>-589</v>
      </c>
      <c r="K25" s="1093" t="s">
        <v>750</v>
      </c>
      <c r="L25" s="1094"/>
      <c r="M25" s="1095"/>
    </row>
    <row r="26" spans="1:37" ht="18" customHeight="1">
      <c r="A26" s="981" t="s">
        <v>397</v>
      </c>
      <c r="B26" s="302" t="s">
        <v>751</v>
      </c>
      <c r="C26" s="21">
        <f ca="1">ROUND((C19+C20)*F26,0)</f>
        <v>5030</v>
      </c>
      <c r="D26" s="323" t="s">
        <v>752</v>
      </c>
      <c r="E26" s="313" t="s">
        <v>753</v>
      </c>
      <c r="F26" s="312">
        <f ca="1">INDIRECT("'数据-取费表'!q"&amp;$G$1)</f>
        <v>0.05</v>
      </c>
      <c r="G26" s="1381"/>
      <c r="H26" s="299" t="s">
        <v>395</v>
      </c>
      <c r="I26" s="300" t="s">
        <v>754</v>
      </c>
      <c r="J26" s="301">
        <f ca="1">IF(J5&lt;&gt;0,ROUND(J25*(1-((1+M28)/(1+M26))^M27)/(M26-M28),0),0)</f>
        <v>0</v>
      </c>
      <c r="K26" s="324" t="s">
        <v>755</v>
      </c>
      <c r="L26" s="302" t="s">
        <v>756</v>
      </c>
      <c r="M26" s="312">
        <f ca="1">INDIRECT("'数据-取费表'!I"&amp;$G$1)</f>
        <v>0.05</v>
      </c>
    </row>
    <row r="27" spans="1:37" ht="18" customHeight="1">
      <c r="A27" s="981" t="s">
        <v>399</v>
      </c>
      <c r="B27" s="302" t="s">
        <v>757</v>
      </c>
      <c r="C27" s="21">
        <f ca="1">ROUND(F21*F26,4)</f>
        <v>1E-3</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117830</v>
      </c>
      <c r="D29" s="1090"/>
      <c r="E29" s="1088"/>
      <c r="F29" s="1091"/>
      <c r="G29" s="1393"/>
      <c r="H29" s="334" t="s">
        <v>396</v>
      </c>
      <c r="I29" s="335" t="s">
        <v>765</v>
      </c>
      <c r="J29" s="336">
        <f ca="1">ROUND(J26/(1+F40)^F41,0)</f>
        <v>0</v>
      </c>
      <c r="K29" s="337" t="s">
        <v>766</v>
      </c>
      <c r="L29" s="338"/>
      <c r="M29" s="339">
        <f ca="1">INDIRECT("'数据-取费表'!k"&amp;$G$1)</f>
        <v>29.05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1541</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ROUND(IF(AND(项目基本情况!B11="自然人",项目基本情况!B10="北京市"),C6*F31/(1+'数据-取费表'!C42),C32+C33+C34),0)</f>
        <v>810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IF(项目基本情况!B11="自然人","——",ROUND(C6*F32/(1+'数据-取费表'!C42),0))</f>
        <v>255</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IF(项目基本情况!B11="自然人","——",IF(D33="按租金收入计税",ROUND(C6*F33/(1+'数据-取费表'!C42),0),IF(D33="按房产原值计税",ROUND(C29*F33*0.7,0),INDIRECT("'数据-取费表'!Aj"&amp;$G$1))))</f>
        <v>555</v>
      </c>
      <c r="D33" s="1367" t="s">
        <v>3338</v>
      </c>
      <c r="E33" s="302" t="s">
        <v>709</v>
      </c>
      <c r="F33" s="322">
        <f>IF(D33="按票据","——",IF(D33="按租金收入计税",'数据-取费表'!B51,'数据-取费表'!B50))</f>
        <v>0.12</v>
      </c>
      <c r="G33" s="1381"/>
      <c r="H33" s="2695">
        <f ca="1">C13/F43</f>
        <v>4056.1101549053355</v>
      </c>
      <c r="I33" s="1395"/>
      <c r="J33" s="1396"/>
      <c r="K33" s="2696"/>
      <c r="L33" s="2695"/>
      <c r="M33" s="2695"/>
    </row>
    <row r="34" spans="1:18" ht="18" customHeight="1">
      <c r="A34" s="1067" t="s">
        <v>677</v>
      </c>
      <c r="B34" s="155" t="s">
        <v>727</v>
      </c>
      <c r="C34" s="22">
        <f ca="1">IF(项目基本情况!B11="自然人","——",ROUND(F34*F35,0))</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ROUND(C29*F36,0)</f>
        <v>589</v>
      </c>
      <c r="D36" s="1341" t="s">
        <v>768</v>
      </c>
      <c r="E36" s="302" t="s">
        <v>709</v>
      </c>
      <c r="F36" s="328">
        <f ca="1">INDIRECT("'数据-取费表'!Ak"&amp;$G$1)</f>
        <v>5.0000000000000001E-3</v>
      </c>
      <c r="G36" s="1381"/>
      <c r="H36" s="2695"/>
      <c r="I36" s="1395"/>
      <c r="J36" s="1396"/>
      <c r="K36" s="2539"/>
      <c r="L36" s="2695"/>
      <c r="M36" s="2695"/>
    </row>
    <row r="37" spans="1:18" ht="18" customHeight="1">
      <c r="A37" s="981" t="s">
        <v>437</v>
      </c>
      <c r="B37" s="302" t="s">
        <v>739</v>
      </c>
      <c r="C37" s="21">
        <f ca="1">ROUND(C13*F37,0)</f>
        <v>118</v>
      </c>
      <c r="D37" s="1341" t="s">
        <v>740</v>
      </c>
      <c r="E37" s="302" t="s">
        <v>741</v>
      </c>
      <c r="F37" s="330">
        <f ca="1">INDIRECT("'数据-取费表'!Al"&amp;$G$1)</f>
        <v>1E-3</v>
      </c>
      <c r="G37" s="1381"/>
      <c r="H37" s="2695"/>
      <c r="I37" s="1395"/>
      <c r="J37" s="1396"/>
      <c r="K37" s="2539"/>
      <c r="L37" s="2695"/>
      <c r="M37" s="2695"/>
    </row>
    <row r="38" spans="1:18" ht="18" customHeight="1" thickBot="1">
      <c r="A38" s="1087" t="s">
        <v>681</v>
      </c>
      <c r="B38" s="1088" t="s">
        <v>725</v>
      </c>
      <c r="C38" s="1089">
        <f ca="1">ROUND(C5*F38,0)</f>
        <v>24</v>
      </c>
      <c r="D38" s="1090" t="s">
        <v>745</v>
      </c>
      <c r="E38" s="1088" t="s">
        <v>741</v>
      </c>
      <c r="F38" s="1084">
        <f ca="1">INDIRECT("'数据-取费表'!Am"&amp;$G$1)</f>
        <v>5.0000000000000001E-3</v>
      </c>
      <c r="G38" s="1381"/>
      <c r="H38" s="2695"/>
      <c r="I38" s="1395"/>
      <c r="J38" s="1396"/>
      <c r="K38" s="2699"/>
      <c r="L38" s="2695"/>
      <c r="M38" s="2695"/>
    </row>
    <row r="39" spans="1:18" ht="24.6" customHeight="1" thickTop="1">
      <c r="A39" s="1077" t="s">
        <v>394</v>
      </c>
      <c r="B39" s="1092" t="s">
        <v>769</v>
      </c>
      <c r="C39" s="310">
        <f ca="1">C5-C30</f>
        <v>3319</v>
      </c>
      <c r="D39" s="1093" t="s">
        <v>770</v>
      </c>
      <c r="E39" s="1094"/>
      <c r="F39" s="1095"/>
      <c r="G39" s="1381"/>
      <c r="H39" s="2695"/>
      <c r="I39" s="1395"/>
      <c r="J39" s="1396"/>
      <c r="K39" s="2699"/>
      <c r="L39" s="2695"/>
      <c r="M39" s="2695"/>
    </row>
    <row r="40" spans="1:18" ht="18" customHeight="1">
      <c r="A40" s="299" t="s">
        <v>395</v>
      </c>
      <c r="B40" s="300" t="s">
        <v>771</v>
      </c>
      <c r="C40" s="301">
        <f ca="1">ROUND(C39*(1-((1+F42)/(1+F40))^F41)/(F40-F42),0)</f>
        <v>81473</v>
      </c>
      <c r="D40" s="324" t="s">
        <v>755</v>
      </c>
      <c r="E40" s="302" t="s">
        <v>756</v>
      </c>
      <c r="F40" s="312">
        <f ca="1">INDIRECT("'数据-取费表'!I"&amp;$G$1)</f>
        <v>0.05</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763</v>
      </c>
      <c r="F42" s="312">
        <f ca="1">INDIRECT("'数据-取费表'!v"&amp;$G$1)</f>
        <v>0.02</v>
      </c>
      <c r="G42" s="1381"/>
      <c r="H42" s="1188"/>
      <c r="I42" s="1395"/>
      <c r="J42" s="1396"/>
      <c r="K42" s="2539"/>
      <c r="L42" s="1188"/>
      <c r="M42" s="1188"/>
    </row>
    <row r="43" spans="1:18" ht="18" customHeight="1" thickBot="1">
      <c r="A43" s="334" t="s">
        <v>396</v>
      </c>
      <c r="B43" s="335" t="s">
        <v>773</v>
      </c>
      <c r="C43" s="336">
        <f ca="1">ROUND(C40/F43,0)</f>
        <v>2805</v>
      </c>
      <c r="D43" s="337" t="s">
        <v>774</v>
      </c>
      <c r="E43" s="338" t="s">
        <v>775</v>
      </c>
      <c r="F43" s="339">
        <f ca="1">INDIRECT("'数据-取费表'!k"&amp;$G$1)</f>
        <v>29.05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3354</v>
      </c>
      <c r="B45" s="1397"/>
      <c r="C45" s="1469">
        <f ca="1">ROUND((C68-C40)/10000,4)</f>
        <v>-9.4114000000000004</v>
      </c>
      <c r="D45" s="3427" t="s">
        <v>3355</v>
      </c>
      <c r="E45" s="1397"/>
      <c r="F45" s="1397"/>
      <c r="O45" s="1400" t="s">
        <v>805</v>
      </c>
      <c r="P45" s="1458"/>
      <c r="Q45" s="1458"/>
      <c r="R45" s="1458"/>
    </row>
    <row r="46" spans="1:18" s="1381" customFormat="1" ht="13.5" thickBot="1">
      <c r="A46" s="1401" t="s">
        <v>806</v>
      </c>
      <c r="C46" s="1402">
        <f ca="1">ROUND(C45,0)</f>
        <v>-9</v>
      </c>
      <c r="D46" s="1403" t="str">
        <f>C2</f>
        <v>万元</v>
      </c>
      <c r="I46" s="1404" t="s">
        <v>807</v>
      </c>
      <c r="J46" s="1405"/>
      <c r="K46" s="1406"/>
      <c r="L46" s="1407">
        <f ca="1">IF(M47="住宅",0,IF(L48&gt;J51,L60,J60))</f>
        <v>1692</v>
      </c>
      <c r="O46" s="1408" t="s">
        <v>808</v>
      </c>
      <c r="P46" s="1409" t="s">
        <v>809</v>
      </c>
      <c r="Q46" s="1410" t="s">
        <v>810</v>
      </c>
      <c r="R46" s="1410" t="s">
        <v>811</v>
      </c>
    </row>
    <row r="47" spans="1:18" s="1381" customFormat="1" ht="13.5" thickBot="1">
      <c r="A47" s="945" t="s">
        <v>684</v>
      </c>
      <c r="B47" s="977" t="s">
        <v>685</v>
      </c>
      <c r="C47" s="977" t="s">
        <v>686</v>
      </c>
      <c r="D47" s="977" t="s">
        <v>687</v>
      </c>
      <c r="E47" s="1056" t="s">
        <v>688</v>
      </c>
      <c r="F47" s="1057"/>
      <c r="G47" s="721"/>
      <c r="I47" s="1411" t="s">
        <v>812</v>
      </c>
      <c r="J47" s="1412" t="s">
        <v>3857</v>
      </c>
      <c r="K47" s="1413" t="s">
        <v>813</v>
      </c>
      <c r="L47" s="1414">
        <f ca="1">INDIRECT("'数据-取费表'!d"&amp;$G$1)</f>
        <v>50</v>
      </c>
      <c r="M47" s="1377" t="str">
        <f>IF(ISNUMBER(FIND("住宅",C1)),"住宅","非住宅")</f>
        <v>非住宅</v>
      </c>
      <c r="O47" s="1415" t="s">
        <v>403</v>
      </c>
      <c r="P47" s="1416" t="s">
        <v>814</v>
      </c>
      <c r="Q47" s="1417">
        <f ca="1">C40+J29</f>
        <v>81473</v>
      </c>
      <c r="R47" s="1417" t="s">
        <v>815</v>
      </c>
    </row>
    <row r="48" spans="1:18" s="1381" customFormat="1" ht="28.5" thickBot="1">
      <c r="A48" s="1108" t="s">
        <v>438</v>
      </c>
      <c r="B48" s="300" t="s">
        <v>689</v>
      </c>
      <c r="C48" s="1356">
        <f ca="1">C49+C53+C55</f>
        <v>0</v>
      </c>
      <c r="D48" s="1110"/>
      <c r="E48" s="1111"/>
      <c r="F48" s="961"/>
      <c r="G48" s="721"/>
      <c r="H48" s="722"/>
      <c r="I48" s="1418" t="s">
        <v>816</v>
      </c>
      <c r="J48" s="1419" t="s">
        <v>3858</v>
      </c>
      <c r="K48" s="1420" t="s">
        <v>817</v>
      </c>
      <c r="L48" s="1421">
        <f ca="1">INDIRECT("'数据-取费表'!f"&amp;$G$1)</f>
        <v>46</v>
      </c>
      <c r="O48" s="1415" t="s">
        <v>404</v>
      </c>
      <c r="P48" s="1416" t="s">
        <v>818</v>
      </c>
      <c r="Q48" s="1417">
        <f ca="1">J60</f>
        <v>1692</v>
      </c>
      <c r="R48" s="1417" t="s">
        <v>819</v>
      </c>
    </row>
    <row r="49" spans="1:18" s="1381" customFormat="1" ht="13.5" thickBot="1">
      <c r="A49" s="974" t="s">
        <v>439</v>
      </c>
      <c r="B49" s="1368" t="s">
        <v>776</v>
      </c>
      <c r="C49" s="1112">
        <f ca="1">ROUND(F49*F51*F50*(1-F52),0)</f>
        <v>0</v>
      </c>
      <c r="D49" s="1053" t="s">
        <v>692</v>
      </c>
      <c r="E49" s="1369" t="s">
        <v>777</v>
      </c>
      <c r="F49" s="1058"/>
      <c r="G49" s="1422"/>
      <c r="H49" s="722"/>
      <c r="I49" s="1418" t="s">
        <v>820</v>
      </c>
      <c r="J49" s="1423">
        <v>2023</v>
      </c>
      <c r="K49" s="1420" t="s">
        <v>821</v>
      </c>
      <c r="L49" s="1424"/>
      <c r="O49" s="1425" t="s">
        <v>405</v>
      </c>
      <c r="P49" s="1416" t="s">
        <v>822</v>
      </c>
      <c r="Q49" s="1417">
        <f ca="1">C29</f>
        <v>117830</v>
      </c>
      <c r="R49" s="1417" t="s">
        <v>815</v>
      </c>
    </row>
    <row r="50" spans="1:18" s="1381" customFormat="1" ht="13.5" thickBot="1">
      <c r="A50" s="975"/>
      <c r="B50" s="978"/>
      <c r="C50" s="979"/>
      <c r="D50" s="952"/>
      <c r="E50" s="1054" t="s">
        <v>694</v>
      </c>
      <c r="F50" s="1055">
        <f ca="1">F7</f>
        <v>1</v>
      </c>
      <c r="H50" s="722"/>
      <c r="I50" s="1418" t="s">
        <v>823</v>
      </c>
      <c r="J50" s="1426">
        <f>SUMPRODUCT((I63:I65=J47)*(J62:L62=J48)*(J63:L65))</f>
        <v>60</v>
      </c>
      <c r="K50" s="1420" t="s">
        <v>824</v>
      </c>
      <c r="L50" s="1424"/>
      <c r="M50" s="1427"/>
      <c r="O50" s="1425" t="s">
        <v>406</v>
      </c>
      <c r="P50" s="1416" t="s">
        <v>825</v>
      </c>
      <c r="Q50" s="1428">
        <f ca="1">J58</f>
        <v>0.4</v>
      </c>
      <c r="R50" s="1417"/>
    </row>
    <row r="51" spans="1:18" s="1381" customFormat="1" ht="13.5" thickBot="1">
      <c r="A51" s="976"/>
      <c r="B51" s="978"/>
      <c r="C51" s="979"/>
      <c r="D51" s="952"/>
      <c r="E51" s="980" t="s">
        <v>695</v>
      </c>
      <c r="F51" s="303">
        <f ca="1">F8</f>
        <v>12</v>
      </c>
      <c r="I51" s="1429" t="s">
        <v>826</v>
      </c>
      <c r="J51" s="1430">
        <f>IF(J49="",J50,J49+J50-YEAR('数据-取费表'!B2))</f>
        <v>60</v>
      </c>
      <c r="K51" s="1431" t="s">
        <v>827</v>
      </c>
      <c r="L51" s="1432">
        <f ca="1">ROUND(-PV(INDIRECT("'数据-取费表'!h"&amp;$G$1),J51,(C39-C13*C76),0),0)</f>
        <v>-101727</v>
      </c>
      <c r="M51" s="1433"/>
      <c r="O51" s="1425" t="s">
        <v>407</v>
      </c>
      <c r="P51" s="1416" t="s">
        <v>828</v>
      </c>
      <c r="Q51" s="1428">
        <f>J52</f>
        <v>7.4999999999999997E-2</v>
      </c>
      <c r="R51" s="1417"/>
    </row>
    <row r="52" spans="1:18" s="1381" customFormat="1" ht="13.5" thickBot="1">
      <c r="A52" s="976"/>
      <c r="B52" s="978"/>
      <c r="C52" s="979"/>
      <c r="D52" s="952"/>
      <c r="E52" s="980" t="s">
        <v>696</v>
      </c>
      <c r="F52" s="1052"/>
      <c r="I52" s="1434" t="s">
        <v>829</v>
      </c>
      <c r="J52" s="1435">
        <v>7.4999999999999997E-2</v>
      </c>
      <c r="K52" s="1434" t="s">
        <v>830</v>
      </c>
      <c r="L52" s="1435"/>
      <c r="O52" s="1425" t="s">
        <v>408</v>
      </c>
      <c r="P52" s="1416" t="s">
        <v>831</v>
      </c>
      <c r="Q52" s="1417">
        <f ca="1">J53</f>
        <v>46</v>
      </c>
      <c r="R52" s="1417" t="s">
        <v>832</v>
      </c>
    </row>
    <row r="53" spans="1:18" s="1381" customFormat="1" ht="30.75" customHeight="1" thickBot="1">
      <c r="A53" s="1109" t="s">
        <v>440</v>
      </c>
      <c r="B53" s="323" t="s">
        <v>697</v>
      </c>
      <c r="C53" s="316">
        <f ca="1">ROUND(IF(F53="押一",C49/12*F11,IF(F53="押二",C49/12*2*F11,IF(F53="押三",C49/12*3*F11,C54*F11))),0)</f>
        <v>0</v>
      </c>
      <c r="D53" s="1363" t="s">
        <v>2115</v>
      </c>
      <c r="E53" s="313" t="s">
        <v>698</v>
      </c>
      <c r="F53" s="1114"/>
      <c r="I53" s="1436" t="s">
        <v>833</v>
      </c>
      <c r="J53" s="2163">
        <f ca="1">IF(M47="住宅",IF(D1="——",MAX(J51,L48),MAX(J51,L48-'数据-取费表'!B24)),IF(D1="——",MIN(J51,L48),MIN(J51,L48-'数据-取费表'!B24)))</f>
        <v>46</v>
      </c>
      <c r="K53" s="3769" t="s">
        <v>834</v>
      </c>
      <c r="L53" s="3770"/>
      <c r="O53" s="1415" t="s">
        <v>409</v>
      </c>
      <c r="P53" s="1416" t="s">
        <v>835</v>
      </c>
      <c r="Q53" s="1417">
        <f ca="1">Q47+Q48</f>
        <v>83165</v>
      </c>
      <c r="R53" s="1417" t="s">
        <v>410</v>
      </c>
    </row>
    <row r="54" spans="1:18" s="1381" customFormat="1" ht="13.5" thickBot="1">
      <c r="A54" s="974"/>
      <c r="B54" s="1470" t="s">
        <v>888</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f ca="1">ROUND(IF(J47="钢混",J57/J50,1-(1-2%)*(J50-J57)/J50),3)</f>
        <v>0.23300000000000001</v>
      </c>
      <c r="K55" s="1442" t="s">
        <v>838</v>
      </c>
      <c r="L55" s="1443"/>
      <c r="O55" s="1408" t="s">
        <v>808</v>
      </c>
      <c r="P55" s="1409" t="s">
        <v>809</v>
      </c>
      <c r="Q55" s="1410" t="s">
        <v>810</v>
      </c>
      <c r="R55" s="1410" t="s">
        <v>811</v>
      </c>
    </row>
    <row r="56" spans="1:18" s="1381" customFormat="1" ht="36" customHeight="1" thickTop="1" thickBot="1">
      <c r="A56" s="956">
        <v>2</v>
      </c>
      <c r="B56" s="957" t="s">
        <v>701</v>
      </c>
      <c r="C56" s="232">
        <f ca="1">C13</f>
        <v>117830</v>
      </c>
      <c r="D56" s="1444"/>
      <c r="E56" s="1445"/>
      <c r="F56" s="1437"/>
      <c r="I56" s="1446" t="s">
        <v>839</v>
      </c>
      <c r="J56" s="1447" t="s">
        <v>3859</v>
      </c>
      <c r="K56" s="1418" t="s">
        <v>840</v>
      </c>
      <c r="L56" s="1421" t="str">
        <f ca="1">IF(L48&lt;J51,"——",L48-J51)</f>
        <v>——</v>
      </c>
      <c r="O56" s="1415" t="s">
        <v>403</v>
      </c>
      <c r="P56" s="1416" t="s">
        <v>814</v>
      </c>
      <c r="Q56" s="1417">
        <f ca="1">C40+J29</f>
        <v>81473</v>
      </c>
      <c r="R56" s="1417" t="s">
        <v>815</v>
      </c>
    </row>
    <row r="57" spans="1:18" s="1381" customFormat="1" ht="24.75" thickBot="1">
      <c r="A57" s="1448"/>
      <c r="B57" s="949" t="s">
        <v>764</v>
      </c>
      <c r="C57" s="238">
        <f ca="1">C29</f>
        <v>117830</v>
      </c>
      <c r="D57" s="1449"/>
      <c r="E57" s="1450"/>
      <c r="F57" s="1451"/>
      <c r="I57" s="1452" t="s">
        <v>841</v>
      </c>
      <c r="J57" s="1453">
        <f ca="1">IF(OR(M47="住宅",J51&lt;L48,J56="是"),"——",J51-L48)</f>
        <v>14</v>
      </c>
      <c r="K57" s="1418" t="s">
        <v>889</v>
      </c>
      <c r="L57" s="1421" t="str">
        <f ca="1">IF(L48&lt;J51,"——",IF(L55="比较法",L49,IF(L55="基准地价",L50,L51)))</f>
        <v>——</v>
      </c>
      <c r="O57" s="1415" t="s">
        <v>404</v>
      </c>
      <c r="P57" s="1416" t="s">
        <v>890</v>
      </c>
      <c r="Q57" s="1417">
        <f ca="1">L60</f>
        <v>0</v>
      </c>
      <c r="R57" s="1417" t="s">
        <v>891</v>
      </c>
    </row>
    <row r="58" spans="1:18" s="1381" customFormat="1" ht="24.75" thickBot="1">
      <c r="A58" s="315" t="s">
        <v>393</v>
      </c>
      <c r="B58" s="957" t="s">
        <v>711</v>
      </c>
      <c r="C58" s="316">
        <f ca="1">ROUND(C59+C64+C65+C66,0)</f>
        <v>707</v>
      </c>
      <c r="D58" s="959" t="s">
        <v>712</v>
      </c>
      <c r="E58" s="960"/>
      <c r="F58" s="961"/>
      <c r="I58" s="1452" t="s">
        <v>845</v>
      </c>
      <c r="J58" s="1454">
        <f ca="1">IF(J55&lt;0.4,0.4,J55)</f>
        <v>0.4</v>
      </c>
      <c r="K58" s="1431" t="s">
        <v>892</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f ca="1">IF(OR(M47="住宅",J51&lt;L48,J56="是"),"——",ROUND(C29*J58,0))</f>
        <v>47132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IF(项目基本情况!B11="自然人","——",ROUND(C48*F60/(1+'数据-取费表'!C42),0))</f>
        <v>0</v>
      </c>
      <c r="D60" s="963" t="s">
        <v>721</v>
      </c>
      <c r="E60" s="949" t="s">
        <v>709</v>
      </c>
      <c r="F60" s="331">
        <f t="shared" ref="F60:F66" si="0">F32</f>
        <v>5.5000000000000007E-2</v>
      </c>
      <c r="I60" s="1455" t="s">
        <v>850</v>
      </c>
      <c r="J60" s="1456">
        <f ca="1">IF(OR(M47="住宅",J51&lt;L48,J56="是"),"0",ROUND(J59/(1+J52)^J53,0))</f>
        <v>1692</v>
      </c>
      <c r="K60" s="1457" t="s">
        <v>851</v>
      </c>
      <c r="L60" s="1456">
        <f ca="1">IF(OR(M47="住宅",L48&lt;J51),0,ROUND(L57*(L58/L59-1),0))</f>
        <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IF(项目基本情况!B11="自然人","——",IF(D61="按租金收入计税",ROUND(C49*F61/(1+'数据-取费表'!C42),0),IF(D61="按房产原值计税",ROUND(C57*F61*0.7,0),INDIRECT("'数据-取费表'!Aj"&amp;$G$1))))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IF(项目基本情况!B11="自然人","——",ROUND(F62*F63,0))</f>
        <v>0</v>
      </c>
      <c r="D62" s="964" t="s">
        <v>783</v>
      </c>
      <c r="E62" s="949" t="s">
        <v>784</v>
      </c>
      <c r="F62" s="325">
        <f t="shared" si="0"/>
        <v>1.5</v>
      </c>
      <c r="I62" s="1459" t="s">
        <v>855</v>
      </c>
      <c r="J62" s="1460" t="s">
        <v>856</v>
      </c>
      <c r="K62" s="1460" t="s">
        <v>857</v>
      </c>
      <c r="L62" s="1460" t="s">
        <v>858</v>
      </c>
      <c r="M62" s="1461" t="s">
        <v>859</v>
      </c>
      <c r="O62" s="1415" t="s">
        <v>409</v>
      </c>
      <c r="P62" s="1416" t="s">
        <v>860</v>
      </c>
      <c r="Q62" s="1417">
        <f ca="1">Q56+Q57</f>
        <v>81473</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ROUND(C57*F64,0)</f>
        <v>589</v>
      </c>
      <c r="D64" s="963" t="s">
        <v>788</v>
      </c>
      <c r="E64" s="949" t="s">
        <v>780</v>
      </c>
      <c r="F64" s="328">
        <f t="shared" ca="1" si="0"/>
        <v>5.0000000000000001E-3</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ROUND(C56*F65,0)</f>
        <v>118</v>
      </c>
      <c r="D65" s="963" t="s">
        <v>740</v>
      </c>
      <c r="E65" s="949" t="s">
        <v>741</v>
      </c>
      <c r="F65" s="330">
        <f t="shared" ca="1" si="0"/>
        <v>1E-3</v>
      </c>
      <c r="I65" s="1459" t="s">
        <v>864</v>
      </c>
      <c r="J65" s="1460">
        <v>40</v>
      </c>
      <c r="K65" s="1460">
        <v>30</v>
      </c>
      <c r="L65" s="1460">
        <v>50</v>
      </c>
      <c r="M65" s="1462">
        <v>0.02</v>
      </c>
      <c r="O65" s="1415" t="s">
        <v>403</v>
      </c>
      <c r="P65" s="1416" t="s">
        <v>865</v>
      </c>
      <c r="Q65" s="1417">
        <f ca="1">C40+J29</f>
        <v>81473</v>
      </c>
      <c r="R65" s="1417" t="s">
        <v>815</v>
      </c>
    </row>
    <row r="66" spans="1:18" s="1381" customFormat="1" ht="16.5" thickBot="1">
      <c r="A66" s="981" t="s">
        <v>790</v>
      </c>
      <c r="B66" s="949" t="s">
        <v>725</v>
      </c>
      <c r="C66" s="21">
        <f ca="1">ROUND(C48*F66,0)</f>
        <v>0</v>
      </c>
      <c r="D66" s="963" t="s">
        <v>791</v>
      </c>
      <c r="E66" s="949" t="s">
        <v>709</v>
      </c>
      <c r="F66" s="312">
        <f t="shared" ca="1" si="0"/>
        <v>5.0000000000000001E-3</v>
      </c>
      <c r="O66" s="1415" t="s">
        <v>404</v>
      </c>
      <c r="P66" s="1416" t="s">
        <v>843</v>
      </c>
      <c r="Q66" s="1417">
        <f ca="1">L60</f>
        <v>0</v>
      </c>
      <c r="R66" s="1417" t="s">
        <v>866</v>
      </c>
    </row>
    <row r="67" spans="1:18" s="1381" customFormat="1" ht="16.5" thickBot="1">
      <c r="A67" s="956" t="s">
        <v>394</v>
      </c>
      <c r="B67" s="966" t="s">
        <v>749</v>
      </c>
      <c r="C67" s="316">
        <f ca="1">C48-C58</f>
        <v>-707</v>
      </c>
      <c r="D67" s="962" t="s">
        <v>750</v>
      </c>
      <c r="E67" s="967"/>
      <c r="F67" s="968"/>
      <c r="O67" s="1425" t="s">
        <v>405</v>
      </c>
      <c r="P67" s="1416" t="s">
        <v>847</v>
      </c>
      <c r="Q67" s="1463">
        <f ca="1">L51</f>
        <v>-101727</v>
      </c>
      <c r="R67" s="1417" t="s">
        <v>867</v>
      </c>
    </row>
    <row r="68" spans="1:18" s="1381" customFormat="1" ht="16.5" thickBot="1">
      <c r="A68" s="946" t="s">
        <v>395</v>
      </c>
      <c r="B68" s="947" t="s">
        <v>771</v>
      </c>
      <c r="C68" s="301">
        <f ca="1">ROUND(C67*(1-((1+F70)/(1+F68))^F69)/(F68-F70),0)</f>
        <v>-12641</v>
      </c>
      <c r="D68" s="964" t="s">
        <v>755</v>
      </c>
      <c r="E68" s="949" t="s">
        <v>756</v>
      </c>
      <c r="F68" s="312">
        <f ca="1">F40</f>
        <v>0.05</v>
      </c>
      <c r="O68" s="1425" t="s">
        <v>406</v>
      </c>
      <c r="P68" s="1464" t="s">
        <v>868</v>
      </c>
      <c r="Q68" s="1417">
        <f ca="1">ROUND(Q69-Q70*Q71,0)</f>
        <v>-4929</v>
      </c>
      <c r="R68" s="1417" t="s">
        <v>414</v>
      </c>
    </row>
    <row r="69" spans="1:18" s="1381" customFormat="1" ht="13.5" thickBot="1">
      <c r="A69" s="950"/>
      <c r="B69" s="951"/>
      <c r="C69" s="306"/>
      <c r="D69" s="969" t="s">
        <v>759</v>
      </c>
      <c r="E69" s="949" t="s">
        <v>760</v>
      </c>
      <c r="F69" s="333">
        <f ca="1">F41</f>
        <v>46</v>
      </c>
      <c r="O69" s="1425" t="s">
        <v>411</v>
      </c>
      <c r="P69" s="1464" t="s">
        <v>869</v>
      </c>
      <c r="Q69" s="1417">
        <f ca="1">C39</f>
        <v>3319</v>
      </c>
      <c r="R69" s="1417" t="s">
        <v>815</v>
      </c>
    </row>
    <row r="70" spans="1:18" s="1381" customFormat="1" ht="13.5" thickBot="1">
      <c r="A70" s="953"/>
      <c r="B70" s="954"/>
      <c r="C70" s="310"/>
      <c r="D70" s="965"/>
      <c r="E70" s="949" t="s">
        <v>763</v>
      </c>
      <c r="F70" s="1052"/>
      <c r="O70" s="1425" t="s">
        <v>412</v>
      </c>
      <c r="P70" s="1464" t="s">
        <v>870</v>
      </c>
      <c r="Q70" s="1417">
        <f ca="1">C13</f>
        <v>117830</v>
      </c>
      <c r="R70" s="1417" t="s">
        <v>815</v>
      </c>
    </row>
    <row r="71" spans="1:18" s="1381" customFormat="1" ht="13.5" thickBot="1">
      <c r="A71" s="970" t="s">
        <v>396</v>
      </c>
      <c r="B71" s="971" t="s">
        <v>773</v>
      </c>
      <c r="C71" s="336">
        <f ca="1">ROUND(C68/F71,0)</f>
        <v>-435</v>
      </c>
      <c r="D71" s="972" t="s">
        <v>774</v>
      </c>
      <c r="E71" s="973" t="s">
        <v>775</v>
      </c>
      <c r="F71" s="339">
        <f ca="1">F43</f>
        <v>29.05</v>
      </c>
      <c r="O71" s="1425" t="s">
        <v>413</v>
      </c>
      <c r="P71" s="1464" t="s">
        <v>871</v>
      </c>
      <c r="Q71" s="1428">
        <f ca="1">C76</f>
        <v>7.0000000000000007E-2</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8248</v>
      </c>
      <c r="D75" s="1381"/>
      <c r="E75" s="1381"/>
      <c r="F75" s="1381"/>
      <c r="K75" s="1399"/>
      <c r="L75" s="1381"/>
      <c r="O75" s="1415" t="s">
        <v>409</v>
      </c>
      <c r="P75" s="1416" t="s">
        <v>835</v>
      </c>
      <c r="Q75" s="1417">
        <f ca="1">Q65+Q66</f>
        <v>81473</v>
      </c>
      <c r="R75" s="1417" t="s">
        <v>410</v>
      </c>
    </row>
    <row r="76" spans="1:18">
      <c r="B76" s="342" t="s">
        <v>793</v>
      </c>
      <c r="C76" s="343">
        <f ca="1">INDIRECT("'数据-取费表'!j"&amp;$G$1)</f>
        <v>7.0000000000000007E-2</v>
      </c>
      <c r="I76" s="1381"/>
      <c r="J76" s="1381"/>
      <c r="K76" s="1399"/>
      <c r="L76" s="1381"/>
    </row>
    <row r="77" spans="1:18">
      <c r="B77" s="344" t="s">
        <v>794</v>
      </c>
      <c r="C77" s="345"/>
      <c r="I77" s="1381"/>
      <c r="J77" s="1381"/>
      <c r="K77" s="1399"/>
      <c r="L77" s="1381"/>
    </row>
    <row r="78" spans="1:18">
      <c r="B78" s="270" t="s">
        <v>795</v>
      </c>
      <c r="C78" s="346"/>
    </row>
    <row r="79" spans="1:18">
      <c r="B79" s="340" t="s">
        <v>796</v>
      </c>
      <c r="C79" s="274">
        <f ca="1">1-C80</f>
        <v>-1.4849999999999999</v>
      </c>
    </row>
    <row r="80" spans="1:18">
      <c r="B80" s="340" t="s">
        <v>797</v>
      </c>
      <c r="C80" s="274">
        <f ca="1">ROUND(C75/C39,3)</f>
        <v>2.4849999999999999</v>
      </c>
    </row>
    <row r="81" spans="2:3">
      <c r="B81" s="270" t="s">
        <v>798</v>
      </c>
      <c r="C81" s="238"/>
    </row>
    <row r="82" spans="2:3">
      <c r="B82" s="273" t="s">
        <v>799</v>
      </c>
      <c r="C82" s="275">
        <f ca="1">1-C83</f>
        <v>-0.44599999999999995</v>
      </c>
    </row>
    <row r="83" spans="2:3">
      <c r="B83" s="273" t="s">
        <v>800</v>
      </c>
      <c r="C83" s="274">
        <f ca="1">ROUND(C13/C40,3)</f>
        <v>1.446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2" t="s">
        <v>2315</v>
      </c>
      <c r="B2" s="2838" t="e">
        <f>IF(D2="——",C40,C40+E2)</f>
        <v>#DIV/0!</v>
      </c>
      <c r="C2" s="2839" t="s">
        <v>2316</v>
      </c>
      <c r="D2" s="3438" t="s">
        <v>3360</v>
      </c>
      <c r="E2" s="3439"/>
      <c r="F2" s="2841"/>
      <c r="G2" s="2842"/>
      <c r="H2" s="2843"/>
      <c r="I2" s="2844"/>
      <c r="J2" s="3781" t="s">
        <v>2317</v>
      </c>
      <c r="K2" s="3782"/>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783" t="s">
        <v>2327</v>
      </c>
      <c r="K3" s="3784"/>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783" t="s">
        <v>2329</v>
      </c>
      <c r="K4" s="3784"/>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85" t="s">
        <v>2333</v>
      </c>
      <c r="B6" s="3786"/>
      <c r="C6" s="3787"/>
      <c r="D6" s="2865"/>
      <c r="E6" s="2866"/>
      <c r="F6" s="2867"/>
      <c r="G6" s="2868"/>
      <c r="H6" s="2843"/>
      <c r="I6" s="2844"/>
      <c r="J6" s="3788">
        <v>1</v>
      </c>
      <c r="K6" s="3789"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788"/>
      <c r="K7" s="3790"/>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92" t="s">
        <v>2347</v>
      </c>
      <c r="C8" s="3793"/>
      <c r="D8" s="2884" t="s">
        <v>2348</v>
      </c>
      <c r="E8" s="2885" t="s">
        <v>2349</v>
      </c>
      <c r="F8" s="2886" t="s">
        <v>2350</v>
      </c>
      <c r="G8" s="2887"/>
      <c r="H8" s="2843"/>
      <c r="I8" s="2844"/>
      <c r="J8" s="3788"/>
      <c r="K8" s="3790"/>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92" t="s">
        <v>2353</v>
      </c>
      <c r="C9" s="3793"/>
      <c r="D9" s="2884">
        <f>ROUND(D6*E9,0)</f>
        <v>0</v>
      </c>
      <c r="E9" s="2888"/>
      <c r="F9" s="2889" t="s">
        <v>2354</v>
      </c>
      <c r="G9" s="2868"/>
      <c r="H9" s="2843"/>
      <c r="I9" s="2844"/>
      <c r="J9" s="3788"/>
      <c r="K9" s="3790"/>
      <c r="L9" s="2878" t="s">
        <v>2355</v>
      </c>
      <c r="M9" s="2879"/>
      <c r="N9" s="2855"/>
      <c r="O9" s="2880"/>
      <c r="P9" s="2880"/>
      <c r="Q9" s="2881">
        <v>365</v>
      </c>
      <c r="R9" s="2882">
        <f t="shared" si="0"/>
        <v>0</v>
      </c>
      <c r="S9" s="2836"/>
      <c r="T9" s="2836"/>
      <c r="U9" s="2836"/>
      <c r="V9" s="2844"/>
    </row>
    <row r="10" spans="1:22" s="2848" customFormat="1" ht="13.15" customHeight="1">
      <c r="A10" s="2883">
        <v>2</v>
      </c>
      <c r="B10" s="3792" t="s">
        <v>2356</v>
      </c>
      <c r="C10" s="3793"/>
      <c r="D10" s="2884">
        <f>ROUND(D6*E10,0)</f>
        <v>0</v>
      </c>
      <c r="E10" s="2888"/>
      <c r="F10" s="2889" t="s">
        <v>2357</v>
      </c>
      <c r="G10" s="2868"/>
      <c r="H10" s="2843"/>
      <c r="I10" s="2844"/>
      <c r="J10" s="3788"/>
      <c r="K10" s="3790"/>
      <c r="L10" s="2878" t="s">
        <v>2358</v>
      </c>
      <c r="M10" s="2879"/>
      <c r="N10" s="2855"/>
      <c r="O10" s="2880"/>
      <c r="P10" s="2880"/>
      <c r="Q10" s="2881">
        <v>365</v>
      </c>
      <c r="R10" s="2882">
        <f t="shared" si="0"/>
        <v>0</v>
      </c>
      <c r="S10" s="2836"/>
      <c r="T10" s="2836"/>
      <c r="U10" s="2836"/>
      <c r="V10" s="2844"/>
    </row>
    <row r="11" spans="1:22" s="2848" customFormat="1" ht="13.15" customHeight="1">
      <c r="A11" s="2883">
        <v>3</v>
      </c>
      <c r="B11" s="3792" t="s">
        <v>2359</v>
      </c>
      <c r="C11" s="3793"/>
      <c r="D11" s="2884">
        <f>D12+D14+D15+D16</f>
        <v>0</v>
      </c>
      <c r="E11" s="2890" t="e">
        <f>D11/D6</f>
        <v>#DIV/0!</v>
      </c>
      <c r="F11" s="2886"/>
      <c r="G11" s="2887"/>
      <c r="H11" s="2843"/>
      <c r="I11" s="2844"/>
      <c r="J11" s="3788"/>
      <c r="K11" s="3790"/>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94" t="s">
        <v>2362</v>
      </c>
      <c r="C12" s="3795"/>
      <c r="D12" s="2892">
        <f>ROUND(D13*1.2%*(1-30%),0)</f>
        <v>0</v>
      </c>
      <c r="E12" s="2893">
        <v>1.2E-2</v>
      </c>
      <c r="F12" s="2886" t="s">
        <v>2363</v>
      </c>
      <c r="G12" s="2887"/>
      <c r="H12" s="2843"/>
      <c r="I12" s="2844"/>
      <c r="J12" s="3788"/>
      <c r="K12" s="3790"/>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788"/>
      <c r="K13" s="3790"/>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94" t="s">
        <v>2368</v>
      </c>
      <c r="C14" s="3795"/>
      <c r="D14" s="2892">
        <f>ROUND(E14*B5/10000,0)</f>
        <v>0</v>
      </c>
      <c r="E14" s="2881"/>
      <c r="F14" s="2886" t="s">
        <v>2369</v>
      </c>
      <c r="G14" s="2887"/>
      <c r="H14" s="2843"/>
      <c r="I14" s="2844"/>
      <c r="J14" s="3788"/>
      <c r="K14" s="3791"/>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94" t="s">
        <v>2372</v>
      </c>
      <c r="C15" s="3795"/>
      <c r="D15" s="2892">
        <f>ROUND(D6*E15,0)</f>
        <v>0</v>
      </c>
      <c r="E15" s="2893">
        <v>5.5E-2</v>
      </c>
      <c r="F15" s="2886" t="s">
        <v>2373</v>
      </c>
      <c r="G15" s="2868"/>
      <c r="H15" s="2843"/>
      <c r="I15" s="2844"/>
      <c r="J15" s="3788">
        <v>2</v>
      </c>
      <c r="K15" s="3789"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94" t="s">
        <v>2381</v>
      </c>
      <c r="C16" s="3795"/>
      <c r="D16" s="2903">
        <f>D6*E16</f>
        <v>0</v>
      </c>
      <c r="E16" s="2904"/>
      <c r="F16" s="2889" t="s">
        <v>2382</v>
      </c>
      <c r="G16" s="2868"/>
      <c r="H16" s="2843"/>
      <c r="I16" s="2844"/>
      <c r="J16" s="3788"/>
      <c r="K16" s="3790"/>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96" t="s">
        <v>2384</v>
      </c>
      <c r="C17" s="3797"/>
      <c r="D17" s="2906">
        <f>ROUND(D6*E17,0)</f>
        <v>0</v>
      </c>
      <c r="E17" s="2907"/>
      <c r="F17" s="2908" t="s">
        <v>2385</v>
      </c>
      <c r="G17" s="2868"/>
      <c r="H17" s="2843"/>
      <c r="I17" s="2844"/>
      <c r="J17" s="3788"/>
      <c r="K17" s="3790"/>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788"/>
      <c r="K18" s="3790"/>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788"/>
      <c r="K19" s="3791"/>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88">
        <v>3</v>
      </c>
      <c r="K20" s="3789"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788"/>
      <c r="K21" s="3790"/>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788"/>
      <c r="K22" s="3790"/>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788"/>
      <c r="K23" s="3790"/>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788"/>
      <c r="K24" s="3791"/>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798">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99"/>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781" t="s">
        <v>2317</v>
      </c>
      <c r="K32" s="3782"/>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783" t="s">
        <v>2327</v>
      </c>
      <c r="K33" s="3784"/>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783" t="s">
        <v>2329</v>
      </c>
      <c r="K34" s="3784"/>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788">
        <v>1</v>
      </c>
      <c r="K36" s="3789"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788"/>
      <c r="K37" s="3790"/>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88"/>
      <c r="K38" s="3790"/>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788"/>
      <c r="K39" s="3790"/>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788"/>
      <c r="K40" s="3791"/>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798">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99"/>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702"/>
      <c r="G1" s="1486"/>
      <c r="H1" s="1486"/>
      <c r="I1" s="1486"/>
      <c r="J1" s="1486"/>
      <c r="K1" s="1486"/>
      <c r="L1" s="1486"/>
      <c r="M1" s="1486"/>
      <c r="N1" s="1486"/>
      <c r="O1" s="1486"/>
      <c r="P1" s="1486"/>
      <c r="Q1" s="1486"/>
      <c r="R1" s="1486"/>
      <c r="S1" s="1486"/>
    </row>
    <row r="2" spans="1:22" ht="15.75">
      <c r="A2" s="1867" t="s">
        <v>1459</v>
      </c>
      <c r="B2" s="1868">
        <f ca="1">SUMIF(B6:B13,"&lt;&gt;#ref!",B6:B13)</f>
        <v>8.3164999999999996</v>
      </c>
      <c r="C2" s="1869" t="s">
        <v>1648</v>
      </c>
      <c r="D2" s="1870" t="s">
        <v>1649</v>
      </c>
      <c r="E2" s="2602">
        <f>SUM(E6:E13)</f>
        <v>29.05</v>
      </c>
      <c r="F2" s="2702"/>
      <c r="G2" s="1486"/>
      <c r="H2" s="1486"/>
      <c r="I2" s="1486"/>
      <c r="J2" s="1486"/>
      <c r="K2" s="1486"/>
      <c r="L2" s="1486"/>
      <c r="M2" s="1486"/>
      <c r="N2" s="1486"/>
      <c r="O2" s="1486"/>
      <c r="P2" s="1486"/>
      <c r="Q2" s="1486"/>
      <c r="R2" s="1486"/>
      <c r="S2" s="1486"/>
    </row>
    <row r="3" spans="1:22" ht="15.75">
      <c r="A3" s="1867" t="s">
        <v>683</v>
      </c>
      <c r="B3" s="2596">
        <f ca="1">ROUND(B2*10000/E2,0)</f>
        <v>2863</v>
      </c>
      <c r="C3" s="1869" t="s">
        <v>1656</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1650</v>
      </c>
      <c r="B5" s="3800" t="s">
        <v>1651</v>
      </c>
      <c r="C5" s="3801"/>
      <c r="D5" s="2703"/>
      <c r="E5" s="1871" t="s">
        <v>1652</v>
      </c>
      <c r="F5" s="1872" t="s">
        <v>1653</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1648</v>
      </c>
      <c r="D6" s="2704"/>
      <c r="E6" s="2601">
        <f>IF(OR(A6=0,F6="否"),0,'数据-取费表'!K6+'数据-取费表'!S6)</f>
        <v>0</v>
      </c>
      <c r="F6" s="1873" t="s">
        <v>1654</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8.3164999999999996</v>
      </c>
      <c r="C7" s="1869" t="s">
        <v>1648</v>
      </c>
      <c r="D7" s="2704"/>
      <c r="E7" s="2601">
        <f>IF(OR(A7=0,F7="否"),0,'数据-取费表'!K7+'数据-取费表'!S7)</f>
        <v>29.05</v>
      </c>
      <c r="F7" s="1873" t="s">
        <v>1654</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1648</v>
      </c>
      <c r="D8" s="2704"/>
      <c r="E8" s="2601">
        <f>IF(OR(A8=0,F8="否"),0,'数据-取费表'!K8+'数据-取费表'!S8)</f>
        <v>0</v>
      </c>
      <c r="F8" s="1873" t="s">
        <v>1654</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1648</v>
      </c>
      <c r="D9" s="2704"/>
      <c r="E9" s="2601">
        <f>IF(OR(A9=0,F9="否"),0,'数据-取费表'!K9+'数据-取费表'!S9)</f>
        <v>0</v>
      </c>
      <c r="F9" s="1873" t="s">
        <v>1654</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1648</v>
      </c>
      <c r="D10" s="2704"/>
      <c r="E10" s="2601">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1648</v>
      </c>
      <c r="D11" s="2704"/>
      <c r="E11" s="2601">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1648</v>
      </c>
      <c r="D12" s="2704"/>
      <c r="E12" s="2601">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1648</v>
      </c>
      <c r="D13" s="2705"/>
      <c r="E13" s="2601">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21"/>
      <c r="F1" s="1876"/>
      <c r="G1" s="1232" t="s">
        <v>1764</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1459</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1461</v>
      </c>
      <c r="B3" s="558">
        <f>IF(C2="——",C49,ROUND(B2*10000/D3,0))</f>
        <v>0</v>
      </c>
      <c r="C3" s="354" t="s">
        <v>1765</v>
      </c>
      <c r="D3" s="353">
        <f>IF(D1="",'数据-汇总表'!E3,SUMIF('数据-汇总表'!$C19:$C33,D1,'数据-汇总表'!$E19:$E33))</f>
        <v>116.03999999999999</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1766</v>
      </c>
      <c r="B4" s="356"/>
      <c r="C4" s="3731" t="s">
        <v>1767</v>
      </c>
      <c r="D4" s="3732"/>
      <c r="E4" s="3733" t="s">
        <v>1768</v>
      </c>
      <c r="F4" s="3734"/>
      <c r="G4" s="3731" t="s">
        <v>1769</v>
      </c>
      <c r="H4" s="3732"/>
      <c r="I4" s="3731" t="s">
        <v>1770</v>
      </c>
      <c r="J4" s="3732"/>
      <c r="K4" s="559" t="s">
        <v>1771</v>
      </c>
      <c r="L4" s="2710"/>
      <c r="M4" s="2711"/>
      <c r="N4" s="2711"/>
      <c r="O4" s="2711"/>
      <c r="P4" s="3735" t="s">
        <v>1772</v>
      </c>
      <c r="Q4" s="3736"/>
      <c r="R4" s="3717" t="s">
        <v>1768</v>
      </c>
      <c r="S4" s="3718"/>
      <c r="T4" s="3717" t="s">
        <v>1769</v>
      </c>
      <c r="U4" s="3718"/>
      <c r="V4" s="3743" t="s">
        <v>1770</v>
      </c>
      <c r="W4" s="3743"/>
      <c r="X4" s="1352"/>
      <c r="Y4" s="3717" t="s">
        <v>1772</v>
      </c>
      <c r="Z4" s="3718"/>
      <c r="AA4" s="3712" t="s">
        <v>1768</v>
      </c>
      <c r="AB4" s="3743" t="s">
        <v>1769</v>
      </c>
      <c r="AC4" s="3712" t="s">
        <v>1770</v>
      </c>
    </row>
    <row r="5" spans="1:29" ht="15">
      <c r="A5" s="358"/>
      <c r="B5" s="359"/>
      <c r="C5" s="3723" t="s">
        <v>1670</v>
      </c>
      <c r="D5" s="3724"/>
      <c r="E5" s="3762" t="s">
        <v>1671</v>
      </c>
      <c r="F5" s="3722"/>
      <c r="G5" s="3723" t="s">
        <v>1672</v>
      </c>
      <c r="H5" s="3724"/>
      <c r="I5" s="3723" t="s">
        <v>1673</v>
      </c>
      <c r="J5" s="3724"/>
      <c r="K5" s="559"/>
      <c r="L5" s="2710"/>
      <c r="M5" s="2711"/>
      <c r="N5" s="2711"/>
      <c r="O5" s="2711"/>
      <c r="P5" s="3737"/>
      <c r="Q5" s="3738"/>
      <c r="R5" s="3719"/>
      <c r="S5" s="3720"/>
      <c r="T5" s="3719"/>
      <c r="U5" s="3720"/>
      <c r="V5" s="3743"/>
      <c r="W5" s="3743"/>
      <c r="X5" s="1352"/>
      <c r="Y5" s="3719"/>
      <c r="Z5" s="3720"/>
      <c r="AA5" s="3713"/>
      <c r="AB5" s="3743"/>
      <c r="AC5" s="3713"/>
    </row>
    <row r="6" spans="1:29" ht="15.75" thickBot="1">
      <c r="A6" s="360"/>
      <c r="B6" s="361"/>
      <c r="C6" s="3725" t="s">
        <v>1674</v>
      </c>
      <c r="D6" s="3726"/>
      <c r="E6" s="3728" t="s">
        <v>1674</v>
      </c>
      <c r="F6" s="3729"/>
      <c r="G6" s="3725" t="s">
        <v>1674</v>
      </c>
      <c r="H6" s="3726"/>
      <c r="I6" s="3725" t="s">
        <v>1674</v>
      </c>
      <c r="J6" s="3726"/>
      <c r="K6" s="559" t="s">
        <v>1675</v>
      </c>
      <c r="L6" s="2710"/>
      <c r="M6" s="2711"/>
      <c r="N6" s="2711"/>
      <c r="O6" s="2711"/>
      <c r="P6" s="3739"/>
      <c r="Q6" s="3740"/>
      <c r="R6" s="3719"/>
      <c r="S6" s="3720"/>
      <c r="T6" s="3741"/>
      <c r="U6" s="3742"/>
      <c r="V6" s="3743"/>
      <c r="W6" s="3743"/>
      <c r="X6" s="1352"/>
      <c r="Y6" s="3741"/>
      <c r="Z6" s="3742"/>
      <c r="AA6" s="3714"/>
      <c r="AB6" s="3743"/>
      <c r="AC6" s="3714"/>
    </row>
    <row r="7" spans="1:29" s="108" customFormat="1" ht="15.75" thickBot="1">
      <c r="A7" s="362" t="s">
        <v>1676</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15" t="s">
        <v>1677</v>
      </c>
      <c r="Q7" s="3744"/>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15" t="s">
        <v>1680</v>
      </c>
      <c r="Q8" s="3716"/>
      <c r="R8" s="700" t="s">
        <v>14</v>
      </c>
      <c r="S8" s="701">
        <f t="shared" si="0"/>
        <v>100</v>
      </c>
      <c r="T8" s="700" t="s">
        <v>14</v>
      </c>
      <c r="U8" s="701">
        <f t="shared" si="1"/>
        <v>100</v>
      </c>
      <c r="V8" s="700" t="s">
        <v>14</v>
      </c>
      <c r="W8" s="701">
        <f t="shared" si="2"/>
        <v>100</v>
      </c>
      <c r="X8" s="702"/>
      <c r="Y8" s="3715" t="s">
        <v>1680</v>
      </c>
      <c r="Z8" s="3716"/>
      <c r="AA8" s="703">
        <f t="shared" ref="AA8:AA46" si="3">D8/F8</f>
        <v>1</v>
      </c>
      <c r="AB8" s="703">
        <f t="shared" ref="AB8:AB46" si="4">D8/H8</f>
        <v>1</v>
      </c>
      <c r="AC8" s="703">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30" t="s">
        <v>1683</v>
      </c>
      <c r="Q9" s="1340" t="str">
        <f t="shared" ref="Q9:Q15" si="6">B9</f>
        <v>用途</v>
      </c>
      <c r="R9" s="700" t="s">
        <v>14</v>
      </c>
      <c r="S9" s="701">
        <f t="shared" si="0"/>
        <v>100</v>
      </c>
      <c r="T9" s="700" t="s">
        <v>14</v>
      </c>
      <c r="U9" s="701">
        <f t="shared" si="1"/>
        <v>100</v>
      </c>
      <c r="V9" s="700" t="s">
        <v>14</v>
      </c>
      <c r="W9" s="701">
        <f t="shared" si="2"/>
        <v>100</v>
      </c>
      <c r="X9" s="702"/>
      <c r="Y9" s="3688"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30"/>
      <c r="Q10" s="1340"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30"/>
      <c r="Q11" s="1340" t="str">
        <f t="shared" si="6"/>
        <v>容积率</v>
      </c>
      <c r="R11" s="700" t="s">
        <v>14</v>
      </c>
      <c r="S11" s="701" t="e">
        <f t="shared" si="0"/>
        <v>#N/A</v>
      </c>
      <c r="T11" s="700" t="s">
        <v>14</v>
      </c>
      <c r="U11" s="701" t="e">
        <f t="shared" si="1"/>
        <v>#N/A</v>
      </c>
      <c r="V11" s="700" t="s">
        <v>14</v>
      </c>
      <c r="W11" s="701" t="e">
        <f t="shared" si="2"/>
        <v>#N/A</v>
      </c>
      <c r="X11" s="702"/>
      <c r="Y11" s="3688"/>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30"/>
      <c r="Q12" s="1340">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30"/>
      <c r="Q13" s="1340">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30"/>
      <c r="Q14" s="1340">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57" t="s">
        <v>1688</v>
      </c>
      <c r="Q15" s="1349" t="str">
        <f t="shared" si="6"/>
        <v>商业繁华度</v>
      </c>
      <c r="R15" s="704" t="s">
        <v>14</v>
      </c>
      <c r="S15" s="705">
        <f t="shared" si="0"/>
        <v>100</v>
      </c>
      <c r="T15" s="704" t="s">
        <v>14</v>
      </c>
      <c r="U15" s="705">
        <f t="shared" si="1"/>
        <v>100</v>
      </c>
      <c r="V15" s="704" t="s">
        <v>14</v>
      </c>
      <c r="W15" s="705">
        <f t="shared" si="2"/>
        <v>100</v>
      </c>
      <c r="X15" s="1352"/>
      <c r="Y15" s="3750"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58"/>
      <c r="Q16" s="1349"/>
      <c r="R16" s="704"/>
      <c r="S16" s="705"/>
      <c r="T16" s="704"/>
      <c r="U16" s="705"/>
      <c r="V16" s="704"/>
      <c r="W16" s="705"/>
      <c r="X16" s="1352"/>
      <c r="Y16" s="3751"/>
      <c r="Z16" s="1353"/>
      <c r="AA16" s="1350">
        <v>1</v>
      </c>
      <c r="AB16" s="1350">
        <v>1</v>
      </c>
      <c r="AC16" s="1350">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58"/>
      <c r="Q17" s="1349" t="str">
        <f>B17</f>
        <v>交通便捷度</v>
      </c>
      <c r="R17" s="704" t="s">
        <v>14</v>
      </c>
      <c r="S17" s="705">
        <f>F17</f>
        <v>100</v>
      </c>
      <c r="T17" s="704" t="s">
        <v>14</v>
      </c>
      <c r="U17" s="705">
        <f>H17</f>
        <v>100</v>
      </c>
      <c r="V17" s="704" t="s">
        <v>14</v>
      </c>
      <c r="W17" s="705">
        <f>J17</f>
        <v>100</v>
      </c>
      <c r="X17" s="1352"/>
      <c r="Y17" s="3751"/>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58"/>
      <c r="Q18" s="1349"/>
      <c r="R18" s="704"/>
      <c r="S18" s="705"/>
      <c r="T18" s="704"/>
      <c r="U18" s="705"/>
      <c r="V18" s="704"/>
      <c r="W18" s="705"/>
      <c r="X18" s="1352"/>
      <c r="Y18" s="3751"/>
      <c r="Z18" s="1353"/>
      <c r="AA18" s="1350">
        <v>1</v>
      </c>
      <c r="AB18" s="1350">
        <v>1</v>
      </c>
      <c r="AC18" s="1350">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58"/>
      <c r="Q19" s="1349" t="str">
        <f>B19</f>
        <v>公共配套设施</v>
      </c>
      <c r="R19" s="704" t="s">
        <v>14</v>
      </c>
      <c r="S19" s="705">
        <f>F19</f>
        <v>100</v>
      </c>
      <c r="T19" s="704" t="s">
        <v>14</v>
      </c>
      <c r="U19" s="705">
        <f>H19</f>
        <v>100</v>
      </c>
      <c r="V19" s="704" t="s">
        <v>14</v>
      </c>
      <c r="W19" s="705">
        <f>J19</f>
        <v>100</v>
      </c>
      <c r="X19" s="1352"/>
      <c r="Y19" s="3751"/>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58"/>
      <c r="Q20" s="1349"/>
      <c r="R20" s="704"/>
      <c r="S20" s="705"/>
      <c r="T20" s="704"/>
      <c r="U20" s="705"/>
      <c r="V20" s="704"/>
      <c r="W20" s="705"/>
      <c r="X20" s="1352"/>
      <c r="Y20" s="3751"/>
      <c r="Z20" s="1353"/>
      <c r="AA20" s="1350">
        <v>1</v>
      </c>
      <c r="AB20" s="1350">
        <v>1</v>
      </c>
      <c r="AC20" s="1350">
        <v>1</v>
      </c>
    </row>
    <row r="21" spans="1:29" ht="28.5">
      <c r="A21" s="379"/>
      <c r="B21" s="1129"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58"/>
      <c r="Q21" s="1349" t="str">
        <f>B21</f>
        <v>基础设施水平</v>
      </c>
      <c r="R21" s="704" t="s">
        <v>14</v>
      </c>
      <c r="S21" s="705">
        <f>F21</f>
        <v>100</v>
      </c>
      <c r="T21" s="704" t="s">
        <v>14</v>
      </c>
      <c r="U21" s="705">
        <f>H21</f>
        <v>100</v>
      </c>
      <c r="V21" s="704" t="s">
        <v>14</v>
      </c>
      <c r="W21" s="705">
        <f>J21</f>
        <v>100</v>
      </c>
      <c r="X21" s="1352"/>
      <c r="Y21" s="3751"/>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58"/>
      <c r="Q22" s="1349"/>
      <c r="R22" s="704"/>
      <c r="S22" s="705"/>
      <c r="T22" s="704"/>
      <c r="U22" s="705"/>
      <c r="V22" s="704"/>
      <c r="W22" s="705"/>
      <c r="X22" s="1352"/>
      <c r="Y22" s="3751"/>
      <c r="Z22" s="1353"/>
      <c r="AA22" s="1350">
        <v>1</v>
      </c>
      <c r="AB22" s="1350">
        <v>1</v>
      </c>
      <c r="AC22" s="1350">
        <v>1</v>
      </c>
    </row>
    <row r="23" spans="1:29" ht="57">
      <c r="A23" s="379"/>
      <c r="B23" s="402" t="s">
        <v>1258</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58"/>
      <c r="Q23" s="1349" t="str">
        <f>B23</f>
        <v>自然及人文环境</v>
      </c>
      <c r="R23" s="704" t="s">
        <v>14</v>
      </c>
      <c r="S23" s="705">
        <f>F23</f>
        <v>100</v>
      </c>
      <c r="T23" s="704" t="s">
        <v>14</v>
      </c>
      <c r="U23" s="705">
        <f>H23</f>
        <v>100</v>
      </c>
      <c r="V23" s="704" t="s">
        <v>14</v>
      </c>
      <c r="W23" s="705">
        <f>J23</f>
        <v>100</v>
      </c>
      <c r="X23" s="1352"/>
      <c r="Y23" s="3751"/>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58"/>
      <c r="Q24" s="1349"/>
      <c r="R24" s="704"/>
      <c r="S24" s="705"/>
      <c r="T24" s="704"/>
      <c r="U24" s="705"/>
      <c r="V24" s="704"/>
      <c r="W24" s="705"/>
      <c r="X24" s="1352"/>
      <c r="Y24" s="3751"/>
      <c r="Z24" s="1353"/>
      <c r="AA24" s="1350">
        <v>1</v>
      </c>
      <c r="AB24" s="1350">
        <v>1</v>
      </c>
      <c r="AC24" s="1350">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58"/>
      <c r="Q25" s="1349" t="str">
        <f t="shared" ref="Q25:Q46" si="11">B25</f>
        <v>临街状况</v>
      </c>
      <c r="R25" s="704" t="s">
        <v>14</v>
      </c>
      <c r="S25" s="705">
        <f>F25</f>
        <v>100</v>
      </c>
      <c r="T25" s="704" t="s">
        <v>14</v>
      </c>
      <c r="U25" s="705">
        <f>H25</f>
        <v>100</v>
      </c>
      <c r="V25" s="704" t="s">
        <v>14</v>
      </c>
      <c r="W25" s="705">
        <f>J25</f>
        <v>100</v>
      </c>
      <c r="X25" s="1352"/>
      <c r="Y25" s="3751"/>
      <c r="Z25" s="1353" t="str">
        <f>Q25</f>
        <v>临街状况</v>
      </c>
      <c r="AA25" s="1350">
        <f t="shared" si="3"/>
        <v>1</v>
      </c>
      <c r="AB25" s="1350">
        <f t="shared" si="4"/>
        <v>1</v>
      </c>
      <c r="AC25" s="1350">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58"/>
      <c r="Q26" s="1349" t="str">
        <f t="shared" si="11"/>
        <v>平面位置/可视性</v>
      </c>
      <c r="R26" s="704" t="s">
        <v>14</v>
      </c>
      <c r="S26" s="705">
        <f>F26</f>
        <v>100</v>
      </c>
      <c r="T26" s="704" t="s">
        <v>14</v>
      </c>
      <c r="U26" s="705">
        <f>H26</f>
        <v>100</v>
      </c>
      <c r="V26" s="704" t="s">
        <v>14</v>
      </c>
      <c r="W26" s="705">
        <f>J26</f>
        <v>100</v>
      </c>
      <c r="X26" s="1352"/>
      <c r="Y26" s="3751"/>
      <c r="Z26" s="1353" t="str">
        <f>Q26</f>
        <v>平面位置/可视性</v>
      </c>
      <c r="AA26" s="1350">
        <f t="shared" si="3"/>
        <v>1</v>
      </c>
      <c r="AB26" s="1350">
        <f t="shared" si="4"/>
        <v>1</v>
      </c>
      <c r="AC26" s="1350">
        <f t="shared" si="5"/>
        <v>1</v>
      </c>
    </row>
    <row r="27" spans="1:29" s="108" customFormat="1" ht="15">
      <c r="A27" s="382"/>
      <c r="B27" s="402" t="s">
        <v>1779</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58"/>
      <c r="Q27" s="1340" t="str">
        <f t="shared" si="11"/>
        <v>人流量</v>
      </c>
      <c r="R27" s="700" t="s">
        <v>14</v>
      </c>
      <c r="S27" s="701">
        <f>F27</f>
        <v>100</v>
      </c>
      <c r="T27" s="700" t="s">
        <v>14</v>
      </c>
      <c r="U27" s="701">
        <f>H27</f>
        <v>100</v>
      </c>
      <c r="V27" s="700" t="s">
        <v>14</v>
      </c>
      <c r="W27" s="701">
        <f>J27</f>
        <v>100</v>
      </c>
      <c r="X27" s="702"/>
      <c r="Y27" s="3751"/>
      <c r="Z27" s="52" t="str">
        <f>Q27</f>
        <v>人流量</v>
      </c>
      <c r="AA27" s="1350">
        <f>D27/F27</f>
        <v>1</v>
      </c>
      <c r="AB27" s="1350">
        <f>D27/H27</f>
        <v>1</v>
      </c>
      <c r="AC27" s="1350">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58"/>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51"/>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8"/>
      <c r="Q29" s="1349">
        <f t="shared" si="11"/>
        <v>111</v>
      </c>
      <c r="R29" s="704" t="s">
        <v>14</v>
      </c>
      <c r="S29" s="705">
        <f t="shared" si="12"/>
        <v>100</v>
      </c>
      <c r="T29" s="704" t="s">
        <v>14</v>
      </c>
      <c r="U29" s="705">
        <f t="shared" si="13"/>
        <v>100</v>
      </c>
      <c r="V29" s="704" t="s">
        <v>14</v>
      </c>
      <c r="W29" s="705">
        <f t="shared" si="14"/>
        <v>100</v>
      </c>
      <c r="X29" s="1352"/>
      <c r="Y29" s="3751"/>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8"/>
      <c r="Q30" s="1349">
        <f t="shared" si="11"/>
        <v>111</v>
      </c>
      <c r="R30" s="704" t="s">
        <v>14</v>
      </c>
      <c r="S30" s="705">
        <f t="shared" si="12"/>
        <v>100</v>
      </c>
      <c r="T30" s="704" t="s">
        <v>14</v>
      </c>
      <c r="U30" s="705">
        <f t="shared" si="13"/>
        <v>100</v>
      </c>
      <c r="V30" s="704" t="s">
        <v>14</v>
      </c>
      <c r="W30" s="705">
        <f t="shared" si="14"/>
        <v>100</v>
      </c>
      <c r="X30" s="1352"/>
      <c r="Y30" s="3751"/>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8"/>
      <c r="Q31" s="1349">
        <f t="shared" si="11"/>
        <v>111</v>
      </c>
      <c r="R31" s="704" t="s">
        <v>14</v>
      </c>
      <c r="S31" s="705">
        <f t="shared" si="12"/>
        <v>100</v>
      </c>
      <c r="T31" s="704" t="s">
        <v>14</v>
      </c>
      <c r="U31" s="705">
        <f t="shared" si="13"/>
        <v>100</v>
      </c>
      <c r="V31" s="704" t="s">
        <v>14</v>
      </c>
      <c r="W31" s="705">
        <f t="shared" si="14"/>
        <v>100</v>
      </c>
      <c r="X31" s="1352"/>
      <c r="Y31" s="3751"/>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52" t="s">
        <v>1693</v>
      </c>
      <c r="Q32" s="1349" t="str">
        <f t="shared" si="11"/>
        <v>商业类型</v>
      </c>
      <c r="R32" s="704" t="s">
        <v>14</v>
      </c>
      <c r="S32" s="705">
        <f t="shared" si="12"/>
        <v>100</v>
      </c>
      <c r="T32" s="704" t="s">
        <v>14</v>
      </c>
      <c r="U32" s="705">
        <f t="shared" si="13"/>
        <v>100</v>
      </c>
      <c r="V32" s="704" t="s">
        <v>14</v>
      </c>
      <c r="W32" s="705">
        <f t="shared" si="14"/>
        <v>100</v>
      </c>
      <c r="X32" s="1352"/>
      <c r="Y32" s="3755"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53"/>
      <c r="Q33" s="706" t="str">
        <f t="shared" si="11"/>
        <v>项目建筑规模</v>
      </c>
      <c r="R33" s="707" t="s">
        <v>14</v>
      </c>
      <c r="S33" s="708" t="e">
        <f t="shared" si="12"/>
        <v>#N/A</v>
      </c>
      <c r="T33" s="707" t="s">
        <v>14</v>
      </c>
      <c r="U33" s="708" t="e">
        <f t="shared" si="13"/>
        <v>#N/A</v>
      </c>
      <c r="V33" s="707" t="s">
        <v>14</v>
      </c>
      <c r="W33" s="708" t="e">
        <f t="shared" si="14"/>
        <v>#N/A</v>
      </c>
      <c r="X33" s="709"/>
      <c r="Y33" s="3755"/>
      <c r="Z33" s="710" t="str">
        <f t="shared" si="15"/>
        <v>项目建筑规模</v>
      </c>
      <c r="AA33" s="1350" t="e">
        <f t="shared" si="3"/>
        <v>#N/A</v>
      </c>
      <c r="AB33" s="1350" t="e">
        <f t="shared" si="4"/>
        <v>#N/A</v>
      </c>
      <c r="AC33" s="1350" t="e">
        <f t="shared" si="5"/>
        <v>#N/A</v>
      </c>
    </row>
    <row r="34" spans="1:29" ht="15">
      <c r="A34" s="423"/>
      <c r="B34" s="375" t="s">
        <v>1695</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53"/>
      <c r="Q34" s="1349" t="str">
        <f t="shared" si="11"/>
        <v>建筑结构</v>
      </c>
      <c r="R34" s="704" t="s">
        <v>14</v>
      </c>
      <c r="S34" s="705">
        <f t="shared" si="12"/>
        <v>100</v>
      </c>
      <c r="T34" s="704" t="s">
        <v>14</v>
      </c>
      <c r="U34" s="705">
        <f t="shared" si="13"/>
        <v>100</v>
      </c>
      <c r="V34" s="704" t="s">
        <v>14</v>
      </c>
      <c r="W34" s="705">
        <f t="shared" si="14"/>
        <v>100</v>
      </c>
      <c r="X34" s="1352"/>
      <c r="Y34" s="3755"/>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53"/>
      <c r="Q35" s="1349" t="str">
        <f t="shared" si="11"/>
        <v>公共部分装修</v>
      </c>
      <c r="R35" s="704" t="s">
        <v>14</v>
      </c>
      <c r="S35" s="705">
        <f t="shared" si="12"/>
        <v>100</v>
      </c>
      <c r="T35" s="704" t="s">
        <v>14</v>
      </c>
      <c r="U35" s="705">
        <f t="shared" si="13"/>
        <v>100</v>
      </c>
      <c r="V35" s="704" t="s">
        <v>14</v>
      </c>
      <c r="W35" s="705">
        <f t="shared" si="14"/>
        <v>100</v>
      </c>
      <c r="X35" s="1352"/>
      <c r="Y35" s="3755"/>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53"/>
      <c r="Q36" s="1349" t="str">
        <f t="shared" si="11"/>
        <v>成新度</v>
      </c>
      <c r="R36" s="704" t="s">
        <v>14</v>
      </c>
      <c r="S36" s="705" t="e">
        <f t="shared" si="12"/>
        <v>#N/A</v>
      </c>
      <c r="T36" s="704" t="s">
        <v>14</v>
      </c>
      <c r="U36" s="705" t="e">
        <f t="shared" si="13"/>
        <v>#N/A</v>
      </c>
      <c r="V36" s="704" t="s">
        <v>14</v>
      </c>
      <c r="W36" s="705" t="e">
        <f t="shared" si="14"/>
        <v>#N/A</v>
      </c>
      <c r="X36" s="1352"/>
      <c r="Y36" s="3755"/>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53"/>
      <c r="Q37" s="1340" t="str">
        <f t="shared" si="11"/>
        <v>市政基础设施</v>
      </c>
      <c r="R37" s="700" t="s">
        <v>14</v>
      </c>
      <c r="S37" s="701">
        <f t="shared" si="12"/>
        <v>100</v>
      </c>
      <c r="T37" s="700" t="s">
        <v>14</v>
      </c>
      <c r="U37" s="701">
        <f t="shared" si="13"/>
        <v>100</v>
      </c>
      <c r="V37" s="700" t="s">
        <v>14</v>
      </c>
      <c r="W37" s="701">
        <f t="shared" si="14"/>
        <v>100</v>
      </c>
      <c r="X37" s="702"/>
      <c r="Y37" s="3755"/>
      <c r="Z37" s="52" t="str">
        <f t="shared" si="15"/>
        <v>市政基础设施</v>
      </c>
      <c r="AA37" s="703">
        <f t="shared" si="3"/>
        <v>1</v>
      </c>
      <c r="AB37" s="703">
        <f t="shared" si="4"/>
        <v>1</v>
      </c>
      <c r="AC37" s="703">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53" t="s">
        <v>1693</v>
      </c>
      <c r="Q38" s="1349" t="str">
        <f t="shared" si="11"/>
        <v>业态</v>
      </c>
      <c r="R38" s="704" t="s">
        <v>14</v>
      </c>
      <c r="S38" s="705">
        <f t="shared" si="12"/>
        <v>100</v>
      </c>
      <c r="T38" s="704" t="s">
        <v>14</v>
      </c>
      <c r="U38" s="705">
        <f t="shared" si="13"/>
        <v>100</v>
      </c>
      <c r="V38" s="704" t="s">
        <v>14</v>
      </c>
      <c r="W38" s="705">
        <f t="shared" si="14"/>
        <v>100</v>
      </c>
      <c r="X38" s="1352"/>
      <c r="Y38" s="3755"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53"/>
      <c r="Q39" s="1349" t="str">
        <f t="shared" si="11"/>
        <v>层高</v>
      </c>
      <c r="R39" s="704" t="s">
        <v>14</v>
      </c>
      <c r="S39" s="705">
        <f t="shared" si="12"/>
        <v>100</v>
      </c>
      <c r="T39" s="704" t="s">
        <v>14</v>
      </c>
      <c r="U39" s="705">
        <f t="shared" si="13"/>
        <v>100</v>
      </c>
      <c r="V39" s="704" t="s">
        <v>14</v>
      </c>
      <c r="W39" s="705">
        <f t="shared" si="14"/>
        <v>100</v>
      </c>
      <c r="X39" s="1352"/>
      <c r="Y39" s="3755"/>
      <c r="Z39" s="1353" t="str">
        <f t="shared" si="15"/>
        <v>层高</v>
      </c>
      <c r="AA39" s="1350">
        <f t="shared" si="3"/>
        <v>1</v>
      </c>
      <c r="AB39" s="1350">
        <f t="shared" si="4"/>
        <v>1</v>
      </c>
      <c r="AC39" s="1350">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53"/>
      <c r="Q40" s="1349" t="str">
        <f t="shared" si="11"/>
        <v>单套建筑面积</v>
      </c>
      <c r="R40" s="704" t="s">
        <v>14</v>
      </c>
      <c r="S40" s="705">
        <f t="shared" si="12"/>
        <v>100</v>
      </c>
      <c r="T40" s="704" t="s">
        <v>14</v>
      </c>
      <c r="U40" s="705">
        <f t="shared" si="13"/>
        <v>100</v>
      </c>
      <c r="V40" s="704" t="s">
        <v>14</v>
      </c>
      <c r="W40" s="705">
        <f t="shared" si="14"/>
        <v>100</v>
      </c>
      <c r="X40" s="1352"/>
      <c r="Y40" s="3755"/>
      <c r="Z40" s="1353" t="str">
        <f t="shared" si="15"/>
        <v>单套建筑面积</v>
      </c>
      <c r="AA40" s="1350">
        <f t="shared" si="3"/>
        <v>1</v>
      </c>
      <c r="AB40" s="1350">
        <f t="shared" si="4"/>
        <v>1</v>
      </c>
      <c r="AC40" s="1350">
        <f t="shared" si="5"/>
        <v>1</v>
      </c>
    </row>
    <row r="41" spans="1:29" s="422" customFormat="1" ht="15">
      <c r="A41" s="419"/>
      <c r="B41" s="1351"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53"/>
      <c r="Q41" s="706" t="str">
        <f t="shared" si="11"/>
        <v>进深比</v>
      </c>
      <c r="R41" s="707" t="s">
        <v>14</v>
      </c>
      <c r="S41" s="708">
        <f t="shared" si="12"/>
        <v>100</v>
      </c>
      <c r="T41" s="707" t="s">
        <v>14</v>
      </c>
      <c r="U41" s="708">
        <f t="shared" si="13"/>
        <v>100</v>
      </c>
      <c r="V41" s="707" t="s">
        <v>14</v>
      </c>
      <c r="W41" s="708">
        <f t="shared" si="14"/>
        <v>100</v>
      </c>
      <c r="X41" s="709"/>
      <c r="Y41" s="3755"/>
      <c r="Z41" s="710"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53"/>
      <c r="Q42" s="1349" t="str">
        <f t="shared" si="11"/>
        <v>内部装修</v>
      </c>
      <c r="R42" s="704" t="s">
        <v>14</v>
      </c>
      <c r="S42" s="705">
        <f t="shared" si="12"/>
        <v>100</v>
      </c>
      <c r="T42" s="704" t="s">
        <v>14</v>
      </c>
      <c r="U42" s="705">
        <f t="shared" si="13"/>
        <v>100</v>
      </c>
      <c r="V42" s="704" t="s">
        <v>14</v>
      </c>
      <c r="W42" s="705">
        <f t="shared" si="14"/>
        <v>100</v>
      </c>
      <c r="X42" s="1352"/>
      <c r="Y42" s="3755"/>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53"/>
      <c r="Q43" s="1349" t="str">
        <f t="shared" si="11"/>
        <v>内部装修维护情况</v>
      </c>
      <c r="R43" s="704" t="s">
        <v>14</v>
      </c>
      <c r="S43" s="705">
        <f t="shared" si="12"/>
        <v>100</v>
      </c>
      <c r="T43" s="704" t="s">
        <v>14</v>
      </c>
      <c r="U43" s="705">
        <f t="shared" si="13"/>
        <v>100</v>
      </c>
      <c r="V43" s="704" t="s">
        <v>14</v>
      </c>
      <c r="W43" s="705">
        <f t="shared" si="14"/>
        <v>100</v>
      </c>
      <c r="X43" s="1352"/>
      <c r="Y43" s="3755"/>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53"/>
      <c r="Q44" s="1340">
        <f t="shared" si="11"/>
        <v>111</v>
      </c>
      <c r="R44" s="700" t="s">
        <v>14</v>
      </c>
      <c r="S44" s="701">
        <f t="shared" si="12"/>
        <v>100</v>
      </c>
      <c r="T44" s="700" t="s">
        <v>14</v>
      </c>
      <c r="U44" s="701">
        <f t="shared" si="13"/>
        <v>100</v>
      </c>
      <c r="V44" s="700" t="s">
        <v>14</v>
      </c>
      <c r="W44" s="701">
        <f t="shared" si="14"/>
        <v>100</v>
      </c>
      <c r="X44" s="702"/>
      <c r="Y44" s="3755"/>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53"/>
      <c r="Q45" s="1349">
        <f t="shared" si="11"/>
        <v>111</v>
      </c>
      <c r="R45" s="704" t="s">
        <v>14</v>
      </c>
      <c r="S45" s="705">
        <f t="shared" si="12"/>
        <v>100</v>
      </c>
      <c r="T45" s="704" t="s">
        <v>14</v>
      </c>
      <c r="U45" s="705">
        <f t="shared" si="13"/>
        <v>100</v>
      </c>
      <c r="V45" s="704" t="s">
        <v>14</v>
      </c>
      <c r="W45" s="705">
        <f t="shared" si="14"/>
        <v>100</v>
      </c>
      <c r="X45" s="1352"/>
      <c r="Y45" s="3755"/>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4"/>
      <c r="Q46" s="1349">
        <f t="shared" si="11"/>
        <v>111</v>
      </c>
      <c r="R46" s="704" t="s">
        <v>14</v>
      </c>
      <c r="S46" s="705">
        <f t="shared" si="12"/>
        <v>100</v>
      </c>
      <c r="T46" s="704" t="s">
        <v>14</v>
      </c>
      <c r="U46" s="705">
        <f t="shared" si="13"/>
        <v>100</v>
      </c>
      <c r="V46" s="704" t="s">
        <v>14</v>
      </c>
      <c r="W46" s="705">
        <f t="shared" si="14"/>
        <v>100</v>
      </c>
      <c r="X46" s="1352"/>
      <c r="Y46" s="3756"/>
      <c r="Z46" s="1353">
        <f t="shared" si="15"/>
        <v>111</v>
      </c>
      <c r="AA46" s="1350">
        <f t="shared" si="3"/>
        <v>1</v>
      </c>
      <c r="AB46" s="1350">
        <f t="shared" si="4"/>
        <v>1</v>
      </c>
      <c r="AC46" s="1350">
        <f t="shared" si="5"/>
        <v>1</v>
      </c>
    </row>
    <row r="47" spans="1:29" ht="15">
      <c r="A47" s="430" t="s">
        <v>1705</v>
      </c>
      <c r="B47" s="431"/>
      <c r="C47" s="1152" t="s">
        <v>0</v>
      </c>
      <c r="D47" s="1153"/>
      <c r="E47" s="1154"/>
      <c r="F47" s="1155"/>
      <c r="G47" s="1156"/>
      <c r="H47" s="1157"/>
      <c r="I47" s="1154"/>
      <c r="J47" s="1157"/>
      <c r="K47" s="713"/>
      <c r="L47" s="2719"/>
      <c r="M47" s="2720"/>
      <c r="N47" s="2711"/>
      <c r="O47" s="2720"/>
      <c r="P47" s="3748" t="str">
        <f>A47</f>
        <v>成交单价（元/平方米）</v>
      </c>
      <c r="Q47" s="3748"/>
      <c r="R47" s="3743">
        <f>E47</f>
        <v>0</v>
      </c>
      <c r="S47" s="3743"/>
      <c r="T47" s="3743">
        <f>G47</f>
        <v>0</v>
      </c>
      <c r="U47" s="3743"/>
      <c r="V47" s="3743">
        <f>I47</f>
        <v>0</v>
      </c>
      <c r="W47" s="3743"/>
      <c r="X47" s="689"/>
      <c r="Y47" s="711"/>
      <c r="Z47" s="689"/>
      <c r="AA47" s="689"/>
      <c r="AB47" s="689"/>
      <c r="AC47" s="689"/>
    </row>
    <row r="48" spans="1:29" ht="15.75" thickBot="1">
      <c r="A48" s="437" t="s">
        <v>1790</v>
      </c>
      <c r="B48" s="438"/>
      <c r="C48" s="1158" t="e">
        <f>R49</f>
        <v>#DIV/0!</v>
      </c>
      <c r="D48" s="2312" t="s">
        <v>2134</v>
      </c>
      <c r="E48" s="1159" t="e">
        <f>R48</f>
        <v>#DIV/0!</v>
      </c>
      <c r="F48" s="2313"/>
      <c r="G48" s="1158" t="e">
        <f>T48</f>
        <v>#DIV/0!</v>
      </c>
      <c r="H48" s="2313"/>
      <c r="I48" s="1159" t="e">
        <f>V48</f>
        <v>#DIV/0!</v>
      </c>
      <c r="J48" s="2313"/>
      <c r="K48" s="2315">
        <f>F48+H48+J48</f>
        <v>0</v>
      </c>
      <c r="L48" s="2719"/>
      <c r="M48" s="2720"/>
      <c r="N48" s="2711"/>
      <c r="O48" s="2720"/>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89"/>
      <c r="Y48" s="689"/>
      <c r="Z48" s="689"/>
      <c r="AA48" s="689"/>
      <c r="AB48" s="689"/>
      <c r="AC48" s="689"/>
    </row>
    <row r="49" spans="1:29" ht="15.75" thickBot="1">
      <c r="A49" s="441" t="s">
        <v>1791</v>
      </c>
      <c r="B49" s="442"/>
      <c r="C49" s="1161" t="e">
        <f>R49</f>
        <v>#DIV/0!</v>
      </c>
      <c r="D49" s="1161"/>
      <c r="E49" s="1161"/>
      <c r="F49" s="1161"/>
      <c r="G49" s="1161"/>
      <c r="H49" s="1161"/>
      <c r="I49" s="1161"/>
      <c r="J49" s="1161"/>
      <c r="K49" s="714"/>
      <c r="L49" s="2719"/>
      <c r="M49" s="2720"/>
      <c r="N49" s="2711"/>
      <c r="O49" s="2720"/>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1795</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1676</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1713</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1678</v>
      </c>
      <c r="B61" s="459"/>
      <c r="C61" s="471" t="s">
        <v>1773</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1716</v>
      </c>
      <c r="B63" s="477" t="s">
        <v>1682</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1685</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1687</v>
      </c>
      <c r="B76" s="477" t="s">
        <v>1717</v>
      </c>
      <c r="C76" s="522" t="s">
        <v>1718</v>
      </c>
      <c r="D76" s="522" t="s">
        <v>1719</v>
      </c>
      <c r="E76" s="522" t="s">
        <v>1720</v>
      </c>
      <c r="F76" s="522" t="s">
        <v>1721</v>
      </c>
      <c r="G76" s="522" t="s">
        <v>1722</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1723</v>
      </c>
      <c r="C78" s="527" t="s">
        <v>1718</v>
      </c>
      <c r="D78" s="527" t="s">
        <v>1719</v>
      </c>
      <c r="E78" s="527" t="s">
        <v>1720</v>
      </c>
      <c r="F78" s="527" t="s">
        <v>1721</v>
      </c>
      <c r="G78" s="527" t="s">
        <v>1722</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1724</v>
      </c>
      <c r="C80" s="527" t="s">
        <v>1718</v>
      </c>
      <c r="D80" s="527" t="s">
        <v>1719</v>
      </c>
      <c r="E80" s="527" t="s">
        <v>1720</v>
      </c>
      <c r="F80" s="527" t="s">
        <v>1721</v>
      </c>
      <c r="G80" s="527" t="s">
        <v>1722</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1776</v>
      </c>
      <c r="C82" s="608" t="s">
        <v>1796</v>
      </c>
      <c r="D82" s="608" t="s">
        <v>1797</v>
      </c>
      <c r="E82" s="608" t="s">
        <v>1798</v>
      </c>
      <c r="F82" s="608" t="s">
        <v>1799</v>
      </c>
      <c r="G82" s="608" t="s">
        <v>1800</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1730</v>
      </c>
      <c r="C84" s="527" t="s">
        <v>1718</v>
      </c>
      <c r="D84" s="527" t="s">
        <v>1719</v>
      </c>
      <c r="E84" s="527" t="s">
        <v>1720</v>
      </c>
      <c r="F84" s="527" t="s">
        <v>1721</v>
      </c>
      <c r="G84" s="527" t="s">
        <v>1722</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1801</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1691</v>
      </c>
      <c r="B100" s="477" t="s">
        <v>1802</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1735</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1737</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1739</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1803</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1804</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1805</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1806</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1741</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1807</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116.03999999999999</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1766</v>
      </c>
      <c r="B4" s="356"/>
      <c r="C4" s="3731" t="s">
        <v>1767</v>
      </c>
      <c r="D4" s="3732"/>
      <c r="E4" s="3733" t="s">
        <v>1768</v>
      </c>
      <c r="F4" s="3734"/>
      <c r="G4" s="3731" t="s">
        <v>1769</v>
      </c>
      <c r="H4" s="3732"/>
      <c r="I4" s="3731" t="s">
        <v>1770</v>
      </c>
      <c r="J4" s="3732"/>
      <c r="K4" s="559" t="s">
        <v>1771</v>
      </c>
      <c r="L4" s="2710"/>
      <c r="M4" s="2711"/>
      <c r="N4" s="2711"/>
      <c r="O4" s="2711"/>
      <c r="P4" s="3808" t="s">
        <v>1772</v>
      </c>
      <c r="Q4" s="3809"/>
      <c r="R4" s="3803" t="s">
        <v>1768</v>
      </c>
      <c r="S4" s="3804"/>
      <c r="T4" s="3803" t="s">
        <v>1769</v>
      </c>
      <c r="U4" s="3804"/>
      <c r="V4" s="3812" t="s">
        <v>1770</v>
      </c>
      <c r="W4" s="3812"/>
      <c r="X4" s="1953"/>
      <c r="Y4" s="3803" t="s">
        <v>1772</v>
      </c>
      <c r="Z4" s="3804"/>
      <c r="AA4" s="3802" t="s">
        <v>1768</v>
      </c>
      <c r="AB4" s="3802" t="s">
        <v>1769</v>
      </c>
      <c r="AC4" s="3805" t="s">
        <v>1770</v>
      </c>
    </row>
    <row r="5" spans="1:29" ht="15">
      <c r="A5" s="358"/>
      <c r="B5" s="359"/>
      <c r="C5" s="3723" t="s">
        <v>1670</v>
      </c>
      <c r="D5" s="3724"/>
      <c r="E5" s="3762" t="s">
        <v>1671</v>
      </c>
      <c r="F5" s="3722"/>
      <c r="G5" s="3723" t="s">
        <v>1672</v>
      </c>
      <c r="H5" s="3724"/>
      <c r="I5" s="3723" t="s">
        <v>1673</v>
      </c>
      <c r="J5" s="3724"/>
      <c r="K5" s="559"/>
      <c r="L5" s="2710"/>
      <c r="M5" s="2711"/>
      <c r="N5" s="2711"/>
      <c r="O5" s="2711"/>
      <c r="P5" s="3810"/>
      <c r="Q5" s="3738"/>
      <c r="R5" s="3719"/>
      <c r="S5" s="3720"/>
      <c r="T5" s="3719"/>
      <c r="U5" s="3720"/>
      <c r="V5" s="3743"/>
      <c r="W5" s="3743"/>
      <c r="X5" s="1352"/>
      <c r="Y5" s="3719"/>
      <c r="Z5" s="3720"/>
      <c r="AA5" s="3713"/>
      <c r="AB5" s="3713"/>
      <c r="AC5" s="3806"/>
    </row>
    <row r="6" spans="1:29" ht="15.75" thickBot="1">
      <c r="A6" s="360"/>
      <c r="B6" s="361"/>
      <c r="C6" s="3725" t="s">
        <v>1674</v>
      </c>
      <c r="D6" s="3726"/>
      <c r="E6" s="3728" t="s">
        <v>1674</v>
      </c>
      <c r="F6" s="3729"/>
      <c r="G6" s="3725" t="s">
        <v>1674</v>
      </c>
      <c r="H6" s="3726"/>
      <c r="I6" s="3725" t="s">
        <v>1674</v>
      </c>
      <c r="J6" s="3726"/>
      <c r="K6" s="559" t="s">
        <v>1675</v>
      </c>
      <c r="L6" s="2710"/>
      <c r="M6" s="2711"/>
      <c r="N6" s="2711"/>
      <c r="O6" s="2711"/>
      <c r="P6" s="3811"/>
      <c r="Q6" s="3740"/>
      <c r="R6" s="3719"/>
      <c r="S6" s="3720"/>
      <c r="T6" s="3741"/>
      <c r="U6" s="3742"/>
      <c r="V6" s="3743"/>
      <c r="W6" s="3743"/>
      <c r="X6" s="1352"/>
      <c r="Y6" s="3741"/>
      <c r="Z6" s="3742"/>
      <c r="AA6" s="3714"/>
      <c r="AB6" s="3714"/>
      <c r="AC6" s="3807"/>
    </row>
    <row r="7" spans="1:29" s="108" customFormat="1" ht="15.75" thickBot="1">
      <c r="A7" s="362" t="s">
        <v>1676</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13" t="s">
        <v>1677</v>
      </c>
      <c r="Q7" s="3744"/>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1954"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13" t="s">
        <v>1680</v>
      </c>
      <c r="Q8" s="3716"/>
      <c r="R8" s="700" t="s">
        <v>14</v>
      </c>
      <c r="S8" s="701">
        <f t="shared" si="0"/>
        <v>100</v>
      </c>
      <c r="T8" s="700" t="s">
        <v>14</v>
      </c>
      <c r="U8" s="701">
        <f t="shared" si="1"/>
        <v>100</v>
      </c>
      <c r="V8" s="700" t="s">
        <v>14</v>
      </c>
      <c r="W8" s="701">
        <f t="shared" si="2"/>
        <v>100</v>
      </c>
      <c r="X8" s="702"/>
      <c r="Y8" s="3715" t="s">
        <v>1680</v>
      </c>
      <c r="Z8" s="3716"/>
      <c r="AA8" s="703">
        <f t="shared" ref="AA8:AA47" si="3">D8/F8</f>
        <v>1</v>
      </c>
      <c r="AB8" s="703">
        <f t="shared" ref="AB8:AB47" si="4">D8/H8</f>
        <v>1</v>
      </c>
      <c r="AC8" s="1954">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30" t="s">
        <v>1683</v>
      </c>
      <c r="Q9" s="1340" t="str">
        <f t="shared" ref="Q9:Q15" si="6">B9</f>
        <v>用途</v>
      </c>
      <c r="R9" s="700" t="s">
        <v>14</v>
      </c>
      <c r="S9" s="701">
        <f t="shared" si="0"/>
        <v>100</v>
      </c>
      <c r="T9" s="700" t="s">
        <v>14</v>
      </c>
      <c r="U9" s="701">
        <f t="shared" si="1"/>
        <v>100</v>
      </c>
      <c r="V9" s="700" t="s">
        <v>14</v>
      </c>
      <c r="W9" s="701">
        <f t="shared" si="2"/>
        <v>100</v>
      </c>
      <c r="X9" s="702"/>
      <c r="Y9" s="3688" t="s">
        <v>1684</v>
      </c>
      <c r="Z9" s="52" t="str">
        <f t="shared" ref="Z9:Z15" si="7">Q9</f>
        <v>用途</v>
      </c>
      <c r="AA9" s="703">
        <f t="shared" si="3"/>
        <v>1</v>
      </c>
      <c r="AB9" s="703">
        <f t="shared" si="4"/>
        <v>1</v>
      </c>
      <c r="AC9" s="1954">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30"/>
      <c r="Q10" s="1340"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1954">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30"/>
      <c r="Q11" s="1340" t="str">
        <f t="shared" si="6"/>
        <v>容积率</v>
      </c>
      <c r="R11" s="700" t="s">
        <v>14</v>
      </c>
      <c r="S11" s="701">
        <f t="shared" si="0"/>
        <v>100</v>
      </c>
      <c r="T11" s="700" t="s">
        <v>14</v>
      </c>
      <c r="U11" s="701">
        <f t="shared" si="1"/>
        <v>100</v>
      </c>
      <c r="V11" s="700" t="s">
        <v>14</v>
      </c>
      <c r="W11" s="701">
        <f t="shared" si="2"/>
        <v>100</v>
      </c>
      <c r="X11" s="702"/>
      <c r="Y11" s="3688"/>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30"/>
      <c r="Q12" s="1340">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30"/>
      <c r="Q13" s="1340">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30"/>
      <c r="Q14" s="1340">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1954">
        <f t="shared" si="5"/>
        <v>1</v>
      </c>
    </row>
    <row r="15" spans="1:29" ht="71.25">
      <c r="A15" s="391" t="s">
        <v>1687</v>
      </c>
      <c r="B15" s="577" t="s">
        <v>1808</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57" t="s">
        <v>1688</v>
      </c>
      <c r="Q15" s="1349" t="str">
        <f t="shared" si="6"/>
        <v>办公集聚程度</v>
      </c>
      <c r="R15" s="704" t="s">
        <v>14</v>
      </c>
      <c r="S15" s="705">
        <f t="shared" si="0"/>
        <v>100</v>
      </c>
      <c r="T15" s="704" t="s">
        <v>14</v>
      </c>
      <c r="U15" s="705">
        <f t="shared" si="1"/>
        <v>100</v>
      </c>
      <c r="V15" s="704" t="s">
        <v>14</v>
      </c>
      <c r="W15" s="705">
        <f t="shared" si="2"/>
        <v>100</v>
      </c>
      <c r="X15" s="1352"/>
      <c r="Y15" s="3750" t="s">
        <v>1688</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58"/>
      <c r="Q16" s="1349"/>
      <c r="R16" s="704"/>
      <c r="S16" s="705"/>
      <c r="T16" s="704"/>
      <c r="U16" s="705"/>
      <c r="V16" s="704"/>
      <c r="W16" s="705"/>
      <c r="X16" s="1352"/>
      <c r="Y16" s="3751"/>
      <c r="Z16" s="1353"/>
      <c r="AA16" s="1350">
        <v>1</v>
      </c>
      <c r="AB16" s="1350">
        <v>1</v>
      </c>
      <c r="AC16" s="1957">
        <v>1</v>
      </c>
    </row>
    <row r="17" spans="1:29" ht="71.25">
      <c r="A17" s="379"/>
      <c r="B17" s="579" t="s">
        <v>1256</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58"/>
      <c r="Q17" s="1349" t="str">
        <f>B17</f>
        <v>交通便捷度</v>
      </c>
      <c r="R17" s="704" t="s">
        <v>14</v>
      </c>
      <c r="S17" s="705">
        <f>F17</f>
        <v>100</v>
      </c>
      <c r="T17" s="704" t="s">
        <v>14</v>
      </c>
      <c r="U17" s="705">
        <f>H17</f>
        <v>100</v>
      </c>
      <c r="V17" s="704" t="s">
        <v>14</v>
      </c>
      <c r="W17" s="705">
        <f>J17</f>
        <v>100</v>
      </c>
      <c r="X17" s="1352"/>
      <c r="Y17" s="3751"/>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58"/>
      <c r="Q18" s="1349"/>
      <c r="R18" s="704"/>
      <c r="S18" s="705"/>
      <c r="T18" s="704"/>
      <c r="U18" s="705"/>
      <c r="V18" s="704"/>
      <c r="W18" s="705"/>
      <c r="X18" s="1352"/>
      <c r="Y18" s="3751"/>
      <c r="Z18" s="1353"/>
      <c r="AA18" s="1350">
        <v>1</v>
      </c>
      <c r="AB18" s="1350">
        <v>1</v>
      </c>
      <c r="AC18" s="1957">
        <v>1</v>
      </c>
    </row>
    <row r="19" spans="1:29" ht="42.75">
      <c r="A19" s="379"/>
      <c r="B19" s="579" t="s">
        <v>1809</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58"/>
      <c r="Q19" s="1349" t="str">
        <f>B19</f>
        <v>公共配套设施</v>
      </c>
      <c r="R19" s="704" t="s">
        <v>14</v>
      </c>
      <c r="S19" s="705">
        <f>F19</f>
        <v>100</v>
      </c>
      <c r="T19" s="704" t="s">
        <v>14</v>
      </c>
      <c r="U19" s="705">
        <f>H19</f>
        <v>100</v>
      </c>
      <c r="V19" s="704" t="s">
        <v>14</v>
      </c>
      <c r="W19" s="705">
        <f>J19</f>
        <v>100</v>
      </c>
      <c r="X19" s="1352"/>
      <c r="Y19" s="3751"/>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58"/>
      <c r="Q20" s="1349"/>
      <c r="R20" s="704"/>
      <c r="S20" s="705"/>
      <c r="T20" s="704"/>
      <c r="U20" s="705"/>
      <c r="V20" s="704"/>
      <c r="W20" s="705"/>
      <c r="X20" s="1352"/>
      <c r="Y20" s="3751"/>
      <c r="Z20" s="1353"/>
      <c r="AA20" s="1350">
        <v>1</v>
      </c>
      <c r="AB20" s="1350">
        <v>1</v>
      </c>
      <c r="AC20" s="1957">
        <v>1</v>
      </c>
    </row>
    <row r="21" spans="1:29" ht="28.5">
      <c r="A21" s="379"/>
      <c r="B21" s="581" t="s">
        <v>1810</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58"/>
      <c r="Q21" s="1349" t="str">
        <f>B21</f>
        <v>基础设施水平</v>
      </c>
      <c r="R21" s="704" t="s">
        <v>14</v>
      </c>
      <c r="S21" s="705">
        <f>F21</f>
        <v>100</v>
      </c>
      <c r="T21" s="704" t="s">
        <v>14</v>
      </c>
      <c r="U21" s="705">
        <f>H21</f>
        <v>100</v>
      </c>
      <c r="V21" s="704" t="s">
        <v>14</v>
      </c>
      <c r="W21" s="705">
        <f>J21</f>
        <v>100</v>
      </c>
      <c r="X21" s="1352"/>
      <c r="Y21" s="3751"/>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58"/>
      <c r="Q22" s="1349"/>
      <c r="R22" s="704"/>
      <c r="S22" s="705"/>
      <c r="T22" s="704"/>
      <c r="U22" s="705"/>
      <c r="V22" s="704"/>
      <c r="W22" s="705"/>
      <c r="X22" s="1352"/>
      <c r="Y22" s="3751"/>
      <c r="Z22" s="1353"/>
      <c r="AA22" s="1350">
        <v>1</v>
      </c>
      <c r="AB22" s="1350">
        <v>1</v>
      </c>
      <c r="AC22" s="1957">
        <v>1</v>
      </c>
    </row>
    <row r="23" spans="1:29" ht="42.75">
      <c r="A23" s="379"/>
      <c r="B23" s="579" t="s">
        <v>1811</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58"/>
      <c r="Q23" s="1349" t="str">
        <f>B23</f>
        <v>环境质量</v>
      </c>
      <c r="R23" s="704" t="s">
        <v>14</v>
      </c>
      <c r="S23" s="705">
        <f>F23</f>
        <v>100</v>
      </c>
      <c r="T23" s="704" t="s">
        <v>14</v>
      </c>
      <c r="U23" s="705">
        <f>H23</f>
        <v>100</v>
      </c>
      <c r="V23" s="704" t="s">
        <v>14</v>
      </c>
      <c r="W23" s="705">
        <f>J23</f>
        <v>100</v>
      </c>
      <c r="X23" s="1352"/>
      <c r="Y23" s="3751"/>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58"/>
      <c r="Q24" s="1349"/>
      <c r="R24" s="704"/>
      <c r="S24" s="705"/>
      <c r="T24" s="704"/>
      <c r="U24" s="705"/>
      <c r="V24" s="704"/>
      <c r="W24" s="705"/>
      <c r="X24" s="1352"/>
      <c r="Y24" s="3751"/>
      <c r="Z24" s="1353"/>
      <c r="AA24" s="1350">
        <v>1</v>
      </c>
      <c r="AB24" s="1350">
        <v>1</v>
      </c>
      <c r="AC24" s="1957">
        <v>1</v>
      </c>
    </row>
    <row r="25" spans="1:29" ht="27">
      <c r="A25" s="358"/>
      <c r="B25" s="579"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58"/>
      <c r="Q25" s="1349" t="str">
        <f>B25</f>
        <v>毗邻道路的类型与等级</v>
      </c>
      <c r="R25" s="704" t="s">
        <v>14</v>
      </c>
      <c r="S25" s="705">
        <f>F25</f>
        <v>100</v>
      </c>
      <c r="T25" s="704" t="s">
        <v>14</v>
      </c>
      <c r="U25" s="705">
        <f>H25</f>
        <v>100</v>
      </c>
      <c r="V25" s="704" t="s">
        <v>14</v>
      </c>
      <c r="W25" s="705">
        <f>J25</f>
        <v>100</v>
      </c>
      <c r="X25" s="1352"/>
      <c r="Y25" s="3751"/>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58"/>
      <c r="Q26" s="1349"/>
      <c r="R26" s="704"/>
      <c r="S26" s="705"/>
      <c r="T26" s="704"/>
      <c r="U26" s="705"/>
      <c r="V26" s="704"/>
      <c r="W26" s="705"/>
      <c r="X26" s="1352"/>
      <c r="Y26" s="3751"/>
      <c r="Z26" s="1353"/>
      <c r="AA26" s="1350">
        <v>1</v>
      </c>
      <c r="AB26" s="1350">
        <v>1</v>
      </c>
      <c r="AC26" s="1957">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58"/>
      <c r="Q27" s="1349" t="str">
        <f t="shared" ref="Q27:Q47" si="11">B27</f>
        <v>楼层</v>
      </c>
      <c r="R27" s="704" t="s">
        <v>14</v>
      </c>
      <c r="S27" s="705">
        <f>F27</f>
        <v>100</v>
      </c>
      <c r="T27" s="704" t="s">
        <v>14</v>
      </c>
      <c r="U27" s="705">
        <f>H27</f>
        <v>100</v>
      </c>
      <c r="V27" s="704" t="s">
        <v>14</v>
      </c>
      <c r="W27" s="705">
        <f>J27</f>
        <v>100</v>
      </c>
      <c r="X27" s="1352"/>
      <c r="Y27" s="3751"/>
      <c r="Z27" s="1353" t="str">
        <f>Q27</f>
        <v>楼层</v>
      </c>
      <c r="AA27" s="1350">
        <f t="shared" si="3"/>
        <v>1</v>
      </c>
      <c r="AB27" s="1350">
        <f t="shared" si="4"/>
        <v>1</v>
      </c>
      <c r="AC27" s="1957">
        <f t="shared" si="5"/>
        <v>1</v>
      </c>
    </row>
    <row r="28" spans="1:29" s="108" customFormat="1" ht="15">
      <c r="A28" s="382"/>
      <c r="B28" s="579" t="s">
        <v>1813</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58"/>
      <c r="Q28" s="1340" t="str">
        <f t="shared" si="11"/>
        <v>朝向</v>
      </c>
      <c r="R28" s="700" t="s">
        <v>14</v>
      </c>
      <c r="S28" s="701">
        <f>F28</f>
        <v>100</v>
      </c>
      <c r="T28" s="700" t="s">
        <v>14</v>
      </c>
      <c r="U28" s="701">
        <f>H28</f>
        <v>100</v>
      </c>
      <c r="V28" s="700" t="s">
        <v>14</v>
      </c>
      <c r="W28" s="701">
        <f>J28</f>
        <v>100</v>
      </c>
      <c r="X28" s="702"/>
      <c r="Y28" s="3751"/>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58"/>
      <c r="Q29" s="1349">
        <f t="shared" si="11"/>
        <v>111</v>
      </c>
      <c r="R29" s="704" t="s">
        <v>14</v>
      </c>
      <c r="S29" s="705">
        <f t="shared" ref="S29:S47" si="12">F29</f>
        <v>100</v>
      </c>
      <c r="T29" s="704" t="s">
        <v>14</v>
      </c>
      <c r="U29" s="705">
        <f t="shared" ref="U29:U47" si="13">H29</f>
        <v>100</v>
      </c>
      <c r="V29" s="704" t="s">
        <v>14</v>
      </c>
      <c r="W29" s="705">
        <f t="shared" ref="W29:W47" si="14">J29</f>
        <v>100</v>
      </c>
      <c r="X29" s="1352"/>
      <c r="Y29" s="3751"/>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58"/>
      <c r="Q30" s="1349">
        <f t="shared" si="11"/>
        <v>111</v>
      </c>
      <c r="R30" s="704" t="s">
        <v>14</v>
      </c>
      <c r="S30" s="705">
        <f t="shared" si="12"/>
        <v>100</v>
      </c>
      <c r="T30" s="704" t="s">
        <v>14</v>
      </c>
      <c r="U30" s="705">
        <f t="shared" si="13"/>
        <v>100</v>
      </c>
      <c r="V30" s="704" t="s">
        <v>14</v>
      </c>
      <c r="W30" s="705">
        <f t="shared" si="14"/>
        <v>100</v>
      </c>
      <c r="X30" s="1352"/>
      <c r="Y30" s="3751"/>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58"/>
      <c r="Q31" s="1349">
        <f t="shared" si="11"/>
        <v>111</v>
      </c>
      <c r="R31" s="704" t="s">
        <v>14</v>
      </c>
      <c r="S31" s="705">
        <f t="shared" si="12"/>
        <v>100</v>
      </c>
      <c r="T31" s="704" t="s">
        <v>14</v>
      </c>
      <c r="U31" s="705">
        <f t="shared" si="13"/>
        <v>100</v>
      </c>
      <c r="V31" s="704" t="s">
        <v>14</v>
      </c>
      <c r="W31" s="705">
        <f t="shared" si="14"/>
        <v>100</v>
      </c>
      <c r="X31" s="1352"/>
      <c r="Y31" s="3751"/>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58"/>
      <c r="Q32" s="1349">
        <f t="shared" si="11"/>
        <v>111</v>
      </c>
      <c r="R32" s="704" t="s">
        <v>14</v>
      </c>
      <c r="S32" s="705">
        <f t="shared" si="12"/>
        <v>100</v>
      </c>
      <c r="T32" s="704" t="s">
        <v>14</v>
      </c>
      <c r="U32" s="705">
        <f t="shared" si="13"/>
        <v>100</v>
      </c>
      <c r="V32" s="704" t="s">
        <v>14</v>
      </c>
      <c r="W32" s="705">
        <f t="shared" si="14"/>
        <v>100</v>
      </c>
      <c r="X32" s="1352"/>
      <c r="Y32" s="3751"/>
      <c r="Z32" s="1353">
        <f t="shared" si="15"/>
        <v>111</v>
      </c>
      <c r="AA32" s="1350">
        <f t="shared" si="3"/>
        <v>1</v>
      </c>
      <c r="AB32" s="1350">
        <f t="shared" si="4"/>
        <v>1</v>
      </c>
      <c r="AC32" s="1957">
        <f t="shared" si="5"/>
        <v>1</v>
      </c>
    </row>
    <row r="33" spans="1:29" ht="15">
      <c r="A33" s="391" t="s">
        <v>1691</v>
      </c>
      <c r="B33" s="63" t="s">
        <v>1814</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52" t="s">
        <v>1693</v>
      </c>
      <c r="Q33" s="1349" t="str">
        <f t="shared" si="11"/>
        <v>建筑类型</v>
      </c>
      <c r="R33" s="704" t="s">
        <v>14</v>
      </c>
      <c r="S33" s="705">
        <f t="shared" si="12"/>
        <v>100</v>
      </c>
      <c r="T33" s="704" t="s">
        <v>14</v>
      </c>
      <c r="U33" s="705">
        <f t="shared" si="13"/>
        <v>100</v>
      </c>
      <c r="V33" s="704" t="s">
        <v>14</v>
      </c>
      <c r="W33" s="705">
        <f t="shared" si="14"/>
        <v>100</v>
      </c>
      <c r="X33" s="1352"/>
      <c r="Y33" s="3755" t="s">
        <v>1693</v>
      </c>
      <c r="Z33" s="1353" t="str">
        <f t="shared" si="15"/>
        <v>建筑类型</v>
      </c>
      <c r="AA33" s="1350">
        <f t="shared" si="3"/>
        <v>1</v>
      </c>
      <c r="AB33" s="1350">
        <f t="shared" si="4"/>
        <v>1</v>
      </c>
      <c r="AC33" s="1957">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53"/>
      <c r="Q34" s="706" t="str">
        <f t="shared" si="11"/>
        <v>项目建筑规模</v>
      </c>
      <c r="R34" s="707" t="s">
        <v>14</v>
      </c>
      <c r="S34" s="708" t="e">
        <f t="shared" si="12"/>
        <v>#N/A</v>
      </c>
      <c r="T34" s="707" t="s">
        <v>14</v>
      </c>
      <c r="U34" s="708" t="e">
        <f t="shared" si="13"/>
        <v>#N/A</v>
      </c>
      <c r="V34" s="707" t="s">
        <v>14</v>
      </c>
      <c r="W34" s="708" t="e">
        <f t="shared" si="14"/>
        <v>#N/A</v>
      </c>
      <c r="X34" s="709"/>
      <c r="Y34" s="3755"/>
      <c r="Z34" s="710" t="str">
        <f t="shared" si="15"/>
        <v>项目建筑规模</v>
      </c>
      <c r="AA34" s="1350" t="e">
        <f t="shared" si="3"/>
        <v>#N/A</v>
      </c>
      <c r="AB34" s="1350" t="e">
        <f t="shared" si="4"/>
        <v>#N/A</v>
      </c>
      <c r="AC34" s="1957"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53"/>
      <c r="Q35" s="1349" t="str">
        <f t="shared" si="11"/>
        <v>建筑结构</v>
      </c>
      <c r="R35" s="704" t="s">
        <v>14</v>
      </c>
      <c r="S35" s="705">
        <f t="shared" si="12"/>
        <v>100</v>
      </c>
      <c r="T35" s="704" t="s">
        <v>14</v>
      </c>
      <c r="U35" s="705">
        <f t="shared" si="13"/>
        <v>100</v>
      </c>
      <c r="V35" s="704" t="s">
        <v>14</v>
      </c>
      <c r="W35" s="705">
        <f t="shared" si="14"/>
        <v>100</v>
      </c>
      <c r="X35" s="1352"/>
      <c r="Y35" s="3755"/>
      <c r="Z35" s="1353" t="str">
        <f t="shared" si="15"/>
        <v>建筑结构</v>
      </c>
      <c r="AA35" s="1350">
        <f t="shared" si="3"/>
        <v>1</v>
      </c>
      <c r="AB35" s="1350">
        <f t="shared" si="4"/>
        <v>1</v>
      </c>
      <c r="AC35" s="1957">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53"/>
      <c r="Q36" s="1349" t="str">
        <f t="shared" si="11"/>
        <v>公共部分装修</v>
      </c>
      <c r="R36" s="704" t="s">
        <v>14</v>
      </c>
      <c r="S36" s="705">
        <f t="shared" si="12"/>
        <v>100</v>
      </c>
      <c r="T36" s="704" t="s">
        <v>14</v>
      </c>
      <c r="U36" s="705">
        <f t="shared" si="13"/>
        <v>100</v>
      </c>
      <c r="V36" s="704" t="s">
        <v>14</v>
      </c>
      <c r="W36" s="705">
        <f t="shared" si="14"/>
        <v>100</v>
      </c>
      <c r="X36" s="1352"/>
      <c r="Y36" s="3755"/>
      <c r="Z36" s="1353" t="str">
        <f t="shared" si="15"/>
        <v>公共部分装修</v>
      </c>
      <c r="AA36" s="1350">
        <f t="shared" si="3"/>
        <v>1</v>
      </c>
      <c r="AB36" s="1350">
        <f t="shared" si="4"/>
        <v>1</v>
      </c>
      <c r="AC36" s="1957">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53"/>
      <c r="Q37" s="1349" t="str">
        <f t="shared" si="11"/>
        <v>成新度</v>
      </c>
      <c r="R37" s="704" t="s">
        <v>14</v>
      </c>
      <c r="S37" s="705" t="e">
        <f t="shared" si="12"/>
        <v>#N/A</v>
      </c>
      <c r="T37" s="704" t="s">
        <v>14</v>
      </c>
      <c r="U37" s="705" t="e">
        <f t="shared" si="13"/>
        <v>#N/A</v>
      </c>
      <c r="V37" s="704" t="s">
        <v>14</v>
      </c>
      <c r="W37" s="705" t="e">
        <f t="shared" si="14"/>
        <v>#N/A</v>
      </c>
      <c r="X37" s="1352"/>
      <c r="Y37" s="3755"/>
      <c r="Z37" s="1353" t="str">
        <f t="shared" si="15"/>
        <v>成新度</v>
      </c>
      <c r="AA37" s="1350" t="e">
        <f t="shared" si="3"/>
        <v>#N/A</v>
      </c>
      <c r="AB37" s="1350" t="e">
        <f t="shared" si="4"/>
        <v>#N/A</v>
      </c>
      <c r="AC37" s="1957"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53"/>
      <c r="Q38" s="1340" t="str">
        <f t="shared" si="11"/>
        <v>写字楼等级</v>
      </c>
      <c r="R38" s="700" t="s">
        <v>14</v>
      </c>
      <c r="S38" s="701">
        <f t="shared" si="12"/>
        <v>100</v>
      </c>
      <c r="T38" s="700" t="s">
        <v>14</v>
      </c>
      <c r="U38" s="701">
        <f t="shared" si="13"/>
        <v>100</v>
      </c>
      <c r="V38" s="700" t="s">
        <v>14</v>
      </c>
      <c r="W38" s="701">
        <f t="shared" si="14"/>
        <v>100</v>
      </c>
      <c r="X38" s="702"/>
      <c r="Y38" s="3755"/>
      <c r="Z38" s="52" t="str">
        <f t="shared" si="15"/>
        <v>写字楼等级</v>
      </c>
      <c r="AA38" s="703">
        <f t="shared" si="3"/>
        <v>1</v>
      </c>
      <c r="AB38" s="703">
        <f t="shared" si="4"/>
        <v>1</v>
      </c>
      <c r="AC38" s="1954">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53" t="s">
        <v>1693</v>
      </c>
      <c r="Q39" s="1349" t="str">
        <f t="shared" si="11"/>
        <v>物业管理</v>
      </c>
      <c r="R39" s="704" t="s">
        <v>14</v>
      </c>
      <c r="S39" s="705">
        <f t="shared" si="12"/>
        <v>100</v>
      </c>
      <c r="T39" s="704" t="s">
        <v>14</v>
      </c>
      <c r="U39" s="705">
        <f t="shared" si="13"/>
        <v>100</v>
      </c>
      <c r="V39" s="704" t="s">
        <v>14</v>
      </c>
      <c r="W39" s="705">
        <f t="shared" si="14"/>
        <v>100</v>
      </c>
      <c r="X39" s="1352"/>
      <c r="Y39" s="3755" t="s">
        <v>1693</v>
      </c>
      <c r="Z39" s="1353" t="str">
        <f t="shared" si="15"/>
        <v>物业管理</v>
      </c>
      <c r="AA39" s="1350">
        <f t="shared" si="3"/>
        <v>1</v>
      </c>
      <c r="AB39" s="1350">
        <f t="shared" si="4"/>
        <v>1</v>
      </c>
      <c r="AC39" s="1957">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53"/>
      <c r="Q40" s="1349" t="str">
        <f t="shared" si="11"/>
        <v>市政基础设施</v>
      </c>
      <c r="R40" s="704" t="s">
        <v>14</v>
      </c>
      <c r="S40" s="705">
        <f t="shared" si="12"/>
        <v>100</v>
      </c>
      <c r="T40" s="704" t="s">
        <v>14</v>
      </c>
      <c r="U40" s="705">
        <f t="shared" si="13"/>
        <v>100</v>
      </c>
      <c r="V40" s="704" t="s">
        <v>14</v>
      </c>
      <c r="W40" s="705">
        <f t="shared" si="14"/>
        <v>100</v>
      </c>
      <c r="X40" s="1352"/>
      <c r="Y40" s="3755"/>
      <c r="Z40" s="1353" t="str">
        <f t="shared" si="15"/>
        <v>市政基础设施</v>
      </c>
      <c r="AA40" s="1350">
        <f t="shared" si="3"/>
        <v>1</v>
      </c>
      <c r="AB40" s="1350">
        <f t="shared" si="4"/>
        <v>1</v>
      </c>
      <c r="AC40" s="1957">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53"/>
      <c r="Q41" s="1349" t="str">
        <f t="shared" si="11"/>
        <v>层高</v>
      </c>
      <c r="R41" s="704" t="s">
        <v>14</v>
      </c>
      <c r="S41" s="705">
        <f t="shared" si="12"/>
        <v>100</v>
      </c>
      <c r="T41" s="704" t="s">
        <v>14</v>
      </c>
      <c r="U41" s="705">
        <f t="shared" si="13"/>
        <v>100</v>
      </c>
      <c r="V41" s="704" t="s">
        <v>14</v>
      </c>
      <c r="W41" s="705">
        <f t="shared" si="14"/>
        <v>100</v>
      </c>
      <c r="X41" s="1352"/>
      <c r="Y41" s="3755"/>
      <c r="Z41" s="1353" t="str">
        <f t="shared" si="15"/>
        <v>层高</v>
      </c>
      <c r="AA41" s="1350">
        <f t="shared" si="3"/>
        <v>1</v>
      </c>
      <c r="AB41" s="1350">
        <f t="shared" si="4"/>
        <v>1</v>
      </c>
      <c r="AC41" s="1957">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53"/>
      <c r="Q42" s="706" t="str">
        <f t="shared" si="11"/>
        <v>单套建筑面积</v>
      </c>
      <c r="R42" s="707" t="s">
        <v>14</v>
      </c>
      <c r="S42" s="708">
        <f t="shared" si="12"/>
        <v>100</v>
      </c>
      <c r="T42" s="707" t="s">
        <v>14</v>
      </c>
      <c r="U42" s="708">
        <f t="shared" si="13"/>
        <v>100</v>
      </c>
      <c r="V42" s="707" t="s">
        <v>14</v>
      </c>
      <c r="W42" s="708">
        <f t="shared" si="14"/>
        <v>100</v>
      </c>
      <c r="X42" s="709"/>
      <c r="Y42" s="3755"/>
      <c r="Z42" s="710" t="str">
        <f t="shared" si="15"/>
        <v>单套建筑面积</v>
      </c>
      <c r="AA42" s="1350">
        <f t="shared" si="3"/>
        <v>1</v>
      </c>
      <c r="AB42" s="1350">
        <f t="shared" si="4"/>
        <v>1</v>
      </c>
      <c r="AC42" s="1957">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53"/>
      <c r="Q43" s="1349" t="str">
        <f t="shared" si="11"/>
        <v>内部装修</v>
      </c>
      <c r="R43" s="704" t="s">
        <v>14</v>
      </c>
      <c r="S43" s="705">
        <f t="shared" si="12"/>
        <v>100</v>
      </c>
      <c r="T43" s="704" t="s">
        <v>14</v>
      </c>
      <c r="U43" s="705">
        <f t="shared" si="13"/>
        <v>100</v>
      </c>
      <c r="V43" s="704" t="s">
        <v>14</v>
      </c>
      <c r="W43" s="705">
        <f t="shared" si="14"/>
        <v>100</v>
      </c>
      <c r="X43" s="1352"/>
      <c r="Y43" s="3755"/>
      <c r="Z43" s="1353" t="str">
        <f t="shared" si="15"/>
        <v>内部装修</v>
      </c>
      <c r="AA43" s="1350">
        <f t="shared" si="3"/>
        <v>1</v>
      </c>
      <c r="AB43" s="1350">
        <f t="shared" si="4"/>
        <v>1</v>
      </c>
      <c r="AC43" s="1957">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53"/>
      <c r="Q44" s="1349" t="str">
        <f t="shared" si="11"/>
        <v>内部装修维护情况</v>
      </c>
      <c r="R44" s="704" t="s">
        <v>14</v>
      </c>
      <c r="S44" s="705">
        <f t="shared" si="12"/>
        <v>100</v>
      </c>
      <c r="T44" s="704" t="s">
        <v>14</v>
      </c>
      <c r="U44" s="705">
        <f t="shared" si="13"/>
        <v>100</v>
      </c>
      <c r="V44" s="704" t="s">
        <v>14</v>
      </c>
      <c r="W44" s="705">
        <f t="shared" si="14"/>
        <v>100</v>
      </c>
      <c r="X44" s="1352"/>
      <c r="Y44" s="3755"/>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53"/>
      <c r="Q45" s="1340">
        <f t="shared" si="11"/>
        <v>111</v>
      </c>
      <c r="R45" s="700" t="s">
        <v>14</v>
      </c>
      <c r="S45" s="701">
        <f t="shared" si="12"/>
        <v>100</v>
      </c>
      <c r="T45" s="700" t="s">
        <v>14</v>
      </c>
      <c r="U45" s="701">
        <f t="shared" si="13"/>
        <v>100</v>
      </c>
      <c r="V45" s="700" t="s">
        <v>14</v>
      </c>
      <c r="W45" s="701">
        <f t="shared" si="14"/>
        <v>100</v>
      </c>
      <c r="X45" s="702"/>
      <c r="Y45" s="3755"/>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53"/>
      <c r="Q46" s="1349">
        <f t="shared" si="11"/>
        <v>111</v>
      </c>
      <c r="R46" s="704" t="s">
        <v>14</v>
      </c>
      <c r="S46" s="705">
        <f t="shared" si="12"/>
        <v>100</v>
      </c>
      <c r="T46" s="704" t="s">
        <v>14</v>
      </c>
      <c r="U46" s="705">
        <f t="shared" si="13"/>
        <v>100</v>
      </c>
      <c r="V46" s="704" t="s">
        <v>14</v>
      </c>
      <c r="W46" s="705">
        <f t="shared" si="14"/>
        <v>100</v>
      </c>
      <c r="X46" s="1352"/>
      <c r="Y46" s="3755"/>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4"/>
      <c r="Q47" s="1349">
        <f t="shared" si="11"/>
        <v>111</v>
      </c>
      <c r="R47" s="704" t="s">
        <v>14</v>
      </c>
      <c r="S47" s="705">
        <f t="shared" si="12"/>
        <v>100</v>
      </c>
      <c r="T47" s="704" t="s">
        <v>14</v>
      </c>
      <c r="U47" s="705">
        <f t="shared" si="13"/>
        <v>100</v>
      </c>
      <c r="V47" s="704" t="s">
        <v>14</v>
      </c>
      <c r="W47" s="705">
        <f t="shared" si="14"/>
        <v>100</v>
      </c>
      <c r="X47" s="1352"/>
      <c r="Y47" s="3756"/>
      <c r="Z47" s="1353">
        <f t="shared" si="15"/>
        <v>111</v>
      </c>
      <c r="AA47" s="1350">
        <f t="shared" si="3"/>
        <v>1</v>
      </c>
      <c r="AB47" s="1350">
        <f t="shared" si="4"/>
        <v>1</v>
      </c>
      <c r="AC47" s="1957">
        <f t="shared" si="5"/>
        <v>1</v>
      </c>
    </row>
    <row r="48" spans="1:29" ht="15">
      <c r="A48" s="430" t="s">
        <v>1705</v>
      </c>
      <c r="B48" s="431"/>
      <c r="C48" s="1152" t="s">
        <v>0</v>
      </c>
      <c r="D48" s="1153"/>
      <c r="E48" s="1154"/>
      <c r="F48" s="1155"/>
      <c r="G48" s="1156"/>
      <c r="H48" s="1157"/>
      <c r="I48" s="1154"/>
      <c r="J48" s="436"/>
      <c r="K48" s="713"/>
      <c r="L48" s="2719"/>
      <c r="M48" s="2711"/>
      <c r="N48" s="2711"/>
      <c r="O48" s="2711"/>
      <c r="P48" s="3730" t="str">
        <f>A48</f>
        <v>成交单价（元/平方米）</v>
      </c>
      <c r="Q48" s="3748"/>
      <c r="R48" s="3749">
        <f>E48</f>
        <v>0</v>
      </c>
      <c r="S48" s="3749"/>
      <c r="T48" s="3749">
        <f>G48</f>
        <v>0</v>
      </c>
      <c r="U48" s="3749"/>
      <c r="V48" s="3749">
        <f>I48</f>
        <v>0</v>
      </c>
      <c r="W48" s="3749"/>
      <c r="X48" s="397"/>
      <c r="Y48" s="711"/>
      <c r="Z48" s="397"/>
      <c r="AA48" s="397"/>
      <c r="AB48" s="397"/>
      <c r="AC48" s="578"/>
    </row>
    <row r="49" spans="1:29" ht="15.75" thickBot="1">
      <c r="A49" s="437" t="s">
        <v>1790</v>
      </c>
      <c r="B49" s="438"/>
      <c r="C49" s="1158" t="e">
        <f>R50</f>
        <v>#DIV/0!</v>
      </c>
      <c r="D49" s="2312" t="s">
        <v>2134</v>
      </c>
      <c r="E49" s="1159" t="e">
        <f>R49</f>
        <v>#DIV/0!</v>
      </c>
      <c r="F49" s="2313"/>
      <c r="G49" s="1158" t="e">
        <f>T49</f>
        <v>#DIV/0!</v>
      </c>
      <c r="H49" s="2313"/>
      <c r="I49" s="1159" t="e">
        <f>V49</f>
        <v>#DIV/0!</v>
      </c>
      <c r="J49" s="2313"/>
      <c r="K49" s="2315">
        <f>F49+H49+J49</f>
        <v>0</v>
      </c>
      <c r="L49" s="2719"/>
      <c r="M49" s="2711"/>
      <c r="N49" s="2711"/>
      <c r="O49" s="2711"/>
      <c r="P49" s="3730" t="str">
        <f>A49</f>
        <v>比较价值（元/平方米）</v>
      </c>
      <c r="Q49" s="3748"/>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397"/>
      <c r="Y49" s="397"/>
      <c r="Z49" s="397"/>
      <c r="AA49" s="397"/>
      <c r="AB49" s="397"/>
      <c r="AC49" s="578"/>
    </row>
    <row r="50" spans="1:29" ht="15.75" thickBot="1">
      <c r="A50" s="441" t="s">
        <v>1791</v>
      </c>
      <c r="B50" s="442"/>
      <c r="C50" s="1161" t="e">
        <f>R50</f>
        <v>#DIV/0!</v>
      </c>
      <c r="D50" s="1161"/>
      <c r="E50" s="1161"/>
      <c r="F50" s="1161"/>
      <c r="G50" s="1161"/>
      <c r="H50" s="1161"/>
      <c r="I50" s="1161"/>
      <c r="J50" s="443"/>
      <c r="K50" s="714"/>
      <c r="L50" s="2719"/>
      <c r="M50" s="2711"/>
      <c r="N50" s="2711"/>
      <c r="O50" s="2711"/>
      <c r="P50" s="3814" t="str">
        <f>A50</f>
        <v>估价对象XX用房的比较价值（楼面单价，元/平方米）</v>
      </c>
      <c r="Q50" s="3815"/>
      <c r="R50" s="3816" t="e">
        <f>IF(F1="售价",ROUND(IF(D49="简单平均",AVERAGE(R49:V49),R49*F49+T49*H49+V49*J49),0),ROUND(IF(D49="简单平均",AVERAGE(R49:V49),R49*F49+T49*H49+V49*J49),1))</f>
        <v>#DIV/0!</v>
      </c>
      <c r="S50" s="3816"/>
      <c r="T50" s="3816"/>
      <c r="U50" s="3816"/>
      <c r="V50" s="3816"/>
      <c r="W50" s="3816"/>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1795</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1676</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1713</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1678</v>
      </c>
      <c r="B62" s="459"/>
      <c r="C62" s="471" t="s">
        <v>1773</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1716</v>
      </c>
      <c r="B64" s="477" t="s">
        <v>1682</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1685</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1687</v>
      </c>
      <c r="B77" s="477" t="s">
        <v>1818</v>
      </c>
      <c r="C77" s="522" t="s">
        <v>1718</v>
      </c>
      <c r="D77" s="522" t="s">
        <v>1719</v>
      </c>
      <c r="E77" s="522" t="s">
        <v>1720</v>
      </c>
      <c r="F77" s="522" t="s">
        <v>1721</v>
      </c>
      <c r="G77" s="522" t="s">
        <v>1722</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1723</v>
      </c>
      <c r="C79" s="527" t="s">
        <v>1718</v>
      </c>
      <c r="D79" s="527" t="s">
        <v>1719</v>
      </c>
      <c r="E79" s="527" t="s">
        <v>1720</v>
      </c>
      <c r="F79" s="527" t="s">
        <v>1721</v>
      </c>
      <c r="G79" s="527" t="s">
        <v>1722</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1724</v>
      </c>
      <c r="C81" s="527" t="s">
        <v>1718</v>
      </c>
      <c r="D81" s="527" t="s">
        <v>1719</v>
      </c>
      <c r="E81" s="527" t="s">
        <v>1720</v>
      </c>
      <c r="F81" s="527" t="s">
        <v>1721</v>
      </c>
      <c r="G81" s="527" t="s">
        <v>1722</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1810</v>
      </c>
      <c r="C83" s="608" t="s">
        <v>1796</v>
      </c>
      <c r="D83" s="608" t="s">
        <v>1797</v>
      </c>
      <c r="E83" s="608" t="s">
        <v>1798</v>
      </c>
      <c r="F83" s="608" t="s">
        <v>1799</v>
      </c>
      <c r="G83" s="608" t="s">
        <v>1800</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1819</v>
      </c>
      <c r="C85" s="527" t="s">
        <v>1718</v>
      </c>
      <c r="D85" s="527" t="s">
        <v>1719</v>
      </c>
      <c r="E85" s="527" t="s">
        <v>1720</v>
      </c>
      <c r="F85" s="527" t="s">
        <v>1721</v>
      </c>
      <c r="G85" s="527" t="s">
        <v>1722</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1820</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1691</v>
      </c>
      <c r="B101" s="477" t="s">
        <v>1733</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1735</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1737</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1821</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1738</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1739</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1822</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1805</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1741</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1823</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116.03999999999999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1766</v>
      </c>
      <c r="B4" s="356"/>
      <c r="C4" s="3731" t="s">
        <v>1767</v>
      </c>
      <c r="D4" s="3732"/>
      <c r="E4" s="3733" t="s">
        <v>1768</v>
      </c>
      <c r="F4" s="3734"/>
      <c r="G4" s="3731" t="s">
        <v>1769</v>
      </c>
      <c r="H4" s="3732"/>
      <c r="I4" s="3731" t="s">
        <v>1770</v>
      </c>
      <c r="J4" s="3732"/>
      <c r="K4" s="559" t="s">
        <v>1771</v>
      </c>
      <c r="L4" s="912"/>
      <c r="M4" s="913"/>
      <c r="N4" s="913"/>
      <c r="O4" s="913"/>
      <c r="P4" s="3735" t="s">
        <v>1772</v>
      </c>
      <c r="Q4" s="3736"/>
      <c r="R4" s="3717" t="s">
        <v>1768</v>
      </c>
      <c r="S4" s="3718"/>
      <c r="T4" s="3717" t="s">
        <v>1769</v>
      </c>
      <c r="U4" s="3718"/>
      <c r="V4" s="3743" t="s">
        <v>1770</v>
      </c>
      <c r="W4" s="3743"/>
      <c r="X4" s="1352"/>
      <c r="Y4" s="3717" t="s">
        <v>1772</v>
      </c>
      <c r="Z4" s="3718"/>
      <c r="AA4" s="3712" t="s">
        <v>1768</v>
      </c>
      <c r="AB4" s="3713" t="s">
        <v>1769</v>
      </c>
      <c r="AC4" s="3712" t="s">
        <v>1770</v>
      </c>
    </row>
    <row r="5" spans="1:29" ht="15">
      <c r="A5" s="358"/>
      <c r="B5" s="359"/>
      <c r="C5" s="3723" t="s">
        <v>1670</v>
      </c>
      <c r="D5" s="3724"/>
      <c r="E5" s="3762" t="s">
        <v>1671</v>
      </c>
      <c r="F5" s="3722"/>
      <c r="G5" s="3723" t="s">
        <v>1672</v>
      </c>
      <c r="H5" s="3724"/>
      <c r="I5" s="3723" t="s">
        <v>1673</v>
      </c>
      <c r="J5" s="3724"/>
      <c r="K5" s="559"/>
      <c r="L5" s="912"/>
      <c r="M5" s="913"/>
      <c r="N5" s="913"/>
      <c r="O5" s="913"/>
      <c r="P5" s="3737"/>
      <c r="Q5" s="3738"/>
      <c r="R5" s="3719"/>
      <c r="S5" s="3720"/>
      <c r="T5" s="3719"/>
      <c r="U5" s="3720"/>
      <c r="V5" s="3743"/>
      <c r="W5" s="3743"/>
      <c r="X5" s="1352"/>
      <c r="Y5" s="3719"/>
      <c r="Z5" s="3720"/>
      <c r="AA5" s="3713"/>
      <c r="AB5" s="3713"/>
      <c r="AC5" s="3713"/>
    </row>
    <row r="6" spans="1:29" ht="15.75" thickBot="1">
      <c r="A6" s="360"/>
      <c r="B6" s="361"/>
      <c r="C6" s="3725" t="s">
        <v>1674</v>
      </c>
      <c r="D6" s="3726"/>
      <c r="E6" s="3728" t="s">
        <v>1674</v>
      </c>
      <c r="F6" s="3729"/>
      <c r="G6" s="3725" t="s">
        <v>1674</v>
      </c>
      <c r="H6" s="3726"/>
      <c r="I6" s="3725" t="s">
        <v>1674</v>
      </c>
      <c r="J6" s="3726"/>
      <c r="K6" s="559" t="s">
        <v>1675</v>
      </c>
      <c r="L6" s="912"/>
      <c r="M6" s="913"/>
      <c r="N6" s="913"/>
      <c r="O6" s="913"/>
      <c r="P6" s="3739"/>
      <c r="Q6" s="3740"/>
      <c r="R6" s="3719"/>
      <c r="S6" s="3720"/>
      <c r="T6" s="3741"/>
      <c r="U6" s="3742"/>
      <c r="V6" s="3743"/>
      <c r="W6" s="3743"/>
      <c r="X6" s="1352"/>
      <c r="Y6" s="3741"/>
      <c r="Z6" s="3742"/>
      <c r="AA6" s="3714"/>
      <c r="AB6" s="3714"/>
      <c r="AC6" s="3714"/>
    </row>
    <row r="7" spans="1:29" s="108" customFormat="1" ht="15.75" thickBot="1">
      <c r="A7" s="362" t="s">
        <v>1676</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715" t="s">
        <v>1677</v>
      </c>
      <c r="Q7" s="3744"/>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5" t="s">
        <v>1680</v>
      </c>
      <c r="Q8" s="3716"/>
      <c r="R8" s="700" t="s">
        <v>14</v>
      </c>
      <c r="S8" s="701">
        <f t="shared" si="0"/>
        <v>100</v>
      </c>
      <c r="T8" s="700" t="s">
        <v>14</v>
      </c>
      <c r="U8" s="701">
        <f t="shared" si="1"/>
        <v>100</v>
      </c>
      <c r="V8" s="700" t="s">
        <v>14</v>
      </c>
      <c r="W8" s="701">
        <f t="shared" si="2"/>
        <v>100</v>
      </c>
      <c r="X8" s="702"/>
      <c r="Y8" s="3715" t="s">
        <v>1680</v>
      </c>
      <c r="Z8" s="3716"/>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8" t="s">
        <v>1683</v>
      </c>
      <c r="Q9" s="1340" t="str">
        <f t="shared" ref="Q9:Q15" si="6">B9</f>
        <v>用途</v>
      </c>
      <c r="R9" s="700" t="s">
        <v>14</v>
      </c>
      <c r="S9" s="701">
        <f t="shared" si="0"/>
        <v>100</v>
      </c>
      <c r="T9" s="700" t="s">
        <v>14</v>
      </c>
      <c r="U9" s="701">
        <f t="shared" si="1"/>
        <v>100</v>
      </c>
      <c r="V9" s="700" t="s">
        <v>14</v>
      </c>
      <c r="W9" s="701">
        <f t="shared" si="2"/>
        <v>100</v>
      </c>
      <c r="X9" s="702"/>
      <c r="Y9" s="3688"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48"/>
      <c r="Q10" s="1340"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8"/>
      <c r="Q11" s="1340" t="str">
        <f t="shared" si="6"/>
        <v>容积率</v>
      </c>
      <c r="R11" s="700" t="s">
        <v>14</v>
      </c>
      <c r="S11" s="701">
        <f t="shared" si="0"/>
        <v>100</v>
      </c>
      <c r="T11" s="700" t="s">
        <v>14</v>
      </c>
      <c r="U11" s="701">
        <f t="shared" si="1"/>
        <v>100</v>
      </c>
      <c r="V11" s="700" t="s">
        <v>14</v>
      </c>
      <c r="W11" s="701">
        <f t="shared" si="2"/>
        <v>100</v>
      </c>
      <c r="X11" s="702"/>
      <c r="Y11" s="3688"/>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748"/>
      <c r="Q12" s="1340">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748"/>
      <c r="Q13" s="1340">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748"/>
      <c r="Q14" s="1340">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703">
        <f t="shared" si="5"/>
        <v>1</v>
      </c>
    </row>
    <row r="15" spans="1:29" ht="57">
      <c r="A15" s="391" t="s">
        <v>1687</v>
      </c>
      <c r="B15" s="61" t="s">
        <v>1824</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50" t="s">
        <v>1688</v>
      </c>
      <c r="Q15" s="1349" t="str">
        <f t="shared" si="6"/>
        <v>产业集聚程度</v>
      </c>
      <c r="R15" s="704" t="s">
        <v>14</v>
      </c>
      <c r="S15" s="705">
        <f t="shared" si="0"/>
        <v>100</v>
      </c>
      <c r="T15" s="704" t="s">
        <v>14</v>
      </c>
      <c r="U15" s="705">
        <f t="shared" si="1"/>
        <v>100</v>
      </c>
      <c r="V15" s="704" t="s">
        <v>14</v>
      </c>
      <c r="W15" s="705">
        <f t="shared" si="2"/>
        <v>100</v>
      </c>
      <c r="X15" s="1352"/>
      <c r="Y15" s="3750"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51"/>
      <c r="Q16" s="1349"/>
      <c r="R16" s="704"/>
      <c r="S16" s="705"/>
      <c r="T16" s="704"/>
      <c r="U16" s="705"/>
      <c r="V16" s="704"/>
      <c r="W16" s="705"/>
      <c r="X16" s="1352"/>
      <c r="Y16" s="3751"/>
      <c r="Z16" s="1353"/>
      <c r="AA16" s="1350">
        <v>1</v>
      </c>
      <c r="AB16" s="1350">
        <v>1</v>
      </c>
      <c r="AC16" s="1350">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51"/>
      <c r="Q17" s="1349" t="str">
        <f>B17</f>
        <v>交通便捷度</v>
      </c>
      <c r="R17" s="704" t="s">
        <v>14</v>
      </c>
      <c r="S17" s="705">
        <f>F17</f>
        <v>100</v>
      </c>
      <c r="T17" s="704" t="s">
        <v>14</v>
      </c>
      <c r="U17" s="705">
        <f>H17</f>
        <v>100</v>
      </c>
      <c r="V17" s="704" t="s">
        <v>14</v>
      </c>
      <c r="W17" s="705">
        <f>J17</f>
        <v>100</v>
      </c>
      <c r="X17" s="1352"/>
      <c r="Y17" s="3751"/>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751"/>
      <c r="Q18" s="1349"/>
      <c r="R18" s="704"/>
      <c r="S18" s="705"/>
      <c r="T18" s="704"/>
      <c r="U18" s="705"/>
      <c r="V18" s="704"/>
      <c r="W18" s="705"/>
      <c r="X18" s="1352"/>
      <c r="Y18" s="3751"/>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51"/>
      <c r="Q19" s="1349" t="str">
        <f>B19</f>
        <v>公共配套设施</v>
      </c>
      <c r="R19" s="704" t="s">
        <v>14</v>
      </c>
      <c r="S19" s="705">
        <f>F19</f>
        <v>100</v>
      </c>
      <c r="T19" s="704" t="s">
        <v>14</v>
      </c>
      <c r="U19" s="705">
        <f>H19</f>
        <v>100</v>
      </c>
      <c r="V19" s="704" t="s">
        <v>14</v>
      </c>
      <c r="W19" s="705">
        <f>J19</f>
        <v>100</v>
      </c>
      <c r="X19" s="1352"/>
      <c r="Y19" s="3751"/>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751"/>
      <c r="Q20" s="1349"/>
      <c r="R20" s="704"/>
      <c r="S20" s="705"/>
      <c r="T20" s="704"/>
      <c r="U20" s="705"/>
      <c r="V20" s="704"/>
      <c r="W20" s="705"/>
      <c r="X20" s="1352"/>
      <c r="Y20" s="3751"/>
      <c r="Z20" s="1353"/>
      <c r="AA20" s="1350">
        <v>1</v>
      </c>
      <c r="AB20" s="1350">
        <v>1</v>
      </c>
      <c r="AC20" s="1350">
        <v>1</v>
      </c>
    </row>
    <row r="21" spans="1:29" ht="28.5">
      <c r="A21" s="379"/>
      <c r="B21" s="1129"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51"/>
      <c r="Q21" s="1349" t="str">
        <f>B21</f>
        <v>基础设施水平</v>
      </c>
      <c r="R21" s="704" t="s">
        <v>14</v>
      </c>
      <c r="S21" s="705">
        <f>F21</f>
        <v>100</v>
      </c>
      <c r="T21" s="704" t="s">
        <v>14</v>
      </c>
      <c r="U21" s="705">
        <f>H21</f>
        <v>100</v>
      </c>
      <c r="V21" s="704" t="s">
        <v>14</v>
      </c>
      <c r="W21" s="705">
        <f>J21</f>
        <v>100</v>
      </c>
      <c r="X21" s="1352"/>
      <c r="Y21" s="3751"/>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751"/>
      <c r="Q22" s="1349"/>
      <c r="R22" s="704"/>
      <c r="S22" s="705"/>
      <c r="T22" s="704"/>
      <c r="U22" s="705"/>
      <c r="V22" s="704"/>
      <c r="W22" s="705"/>
      <c r="X22" s="1352"/>
      <c r="Y22" s="3751"/>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51"/>
      <c r="Q23" s="1349" t="str">
        <f>B23</f>
        <v>环境质量</v>
      </c>
      <c r="R23" s="704" t="s">
        <v>14</v>
      </c>
      <c r="S23" s="705">
        <f>F23</f>
        <v>100</v>
      </c>
      <c r="T23" s="704" t="s">
        <v>14</v>
      </c>
      <c r="U23" s="705">
        <f>H23</f>
        <v>100</v>
      </c>
      <c r="V23" s="704" t="s">
        <v>14</v>
      </c>
      <c r="W23" s="705">
        <f>J23</f>
        <v>100</v>
      </c>
      <c r="X23" s="1352"/>
      <c r="Y23" s="3751"/>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751"/>
      <c r="Q24" s="1349"/>
      <c r="R24" s="704"/>
      <c r="S24" s="705"/>
      <c r="T24" s="704"/>
      <c r="U24" s="705"/>
      <c r="V24" s="704"/>
      <c r="W24" s="705"/>
      <c r="X24" s="1352"/>
      <c r="Y24" s="3751"/>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51"/>
      <c r="Q25" s="1349">
        <f>B25</f>
        <v>111</v>
      </c>
      <c r="R25" s="704" t="s">
        <v>14</v>
      </c>
      <c r="S25" s="705">
        <f>F25</f>
        <v>100</v>
      </c>
      <c r="T25" s="704" t="s">
        <v>14</v>
      </c>
      <c r="U25" s="705">
        <f>H25</f>
        <v>100</v>
      </c>
      <c r="V25" s="704" t="s">
        <v>14</v>
      </c>
      <c r="W25" s="705">
        <f>J25</f>
        <v>100</v>
      </c>
      <c r="X25" s="1352"/>
      <c r="Y25" s="3751"/>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51"/>
      <c r="Q26" s="1349">
        <f t="shared" ref="Q26:Q40" si="11">B26</f>
        <v>111</v>
      </c>
      <c r="R26" s="704" t="s">
        <v>14</v>
      </c>
      <c r="S26" s="705">
        <f>F26</f>
        <v>100</v>
      </c>
      <c r="T26" s="704" t="s">
        <v>14</v>
      </c>
      <c r="U26" s="705">
        <f>H26</f>
        <v>100</v>
      </c>
      <c r="V26" s="704" t="s">
        <v>14</v>
      </c>
      <c r="W26" s="705">
        <f>J26</f>
        <v>100</v>
      </c>
      <c r="X26" s="1352"/>
      <c r="Y26" s="3751"/>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51"/>
      <c r="Q27" s="1340">
        <f t="shared" si="11"/>
        <v>111</v>
      </c>
      <c r="R27" s="700" t="s">
        <v>14</v>
      </c>
      <c r="S27" s="701">
        <f>F27</f>
        <v>100</v>
      </c>
      <c r="T27" s="700" t="s">
        <v>14</v>
      </c>
      <c r="U27" s="701">
        <f>H27</f>
        <v>100</v>
      </c>
      <c r="V27" s="700" t="s">
        <v>14</v>
      </c>
      <c r="W27" s="701">
        <f>J27</f>
        <v>100</v>
      </c>
      <c r="X27" s="702"/>
      <c r="Y27" s="3751"/>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51"/>
      <c r="Q28" s="1349">
        <f t="shared" si="11"/>
        <v>111</v>
      </c>
      <c r="R28" s="704" t="s">
        <v>14</v>
      </c>
      <c r="S28" s="705">
        <f t="shared" ref="S28:S40" si="12">F28</f>
        <v>100</v>
      </c>
      <c r="T28" s="704" t="s">
        <v>14</v>
      </c>
      <c r="U28" s="705">
        <f t="shared" ref="U28:U40" si="13">H28</f>
        <v>100</v>
      </c>
      <c r="V28" s="704" t="s">
        <v>14</v>
      </c>
      <c r="W28" s="705">
        <f t="shared" ref="W28:W40" si="14">J28</f>
        <v>100</v>
      </c>
      <c r="X28" s="1352"/>
      <c r="Y28" s="3751"/>
      <c r="Z28" s="1353">
        <f t="shared" ref="Z28:Z40" si="15">Q28</f>
        <v>111</v>
      </c>
      <c r="AA28" s="1350">
        <f t="shared" si="3"/>
        <v>1</v>
      </c>
      <c r="AB28" s="1350">
        <f t="shared" si="4"/>
        <v>1</v>
      </c>
      <c r="AC28" s="1350">
        <f t="shared" si="5"/>
        <v>1</v>
      </c>
    </row>
    <row r="29" spans="1:29" ht="28.5">
      <c r="A29" s="417" t="s">
        <v>1691</v>
      </c>
      <c r="B29" s="63" t="s">
        <v>1814</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763" t="s">
        <v>1693</v>
      </c>
      <c r="Q29" s="1349" t="str">
        <f t="shared" si="11"/>
        <v>建筑类型</v>
      </c>
      <c r="R29" s="704" t="s">
        <v>14</v>
      </c>
      <c r="S29" s="705">
        <f t="shared" si="12"/>
        <v>100</v>
      </c>
      <c r="T29" s="704" t="s">
        <v>14</v>
      </c>
      <c r="U29" s="705">
        <f t="shared" si="13"/>
        <v>100</v>
      </c>
      <c r="V29" s="704" t="s">
        <v>14</v>
      </c>
      <c r="W29" s="705">
        <f t="shared" si="14"/>
        <v>100</v>
      </c>
      <c r="X29" s="1352"/>
      <c r="Y29" s="3755"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55"/>
      <c r="Q30" s="706" t="str">
        <f t="shared" si="11"/>
        <v>项目建筑规模</v>
      </c>
      <c r="R30" s="707" t="s">
        <v>14</v>
      </c>
      <c r="S30" s="708" t="e">
        <f t="shared" si="12"/>
        <v>#N/A</v>
      </c>
      <c r="T30" s="707" t="s">
        <v>14</v>
      </c>
      <c r="U30" s="708" t="e">
        <f t="shared" si="13"/>
        <v>#N/A</v>
      </c>
      <c r="V30" s="707" t="s">
        <v>14</v>
      </c>
      <c r="W30" s="708" t="e">
        <f t="shared" si="14"/>
        <v>#N/A</v>
      </c>
      <c r="X30" s="709"/>
      <c r="Y30" s="3755"/>
      <c r="Z30" s="710"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55"/>
      <c r="Q31" s="1349" t="str">
        <f t="shared" si="11"/>
        <v>建筑结构</v>
      </c>
      <c r="R31" s="704" t="s">
        <v>14</v>
      </c>
      <c r="S31" s="705">
        <f t="shared" si="12"/>
        <v>100</v>
      </c>
      <c r="T31" s="704" t="s">
        <v>14</v>
      </c>
      <c r="U31" s="705">
        <f t="shared" si="13"/>
        <v>100</v>
      </c>
      <c r="V31" s="704" t="s">
        <v>14</v>
      </c>
      <c r="W31" s="705">
        <f t="shared" si="14"/>
        <v>100</v>
      </c>
      <c r="X31" s="1352"/>
      <c r="Y31" s="3755"/>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55"/>
      <c r="Q32" s="1349" t="str">
        <f t="shared" si="11"/>
        <v>公共部分装修</v>
      </c>
      <c r="R32" s="704" t="s">
        <v>14</v>
      </c>
      <c r="S32" s="705">
        <f t="shared" si="12"/>
        <v>100</v>
      </c>
      <c r="T32" s="704" t="s">
        <v>14</v>
      </c>
      <c r="U32" s="705">
        <f t="shared" si="13"/>
        <v>100</v>
      </c>
      <c r="V32" s="704" t="s">
        <v>14</v>
      </c>
      <c r="W32" s="705">
        <f t="shared" si="14"/>
        <v>100</v>
      </c>
      <c r="X32" s="1352"/>
      <c r="Y32" s="3755"/>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55"/>
      <c r="Q33" s="1349" t="str">
        <f t="shared" si="11"/>
        <v>成新度</v>
      </c>
      <c r="R33" s="704" t="s">
        <v>14</v>
      </c>
      <c r="S33" s="705" t="e">
        <f t="shared" si="12"/>
        <v>#N/A</v>
      </c>
      <c r="T33" s="704" t="s">
        <v>14</v>
      </c>
      <c r="U33" s="705" t="e">
        <f t="shared" si="13"/>
        <v>#N/A</v>
      </c>
      <c r="V33" s="704" t="s">
        <v>14</v>
      </c>
      <c r="W33" s="705" t="e">
        <f t="shared" si="14"/>
        <v>#N/A</v>
      </c>
      <c r="X33" s="1352"/>
      <c r="Y33" s="3755"/>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55"/>
      <c r="Q34" s="1340" t="str">
        <f t="shared" si="11"/>
        <v>物业管理</v>
      </c>
      <c r="R34" s="700" t="s">
        <v>14</v>
      </c>
      <c r="S34" s="701">
        <f t="shared" si="12"/>
        <v>100</v>
      </c>
      <c r="T34" s="700" t="s">
        <v>14</v>
      </c>
      <c r="U34" s="701">
        <f t="shared" si="13"/>
        <v>100</v>
      </c>
      <c r="V34" s="700" t="s">
        <v>14</v>
      </c>
      <c r="W34" s="701">
        <f t="shared" si="14"/>
        <v>100</v>
      </c>
      <c r="X34" s="702"/>
      <c r="Y34" s="3755"/>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55" t="s">
        <v>1693</v>
      </c>
      <c r="Q35" s="1349" t="str">
        <f t="shared" si="11"/>
        <v>市政基础设施</v>
      </c>
      <c r="R35" s="704" t="s">
        <v>14</v>
      </c>
      <c r="S35" s="705">
        <f t="shared" si="12"/>
        <v>100</v>
      </c>
      <c r="T35" s="704" t="s">
        <v>14</v>
      </c>
      <c r="U35" s="705">
        <f t="shared" si="13"/>
        <v>100</v>
      </c>
      <c r="V35" s="704" t="s">
        <v>14</v>
      </c>
      <c r="W35" s="705">
        <f t="shared" si="14"/>
        <v>100</v>
      </c>
      <c r="X35" s="1352"/>
      <c r="Y35" s="3755"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55"/>
      <c r="Q36" s="1349" t="str">
        <f t="shared" si="11"/>
        <v>内部装修</v>
      </c>
      <c r="R36" s="704" t="s">
        <v>14</v>
      </c>
      <c r="S36" s="705">
        <f t="shared" si="12"/>
        <v>100</v>
      </c>
      <c r="T36" s="704" t="s">
        <v>14</v>
      </c>
      <c r="U36" s="705">
        <f t="shared" si="13"/>
        <v>100</v>
      </c>
      <c r="V36" s="704" t="s">
        <v>14</v>
      </c>
      <c r="W36" s="705">
        <f t="shared" si="14"/>
        <v>100</v>
      </c>
      <c r="X36" s="1352"/>
      <c r="Y36" s="3755"/>
      <c r="Z36" s="1353" t="str">
        <f t="shared" si="15"/>
        <v>内部装修</v>
      </c>
      <c r="AA36" s="1350">
        <f t="shared" si="3"/>
        <v>1</v>
      </c>
      <c r="AB36" s="1350">
        <f t="shared" si="4"/>
        <v>1</v>
      </c>
      <c r="AC36" s="1350">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55"/>
      <c r="Q37" s="1349" t="str">
        <f t="shared" si="11"/>
        <v>内部装修状况</v>
      </c>
      <c r="R37" s="704" t="s">
        <v>14</v>
      </c>
      <c r="S37" s="705">
        <f t="shared" si="12"/>
        <v>100</v>
      </c>
      <c r="T37" s="704" t="s">
        <v>14</v>
      </c>
      <c r="U37" s="705">
        <f t="shared" si="13"/>
        <v>100</v>
      </c>
      <c r="V37" s="704" t="s">
        <v>14</v>
      </c>
      <c r="W37" s="705">
        <f t="shared" si="14"/>
        <v>100</v>
      </c>
      <c r="X37" s="1352"/>
      <c r="Y37" s="3755"/>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55"/>
      <c r="Q38" s="706">
        <f t="shared" si="11"/>
        <v>111</v>
      </c>
      <c r="R38" s="707" t="s">
        <v>14</v>
      </c>
      <c r="S38" s="708">
        <f t="shared" si="12"/>
        <v>100</v>
      </c>
      <c r="T38" s="707" t="s">
        <v>14</v>
      </c>
      <c r="U38" s="708">
        <f t="shared" si="13"/>
        <v>100</v>
      </c>
      <c r="V38" s="707" t="s">
        <v>14</v>
      </c>
      <c r="W38" s="708">
        <f t="shared" si="14"/>
        <v>100</v>
      </c>
      <c r="X38" s="709"/>
      <c r="Y38" s="3755"/>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55"/>
      <c r="Q39" s="1349">
        <f t="shared" si="11"/>
        <v>111</v>
      </c>
      <c r="R39" s="704" t="s">
        <v>14</v>
      </c>
      <c r="S39" s="705">
        <f t="shared" si="12"/>
        <v>100</v>
      </c>
      <c r="T39" s="704" t="s">
        <v>14</v>
      </c>
      <c r="U39" s="705">
        <f t="shared" si="13"/>
        <v>100</v>
      </c>
      <c r="V39" s="704" t="s">
        <v>14</v>
      </c>
      <c r="W39" s="705">
        <f t="shared" si="14"/>
        <v>100</v>
      </c>
      <c r="X39" s="1352"/>
      <c r="Y39" s="3755"/>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6"/>
      <c r="Q40" s="1349">
        <f t="shared" si="11"/>
        <v>111</v>
      </c>
      <c r="R40" s="704" t="s">
        <v>14</v>
      </c>
      <c r="S40" s="705">
        <f t="shared" si="12"/>
        <v>100</v>
      </c>
      <c r="T40" s="704" t="s">
        <v>14</v>
      </c>
      <c r="U40" s="705">
        <f t="shared" si="13"/>
        <v>100</v>
      </c>
      <c r="V40" s="704" t="s">
        <v>14</v>
      </c>
      <c r="W40" s="705">
        <f t="shared" si="14"/>
        <v>100</v>
      </c>
      <c r="X40" s="1352"/>
      <c r="Y40" s="3756"/>
      <c r="Z40" s="1353">
        <f t="shared" si="15"/>
        <v>111</v>
      </c>
      <c r="AA40" s="1350">
        <f t="shared" si="3"/>
        <v>1</v>
      </c>
      <c r="AB40" s="1350">
        <f t="shared" si="4"/>
        <v>1</v>
      </c>
      <c r="AC40" s="1350">
        <f t="shared" si="5"/>
        <v>1</v>
      </c>
    </row>
    <row r="41" spans="1:29" ht="15">
      <c r="A41" s="430" t="s">
        <v>1705</v>
      </c>
      <c r="B41" s="431"/>
      <c r="C41" s="1152" t="s">
        <v>0</v>
      </c>
      <c r="D41" s="1153"/>
      <c r="E41" s="1154"/>
      <c r="F41" s="1155"/>
      <c r="G41" s="1156"/>
      <c r="H41" s="1157"/>
      <c r="I41" s="1154"/>
      <c r="J41" s="1157"/>
      <c r="K41" s="713"/>
      <c r="L41" s="925"/>
      <c r="M41" s="926"/>
      <c r="N41" s="913"/>
      <c r="O41" s="926"/>
      <c r="P41" s="3748" t="str">
        <f>A41</f>
        <v>成交单价（元/平方米）</v>
      </c>
      <c r="Q41" s="3748"/>
      <c r="R41" s="3749">
        <f>E41</f>
        <v>0</v>
      </c>
      <c r="S41" s="3749"/>
      <c r="T41" s="3749">
        <f>G41</f>
        <v>0</v>
      </c>
      <c r="U41" s="3749"/>
      <c r="V41" s="3749">
        <f>I41</f>
        <v>0</v>
      </c>
      <c r="W41" s="3749"/>
      <c r="X41" s="689"/>
      <c r="Y41" s="711"/>
      <c r="Z41" s="689"/>
      <c r="AA41" s="689"/>
      <c r="AB41" s="689"/>
      <c r="AC41" s="689"/>
    </row>
    <row r="42" spans="1:29" ht="15.75" thickBot="1">
      <c r="A42" s="437" t="s">
        <v>1790</v>
      </c>
      <c r="B42" s="438"/>
      <c r="C42" s="1158" t="e">
        <f>R43</f>
        <v>#DIV/0!</v>
      </c>
      <c r="D42" s="2312" t="s">
        <v>2134</v>
      </c>
      <c r="E42" s="1159" t="e">
        <f>R42</f>
        <v>#DIV/0!</v>
      </c>
      <c r="F42" s="2313"/>
      <c r="G42" s="1158" t="e">
        <f>T42</f>
        <v>#DIV/0!</v>
      </c>
      <c r="H42" s="2313"/>
      <c r="I42" s="1159" t="e">
        <f>V42</f>
        <v>#DIV/0!</v>
      </c>
      <c r="J42" s="2313"/>
      <c r="K42" s="2315">
        <f>F42+H42+J42</f>
        <v>0</v>
      </c>
      <c r="L42" s="925"/>
      <c r="M42" s="926"/>
      <c r="N42" s="913"/>
      <c r="O42" s="926"/>
      <c r="P42" s="3748" t="str">
        <f>A42</f>
        <v>比较价值（元/平方米）</v>
      </c>
      <c r="Q42" s="3748"/>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689"/>
      <c r="Y42" s="689"/>
      <c r="Z42" s="689"/>
      <c r="AA42" s="689"/>
      <c r="AB42" s="689"/>
      <c r="AC42" s="689"/>
    </row>
    <row r="43" spans="1:29" ht="15.75" thickBot="1">
      <c r="A43" s="441" t="s">
        <v>1791</v>
      </c>
      <c r="B43" s="442"/>
      <c r="C43" s="1161" t="e">
        <f>R43</f>
        <v>#DIV/0!</v>
      </c>
      <c r="D43" s="1161"/>
      <c r="E43" s="1161"/>
      <c r="F43" s="1161"/>
      <c r="G43" s="1161"/>
      <c r="H43" s="1161"/>
      <c r="I43" s="1161"/>
      <c r="J43" s="1161"/>
      <c r="K43" s="714"/>
      <c r="L43" s="925"/>
      <c r="M43" s="926"/>
      <c r="N43" s="926"/>
      <c r="O43" s="926"/>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2"/>
      <c r="Q51" s="453"/>
    </row>
    <row r="52" spans="1:17" s="457" customFormat="1" ht="15">
      <c r="A52" s="454" t="s">
        <v>1676</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5"/>
      <c r="O54" s="2766"/>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3336</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31" t="s">
        <v>1767</v>
      </c>
      <c r="D4" s="3732"/>
      <c r="E4" s="3733" t="s">
        <v>1768</v>
      </c>
      <c r="F4" s="3734"/>
      <c r="G4" s="3731" t="s">
        <v>1769</v>
      </c>
      <c r="H4" s="3732"/>
      <c r="I4" s="3731" t="s">
        <v>1770</v>
      </c>
      <c r="J4" s="3732"/>
      <c r="K4" s="559" t="s">
        <v>1771</v>
      </c>
      <c r="L4" s="2710"/>
      <c r="M4" s="2711"/>
      <c r="N4" s="2711"/>
      <c r="O4" s="2711"/>
      <c r="P4" s="3735" t="s">
        <v>1772</v>
      </c>
      <c r="Q4" s="3736"/>
      <c r="R4" s="3717" t="s">
        <v>1768</v>
      </c>
      <c r="S4" s="3718"/>
      <c r="T4" s="3717" t="s">
        <v>1769</v>
      </c>
      <c r="U4" s="3718"/>
      <c r="V4" s="3743" t="s">
        <v>1770</v>
      </c>
      <c r="W4" s="3743"/>
      <c r="X4" s="1352"/>
      <c r="Y4" s="3717" t="s">
        <v>1772</v>
      </c>
      <c r="Z4" s="3718"/>
      <c r="AA4" s="3712" t="s">
        <v>1768</v>
      </c>
      <c r="AB4" s="3713" t="s">
        <v>1769</v>
      </c>
      <c r="AC4" s="3712" t="s">
        <v>1770</v>
      </c>
    </row>
    <row r="5" spans="1:29" ht="15">
      <c r="A5" s="358"/>
      <c r="B5" s="359"/>
      <c r="C5" s="3723" t="s">
        <v>1670</v>
      </c>
      <c r="D5" s="3724"/>
      <c r="E5" s="3762" t="s">
        <v>1671</v>
      </c>
      <c r="F5" s="3722"/>
      <c r="G5" s="3723" t="s">
        <v>1672</v>
      </c>
      <c r="H5" s="3724"/>
      <c r="I5" s="3723" t="s">
        <v>1673</v>
      </c>
      <c r="J5" s="3724"/>
      <c r="K5" s="559"/>
      <c r="L5" s="2710"/>
      <c r="M5" s="2711"/>
      <c r="N5" s="2711"/>
      <c r="O5" s="2711"/>
      <c r="P5" s="3737"/>
      <c r="Q5" s="3738"/>
      <c r="R5" s="3719"/>
      <c r="S5" s="3720"/>
      <c r="T5" s="3719"/>
      <c r="U5" s="3720"/>
      <c r="V5" s="3743"/>
      <c r="W5" s="3743"/>
      <c r="X5" s="1352"/>
      <c r="Y5" s="3719"/>
      <c r="Z5" s="3720"/>
      <c r="AA5" s="3713"/>
      <c r="AB5" s="3713"/>
      <c r="AC5" s="3713"/>
    </row>
    <row r="6" spans="1:29" ht="15.75" thickBot="1">
      <c r="A6" s="360"/>
      <c r="B6" s="361"/>
      <c r="C6" s="3725" t="s">
        <v>1674</v>
      </c>
      <c r="D6" s="3726"/>
      <c r="E6" s="3728" t="s">
        <v>1674</v>
      </c>
      <c r="F6" s="3729"/>
      <c r="G6" s="3725" t="s">
        <v>1674</v>
      </c>
      <c r="H6" s="3726"/>
      <c r="I6" s="3725" t="s">
        <v>1674</v>
      </c>
      <c r="J6" s="3726"/>
      <c r="K6" s="559" t="s">
        <v>1675</v>
      </c>
      <c r="L6" s="2710"/>
      <c r="M6" s="2711"/>
      <c r="N6" s="2711"/>
      <c r="O6" s="2711"/>
      <c r="P6" s="3739"/>
      <c r="Q6" s="3740"/>
      <c r="R6" s="3719"/>
      <c r="S6" s="3720"/>
      <c r="T6" s="3741"/>
      <c r="U6" s="3742"/>
      <c r="V6" s="3743"/>
      <c r="W6" s="3743"/>
      <c r="X6" s="1352"/>
      <c r="Y6" s="3741"/>
      <c r="Z6" s="3742"/>
      <c r="AA6" s="3714"/>
      <c r="AB6" s="3714"/>
      <c r="AC6" s="3714"/>
    </row>
    <row r="7" spans="1:29" s="108" customFormat="1" ht="15.75" thickBot="1">
      <c r="A7" s="362" t="s">
        <v>1676</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15" t="s">
        <v>1677</v>
      </c>
      <c r="Q7" s="3744"/>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5" t="s">
        <v>1680</v>
      </c>
      <c r="Q8" s="3716"/>
      <c r="R8" s="700" t="s">
        <v>14</v>
      </c>
      <c r="S8" s="701">
        <f t="shared" si="0"/>
        <v>100</v>
      </c>
      <c r="T8" s="700" t="s">
        <v>14</v>
      </c>
      <c r="U8" s="701">
        <f t="shared" si="1"/>
        <v>100</v>
      </c>
      <c r="V8" s="700" t="s">
        <v>14</v>
      </c>
      <c r="W8" s="701">
        <f t="shared" si="2"/>
        <v>100</v>
      </c>
      <c r="X8" s="702"/>
      <c r="Y8" s="3715" t="s">
        <v>1680</v>
      </c>
      <c r="Z8" s="3716"/>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8" t="s">
        <v>1683</v>
      </c>
      <c r="Q9" s="1340" t="str">
        <f t="shared" ref="Q9:Q14" si="6">B9</f>
        <v>用途</v>
      </c>
      <c r="R9" s="700" t="s">
        <v>14</v>
      </c>
      <c r="S9" s="701">
        <f t="shared" si="0"/>
        <v>100</v>
      </c>
      <c r="T9" s="700" t="s">
        <v>14</v>
      </c>
      <c r="U9" s="701">
        <f t="shared" si="1"/>
        <v>100</v>
      </c>
      <c r="V9" s="700" t="s">
        <v>14</v>
      </c>
      <c r="W9" s="701">
        <f t="shared" si="2"/>
        <v>100</v>
      </c>
      <c r="X9" s="702"/>
      <c r="Y9" s="3688"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48"/>
      <c r="Q10" s="1340" t="str">
        <f t="shared" si="6"/>
        <v>土地使用年限（年）</v>
      </c>
      <c r="R10" s="700" t="s">
        <v>14</v>
      </c>
      <c r="S10" s="701">
        <f t="shared" si="0"/>
        <v>100</v>
      </c>
      <c r="T10" s="700" t="s">
        <v>14</v>
      </c>
      <c r="U10" s="701">
        <f t="shared" si="1"/>
        <v>100</v>
      </c>
      <c r="V10" s="700" t="s">
        <v>14</v>
      </c>
      <c r="W10" s="701">
        <f t="shared" si="2"/>
        <v>100</v>
      </c>
      <c r="X10" s="702"/>
      <c r="Y10" s="3688"/>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8"/>
      <c r="Q11" s="1340">
        <f t="shared" si="6"/>
        <v>111</v>
      </c>
      <c r="R11" s="700" t="s">
        <v>14</v>
      </c>
      <c r="S11" s="701">
        <f t="shared" si="0"/>
        <v>100</v>
      </c>
      <c r="T11" s="700" t="s">
        <v>14</v>
      </c>
      <c r="U11" s="701">
        <f t="shared" si="1"/>
        <v>100</v>
      </c>
      <c r="V11" s="700" t="s">
        <v>14</v>
      </c>
      <c r="W11" s="701">
        <f t="shared" si="2"/>
        <v>100</v>
      </c>
      <c r="X11" s="702"/>
      <c r="Y11" s="3688"/>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8"/>
      <c r="Q12" s="1340">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48"/>
      <c r="Q13" s="1340">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85.5">
      <c r="A14" s="391" t="s">
        <v>1687</v>
      </c>
      <c r="B14" s="61" t="s">
        <v>1830</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50" t="s">
        <v>1688</v>
      </c>
      <c r="Q14" s="1349" t="str">
        <f t="shared" si="6"/>
        <v>交通便捷度</v>
      </c>
      <c r="R14" s="704" t="s">
        <v>14</v>
      </c>
      <c r="S14" s="705">
        <f t="shared" si="0"/>
        <v>100</v>
      </c>
      <c r="T14" s="704" t="s">
        <v>14</v>
      </c>
      <c r="U14" s="705">
        <f t="shared" si="1"/>
        <v>100</v>
      </c>
      <c r="V14" s="704" t="s">
        <v>14</v>
      </c>
      <c r="W14" s="705">
        <f t="shared" si="2"/>
        <v>100</v>
      </c>
      <c r="X14" s="1352"/>
      <c r="Y14" s="3750" t="s">
        <v>1688</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51"/>
      <c r="Q15" s="1349"/>
      <c r="R15" s="704"/>
      <c r="S15" s="705"/>
      <c r="T15" s="704"/>
      <c r="U15" s="705"/>
      <c r="V15" s="704"/>
      <c r="W15" s="705"/>
      <c r="X15" s="1352"/>
      <c r="Y15" s="3751"/>
      <c r="Z15" s="1353"/>
      <c r="AA15" s="1350">
        <v>1</v>
      </c>
      <c r="AB15" s="1350">
        <v>1</v>
      </c>
      <c r="AC15" s="1350">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51"/>
      <c r="Q16" s="1349" t="str">
        <f>B16</f>
        <v>公共配套设施</v>
      </c>
      <c r="R16" s="704" t="s">
        <v>14</v>
      </c>
      <c r="S16" s="705">
        <f>F16</f>
        <v>100</v>
      </c>
      <c r="T16" s="704" t="s">
        <v>14</v>
      </c>
      <c r="U16" s="705">
        <f>H16</f>
        <v>100</v>
      </c>
      <c r="V16" s="704" t="s">
        <v>14</v>
      </c>
      <c r="W16" s="705">
        <f>J16</f>
        <v>100</v>
      </c>
      <c r="X16" s="1352"/>
      <c r="Y16" s="3751"/>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751"/>
      <c r="Q17" s="1349"/>
      <c r="R17" s="704"/>
      <c r="S17" s="705"/>
      <c r="T17" s="704"/>
      <c r="U17" s="705"/>
      <c r="V17" s="704"/>
      <c r="W17" s="705"/>
      <c r="X17" s="1352"/>
      <c r="Y17" s="3751"/>
      <c r="Z17" s="1353"/>
      <c r="AA17" s="1350">
        <v>1</v>
      </c>
      <c r="AB17" s="1350">
        <v>1</v>
      </c>
      <c r="AC17" s="1350">
        <v>1</v>
      </c>
    </row>
    <row r="18" spans="1:29" ht="28.5">
      <c r="A18" s="379"/>
      <c r="B18" s="1129"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51"/>
      <c r="Q18" s="1349" t="str">
        <f>B18</f>
        <v>基础设施水平</v>
      </c>
      <c r="R18" s="704" t="s">
        <v>14</v>
      </c>
      <c r="S18" s="705">
        <f>F18</f>
        <v>100</v>
      </c>
      <c r="T18" s="704" t="s">
        <v>14</v>
      </c>
      <c r="U18" s="705">
        <f>H18</f>
        <v>100</v>
      </c>
      <c r="V18" s="704" t="s">
        <v>14</v>
      </c>
      <c r="W18" s="705">
        <f>J18</f>
        <v>100</v>
      </c>
      <c r="X18" s="1352"/>
      <c r="Y18" s="3751"/>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751"/>
      <c r="Q19" s="1349"/>
      <c r="R19" s="704"/>
      <c r="S19" s="705"/>
      <c r="T19" s="704"/>
      <c r="U19" s="705"/>
      <c r="V19" s="704"/>
      <c r="W19" s="705"/>
      <c r="X19" s="1352"/>
      <c r="Y19" s="3751"/>
      <c r="Z19" s="1353"/>
      <c r="AA19" s="1350">
        <v>1</v>
      </c>
      <c r="AB19" s="1350">
        <v>1</v>
      </c>
      <c r="AC19" s="1350">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51"/>
      <c r="Q20" s="1349" t="str">
        <f>B20</f>
        <v>自然及人文环境</v>
      </c>
      <c r="R20" s="704" t="s">
        <v>14</v>
      </c>
      <c r="S20" s="705">
        <f>F20</f>
        <v>100</v>
      </c>
      <c r="T20" s="704" t="s">
        <v>14</v>
      </c>
      <c r="U20" s="705">
        <f>H20</f>
        <v>100</v>
      </c>
      <c r="V20" s="704" t="s">
        <v>14</v>
      </c>
      <c r="W20" s="705">
        <f>J20</f>
        <v>100</v>
      </c>
      <c r="X20" s="1352"/>
      <c r="Y20" s="3751"/>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51"/>
      <c r="Q21" s="1349"/>
      <c r="R21" s="704"/>
      <c r="S21" s="705"/>
      <c r="T21" s="704"/>
      <c r="U21" s="705"/>
      <c r="V21" s="704"/>
      <c r="W21" s="705"/>
      <c r="X21" s="1352"/>
      <c r="Y21" s="3751"/>
      <c r="Z21" s="1353"/>
      <c r="AA21" s="1350">
        <v>1</v>
      </c>
      <c r="AB21" s="1350">
        <v>1</v>
      </c>
      <c r="AC21" s="1350">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51"/>
      <c r="Q22" s="1349" t="str">
        <f>B22</f>
        <v>楼层</v>
      </c>
      <c r="R22" s="704" t="s">
        <v>14</v>
      </c>
      <c r="S22" s="705">
        <f>F22</f>
        <v>100</v>
      </c>
      <c r="T22" s="704" t="s">
        <v>14</v>
      </c>
      <c r="U22" s="705">
        <f>H22</f>
        <v>100</v>
      </c>
      <c r="V22" s="704" t="s">
        <v>14</v>
      </c>
      <c r="W22" s="705">
        <f>J22</f>
        <v>100</v>
      </c>
      <c r="X22" s="1352"/>
      <c r="Y22" s="3751"/>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51"/>
      <c r="Q23" s="1349">
        <f>B23</f>
        <v>111</v>
      </c>
      <c r="R23" s="704" t="s">
        <v>14</v>
      </c>
      <c r="S23" s="705">
        <f>F23</f>
        <v>100</v>
      </c>
      <c r="T23" s="704" t="s">
        <v>14</v>
      </c>
      <c r="U23" s="705">
        <f>H23</f>
        <v>100</v>
      </c>
      <c r="V23" s="704" t="s">
        <v>14</v>
      </c>
      <c r="W23" s="705">
        <f>J23</f>
        <v>100</v>
      </c>
      <c r="X23" s="1352"/>
      <c r="Y23" s="3751"/>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51"/>
      <c r="Q24" s="1349">
        <f t="shared" ref="Q24:Q34" si="11">B24</f>
        <v>111</v>
      </c>
      <c r="R24" s="704" t="s">
        <v>14</v>
      </c>
      <c r="S24" s="705">
        <f>F24</f>
        <v>100</v>
      </c>
      <c r="T24" s="704" t="s">
        <v>14</v>
      </c>
      <c r="U24" s="705">
        <f>H24</f>
        <v>100</v>
      </c>
      <c r="V24" s="704" t="s">
        <v>14</v>
      </c>
      <c r="W24" s="705">
        <f>J24</f>
        <v>100</v>
      </c>
      <c r="X24" s="1352"/>
      <c r="Y24" s="3751"/>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51"/>
      <c r="Q25" s="1340">
        <f t="shared" si="11"/>
        <v>111</v>
      </c>
      <c r="R25" s="700" t="s">
        <v>14</v>
      </c>
      <c r="S25" s="701">
        <f>F25</f>
        <v>100</v>
      </c>
      <c r="T25" s="700" t="s">
        <v>14</v>
      </c>
      <c r="U25" s="701">
        <f>H25</f>
        <v>100</v>
      </c>
      <c r="V25" s="700" t="s">
        <v>14</v>
      </c>
      <c r="W25" s="701">
        <f>J25</f>
        <v>100</v>
      </c>
      <c r="X25" s="702"/>
      <c r="Y25" s="3751"/>
      <c r="Z25" s="52">
        <f>Q25</f>
        <v>111</v>
      </c>
      <c r="AA25" s="1350">
        <f>D25/F25</f>
        <v>1</v>
      </c>
      <c r="AB25" s="1350">
        <f>D25/H25</f>
        <v>1</v>
      </c>
      <c r="AC25" s="1350">
        <f>D25/J25</f>
        <v>1</v>
      </c>
    </row>
    <row r="26" spans="1:29" ht="28.5">
      <c r="A26" s="417" t="s">
        <v>1691</v>
      </c>
      <c r="B26" s="63" t="s">
        <v>1835</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63" t="s">
        <v>1693</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55" t="s">
        <v>1693</v>
      </c>
      <c r="Z26" s="1353" t="str">
        <f t="shared" ref="Z26:Z34" si="15">Q26</f>
        <v>公共部分装修</v>
      </c>
      <c r="AA26" s="1350">
        <f t="shared" si="3"/>
        <v>1</v>
      </c>
      <c r="AB26" s="1350">
        <f t="shared" si="4"/>
        <v>1</v>
      </c>
      <c r="AC26" s="1350">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55"/>
      <c r="Q27" s="706" t="str">
        <f t="shared" si="11"/>
        <v>成新率</v>
      </c>
      <c r="R27" s="707" t="s">
        <v>14</v>
      </c>
      <c r="S27" s="708" t="e">
        <f t="shared" si="12"/>
        <v>#N/A</v>
      </c>
      <c r="T27" s="707" t="s">
        <v>14</v>
      </c>
      <c r="U27" s="708" t="e">
        <f t="shared" si="13"/>
        <v>#N/A</v>
      </c>
      <c r="V27" s="707" t="s">
        <v>14</v>
      </c>
      <c r="W27" s="708" t="e">
        <f t="shared" si="14"/>
        <v>#N/A</v>
      </c>
      <c r="X27" s="709"/>
      <c r="Y27" s="3755"/>
      <c r="Z27" s="710" t="str">
        <f t="shared" si="15"/>
        <v>成新率</v>
      </c>
      <c r="AA27" s="1350" t="e">
        <f t="shared" si="3"/>
        <v>#N/A</v>
      </c>
      <c r="AB27" s="1350" t="e">
        <f t="shared" si="4"/>
        <v>#N/A</v>
      </c>
      <c r="AC27" s="1350"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55"/>
      <c r="Q28" s="1349" t="str">
        <f t="shared" si="11"/>
        <v>物业等级</v>
      </c>
      <c r="R28" s="704" t="s">
        <v>14</v>
      </c>
      <c r="S28" s="705">
        <f t="shared" si="12"/>
        <v>100</v>
      </c>
      <c r="T28" s="704" t="s">
        <v>14</v>
      </c>
      <c r="U28" s="705">
        <f t="shared" si="13"/>
        <v>100</v>
      </c>
      <c r="V28" s="704" t="s">
        <v>14</v>
      </c>
      <c r="W28" s="705">
        <f t="shared" si="14"/>
        <v>100</v>
      </c>
      <c r="X28" s="1352"/>
      <c r="Y28" s="3755"/>
      <c r="Z28" s="1353" t="str">
        <f t="shared" si="15"/>
        <v>物业等级</v>
      </c>
      <c r="AA28" s="1350">
        <f t="shared" si="3"/>
        <v>1</v>
      </c>
      <c r="AB28" s="1350">
        <f t="shared" si="4"/>
        <v>1</v>
      </c>
      <c r="AC28" s="1350">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55"/>
      <c r="Q29" s="1349" t="str">
        <f t="shared" si="11"/>
        <v>有无电梯</v>
      </c>
      <c r="R29" s="704" t="s">
        <v>14</v>
      </c>
      <c r="S29" s="705">
        <f t="shared" si="12"/>
        <v>100</v>
      </c>
      <c r="T29" s="704" t="s">
        <v>14</v>
      </c>
      <c r="U29" s="705">
        <f t="shared" si="13"/>
        <v>100</v>
      </c>
      <c r="V29" s="704" t="s">
        <v>14</v>
      </c>
      <c r="W29" s="705">
        <f t="shared" si="14"/>
        <v>100</v>
      </c>
      <c r="X29" s="1352"/>
      <c r="Y29" s="3755"/>
      <c r="Z29" s="1353" t="str">
        <f t="shared" si="15"/>
        <v>有无电梯</v>
      </c>
      <c r="AA29" s="1350">
        <f t="shared" si="3"/>
        <v>1</v>
      </c>
      <c r="AB29" s="1350">
        <f t="shared" si="4"/>
        <v>1</v>
      </c>
      <c r="AC29" s="1350">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55"/>
      <c r="Q30" s="1349" t="str">
        <f t="shared" si="11"/>
        <v>建筑面积</v>
      </c>
      <c r="R30" s="704" t="s">
        <v>14</v>
      </c>
      <c r="S30" s="705" t="e">
        <f t="shared" si="12"/>
        <v>#N/A</v>
      </c>
      <c r="T30" s="704" t="s">
        <v>14</v>
      </c>
      <c r="U30" s="705" t="e">
        <f t="shared" si="13"/>
        <v>#N/A</v>
      </c>
      <c r="V30" s="704" t="s">
        <v>14</v>
      </c>
      <c r="W30" s="705" t="e">
        <f t="shared" si="14"/>
        <v>#N/A</v>
      </c>
      <c r="X30" s="1352"/>
      <c r="Y30" s="3755"/>
      <c r="Z30" s="1353" t="str">
        <f t="shared" si="15"/>
        <v>建筑面积</v>
      </c>
      <c r="AA30" s="1350" t="e">
        <f t="shared" si="3"/>
        <v>#N/A</v>
      </c>
      <c r="AB30" s="1350" t="e">
        <f t="shared" si="4"/>
        <v>#N/A</v>
      </c>
      <c r="AC30" s="1350"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55"/>
      <c r="Q31" s="1340" t="str">
        <f t="shared" si="11"/>
        <v>是否封闭</v>
      </c>
      <c r="R31" s="700" t="s">
        <v>14</v>
      </c>
      <c r="S31" s="701">
        <f t="shared" si="12"/>
        <v>100</v>
      </c>
      <c r="T31" s="700" t="s">
        <v>14</v>
      </c>
      <c r="U31" s="701">
        <f t="shared" si="13"/>
        <v>100</v>
      </c>
      <c r="V31" s="700" t="s">
        <v>14</v>
      </c>
      <c r="W31" s="701">
        <f t="shared" si="14"/>
        <v>100</v>
      </c>
      <c r="X31" s="702"/>
      <c r="Y31" s="3755"/>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55" t="s">
        <v>1693</v>
      </c>
      <c r="Q32" s="1349">
        <f t="shared" si="11"/>
        <v>111</v>
      </c>
      <c r="R32" s="704" t="s">
        <v>14</v>
      </c>
      <c r="S32" s="705">
        <f t="shared" si="12"/>
        <v>100</v>
      </c>
      <c r="T32" s="704" t="s">
        <v>14</v>
      </c>
      <c r="U32" s="705">
        <f t="shared" si="13"/>
        <v>100</v>
      </c>
      <c r="V32" s="704" t="s">
        <v>14</v>
      </c>
      <c r="W32" s="705">
        <f t="shared" si="14"/>
        <v>100</v>
      </c>
      <c r="X32" s="1352"/>
      <c r="Y32" s="3755" t="s">
        <v>1693</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55"/>
      <c r="Q33" s="1349">
        <f t="shared" si="11"/>
        <v>111</v>
      </c>
      <c r="R33" s="704" t="s">
        <v>14</v>
      </c>
      <c r="S33" s="705">
        <f t="shared" si="12"/>
        <v>100</v>
      </c>
      <c r="T33" s="704" t="s">
        <v>14</v>
      </c>
      <c r="U33" s="705">
        <f t="shared" si="13"/>
        <v>100</v>
      </c>
      <c r="V33" s="704" t="s">
        <v>14</v>
      </c>
      <c r="W33" s="705">
        <f t="shared" si="14"/>
        <v>100</v>
      </c>
      <c r="X33" s="1352"/>
      <c r="Y33" s="3755"/>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55"/>
      <c r="Q34" s="1349">
        <f t="shared" si="11"/>
        <v>111</v>
      </c>
      <c r="R34" s="704" t="s">
        <v>14</v>
      </c>
      <c r="S34" s="705">
        <f t="shared" si="12"/>
        <v>100</v>
      </c>
      <c r="T34" s="704" t="s">
        <v>14</v>
      </c>
      <c r="U34" s="705">
        <f t="shared" si="13"/>
        <v>100</v>
      </c>
      <c r="V34" s="704" t="s">
        <v>14</v>
      </c>
      <c r="W34" s="705">
        <f t="shared" si="14"/>
        <v>100</v>
      </c>
      <c r="X34" s="1352"/>
      <c r="Y34" s="3755"/>
      <c r="Z34" s="1353">
        <f t="shared" si="15"/>
        <v>111</v>
      </c>
      <c r="AA34" s="1350">
        <f t="shared" si="3"/>
        <v>1</v>
      </c>
      <c r="AB34" s="1350">
        <f t="shared" si="4"/>
        <v>1</v>
      </c>
      <c r="AC34" s="1350">
        <f t="shared" si="5"/>
        <v>1</v>
      </c>
    </row>
    <row r="35" spans="1:30" ht="15">
      <c r="A35" s="430" t="s">
        <v>1705</v>
      </c>
      <c r="B35" s="431"/>
      <c r="C35" s="1152" t="s">
        <v>0</v>
      </c>
      <c r="D35" s="1153"/>
      <c r="E35" s="1154"/>
      <c r="F35" s="1155"/>
      <c r="G35" s="1156"/>
      <c r="H35" s="1157"/>
      <c r="I35" s="1154"/>
      <c r="J35" s="1157"/>
      <c r="K35" s="713"/>
      <c r="L35" s="2719"/>
      <c r="M35" s="2720"/>
      <c r="N35" s="2711"/>
      <c r="O35" s="2720"/>
      <c r="P35" s="3748" t="str">
        <f>A35</f>
        <v>成交单价（元/平方米）</v>
      </c>
      <c r="Q35" s="3748"/>
      <c r="R35" s="3749">
        <f>E35</f>
        <v>0</v>
      </c>
      <c r="S35" s="3749"/>
      <c r="T35" s="3749">
        <f>G35</f>
        <v>0</v>
      </c>
      <c r="U35" s="3749"/>
      <c r="V35" s="3749">
        <f>I35</f>
        <v>0</v>
      </c>
      <c r="W35" s="3749"/>
      <c r="X35" s="689"/>
      <c r="Y35" s="711"/>
      <c r="Z35" s="689"/>
      <c r="AA35" s="689"/>
      <c r="AB35" s="689"/>
      <c r="AC35" s="689"/>
    </row>
    <row r="36" spans="1:30" ht="15.75" thickBot="1">
      <c r="A36" s="437" t="s">
        <v>1790</v>
      </c>
      <c r="B36" s="438"/>
      <c r="C36" s="1158" t="e">
        <f>R37</f>
        <v>#DIV/0!</v>
      </c>
      <c r="D36" s="2312" t="s">
        <v>2134</v>
      </c>
      <c r="E36" s="1159" t="e">
        <f>R36</f>
        <v>#DIV/0!</v>
      </c>
      <c r="F36" s="2313"/>
      <c r="G36" s="1158" t="e">
        <f>T36</f>
        <v>#DIV/0!</v>
      </c>
      <c r="H36" s="2313"/>
      <c r="I36" s="1159" t="e">
        <f>V36</f>
        <v>#DIV/0!</v>
      </c>
      <c r="J36" s="2313"/>
      <c r="K36" s="2315">
        <f>F36+H36+J36</f>
        <v>0</v>
      </c>
      <c r="L36" s="2719"/>
      <c r="M36" s="2720"/>
      <c r="N36" s="2711"/>
      <c r="O36" s="2720"/>
      <c r="P36" s="3748" t="str">
        <f>A36</f>
        <v>比较价值（元/平方米）</v>
      </c>
      <c r="Q36" s="3748"/>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689"/>
      <c r="Y36" s="689"/>
      <c r="Z36" s="689"/>
      <c r="AA36" s="689"/>
      <c r="AB36" s="689"/>
      <c r="AC36" s="689"/>
    </row>
    <row r="37" spans="1:30" ht="15.75" thickBot="1">
      <c r="A37" s="441" t="s">
        <v>1791</v>
      </c>
      <c r="B37" s="442"/>
      <c r="C37" s="1161" t="e">
        <f>R37</f>
        <v>#DIV/0!</v>
      </c>
      <c r="D37" s="1161"/>
      <c r="E37" s="1161"/>
      <c r="F37" s="1161"/>
      <c r="G37" s="1161"/>
      <c r="H37" s="1161"/>
      <c r="I37" s="1161"/>
      <c r="J37" s="1161"/>
      <c r="K37" s="714"/>
      <c r="L37" s="2719"/>
      <c r="M37" s="2720"/>
      <c r="N37" s="2720"/>
      <c r="O37" s="2720"/>
      <c r="P37" s="3745" t="str">
        <f>A37</f>
        <v>估价对象XX用房的比较价值（楼面单价，元/平方米）</v>
      </c>
      <c r="Q37" s="3746"/>
      <c r="R37" s="3780" t="e">
        <f>IF(F1="售价",ROUND(IF(D36="简单平均",AVERAGE(R36:W36),R36*F36+T36*H36+V36*J36),0),ROUND(IF(D36="简单平均",AVERAGE(R36:V36),R36*F36+T36*H36+V36*J36),1))</f>
        <v>#DIV/0!</v>
      </c>
      <c r="S37" s="3780"/>
      <c r="T37" s="3780"/>
      <c r="U37" s="3780"/>
      <c r="V37" s="3780"/>
      <c r="W37" s="3780"/>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1795</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1676</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1713</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1678</v>
      </c>
      <c r="B49" s="459"/>
      <c r="C49" s="471" t="s">
        <v>1773</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1716</v>
      </c>
      <c r="B51" s="477" t="s">
        <v>1682</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1685</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1860</v>
      </c>
      <c r="C63" s="527" t="s">
        <v>1718</v>
      </c>
      <c r="D63" s="527" t="s">
        <v>1719</v>
      </c>
      <c r="E63" s="527" t="s">
        <v>1720</v>
      </c>
      <c r="F63" s="527" t="s">
        <v>1721</v>
      </c>
      <c r="G63" s="527" t="s">
        <v>1722</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1810</v>
      </c>
      <c r="C65" s="608" t="s">
        <v>1796</v>
      </c>
      <c r="D65" s="608" t="s">
        <v>1797</v>
      </c>
      <c r="E65" s="608" t="s">
        <v>1798</v>
      </c>
      <c r="F65" s="608" t="s">
        <v>1799</v>
      </c>
      <c r="G65" s="608" t="s">
        <v>1800</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1730</v>
      </c>
      <c r="C67" s="527" t="s">
        <v>1718</v>
      </c>
      <c r="D67" s="527" t="s">
        <v>1719</v>
      </c>
      <c r="E67" s="527" t="s">
        <v>1720</v>
      </c>
      <c r="F67" s="527" t="s">
        <v>1721</v>
      </c>
      <c r="G67" s="527" t="s">
        <v>1722</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1849</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1691</v>
      </c>
      <c r="B77" s="477" t="s">
        <v>1737</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1853</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1861</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1863</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905</v>
      </c>
      <c r="B1" s="1488"/>
      <c r="C1" s="1488"/>
      <c r="D1" s="1488"/>
      <c r="E1" s="1488"/>
    </row>
    <row r="2" spans="1:5" ht="78" customHeight="1">
      <c r="A2" s="35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4"/>
      <c r="C2" s="3534"/>
      <c r="D2" s="3534"/>
      <c r="E2" s="3534"/>
    </row>
    <row r="3" spans="1:5" ht="18">
      <c r="A3" s="3535" t="str">
        <f>IF(项目基本情况!B9="房地产市场价值","估价结果一览表（市场价值不需“结果表-1”）","估价结果一览表")</f>
        <v>估价结果一览表</v>
      </c>
      <c r="B3" s="3535"/>
      <c r="C3" s="3535"/>
      <c r="D3" s="3535"/>
      <c r="E3" s="3535"/>
    </row>
    <row r="4" spans="1:5" ht="19.5" thickBot="1">
      <c r="A4" s="1490"/>
      <c r="B4" s="3533" t="s">
        <v>914</v>
      </c>
      <c r="C4" s="3533"/>
      <c r="D4" s="3533"/>
      <c r="E4" s="1490"/>
    </row>
    <row r="5" spans="1:5" ht="16.5" thickTop="1">
      <c r="A5" s="1488"/>
      <c r="B5" s="3531" t="s">
        <v>906</v>
      </c>
      <c r="C5" s="1491" t="s">
        <v>907</v>
      </c>
      <c r="D5" s="849">
        <f ca="1">'结果表-住宅基准'!H101</f>
        <v>307</v>
      </c>
      <c r="E5" s="1488"/>
    </row>
    <row r="6" spans="1:5" ht="15.75">
      <c r="A6" s="1488"/>
      <c r="B6" s="3531"/>
      <c r="C6" s="1491" t="s">
        <v>908</v>
      </c>
      <c r="D6" s="849" t="str">
        <f ca="1">NUMBERSTRING(INT(D5*10000),2)&amp;"元整"</f>
        <v>叁佰零柒万元整</v>
      </c>
      <c r="E6" s="1488"/>
    </row>
    <row r="7" spans="1:5" ht="15.75">
      <c r="A7" s="1488"/>
      <c r="B7" s="3536"/>
      <c r="C7" s="1492" t="s">
        <v>909</v>
      </c>
      <c r="D7" s="850">
        <f ca="1">'结果表-住宅基准'!H102</f>
        <v>35274</v>
      </c>
      <c r="E7" s="1488"/>
    </row>
    <row r="8" spans="1:5" ht="15.75">
      <c r="A8" s="1488"/>
      <c r="B8" s="3537" t="str">
        <f>'结果表-住宅基准'!E103</f>
        <v>2.估价师知悉的法定优先受偿款</v>
      </c>
      <c r="C8" s="1493" t="s">
        <v>910</v>
      </c>
      <c r="D8" s="850">
        <f>'结果表-住宅基准'!H103</f>
        <v>0</v>
      </c>
      <c r="E8" s="1488"/>
    </row>
    <row r="9" spans="1:5" ht="15.75">
      <c r="A9" s="1488"/>
      <c r="B9" s="3539"/>
      <c r="C9" s="1491" t="s">
        <v>908</v>
      </c>
      <c r="D9" s="849" t="str">
        <f>NUMBERSTRING(INT(D8*10000),2)&amp;"元整"</f>
        <v>零元整</v>
      </c>
      <c r="E9" s="1488"/>
    </row>
    <row r="10" spans="1:5" ht="15">
      <c r="A10" s="1488"/>
      <c r="B10" s="1494" t="s">
        <v>913</v>
      </c>
      <c r="C10" s="1495" t="s">
        <v>911</v>
      </c>
      <c r="D10" s="851">
        <f>'结果表-住宅基准'!H104</f>
        <v>0</v>
      </c>
      <c r="E10" s="1488"/>
    </row>
    <row r="11" spans="1:5" ht="15">
      <c r="A11" s="1488"/>
      <c r="B11" s="1494" t="s">
        <v>915</v>
      </c>
      <c r="C11" s="1495" t="s">
        <v>916</v>
      </c>
      <c r="D11" s="851">
        <f>'结果表-住宅基准'!H105</f>
        <v>0</v>
      </c>
      <c r="E11" s="1488"/>
    </row>
    <row r="12" spans="1:5" ht="15">
      <c r="A12" s="1488"/>
      <c r="B12" s="1494" t="s">
        <v>917</v>
      </c>
      <c r="C12" s="1495" t="s">
        <v>916</v>
      </c>
      <c r="D12" s="851">
        <f>'结果表-住宅基准'!H106</f>
        <v>0</v>
      </c>
      <c r="E12" s="1488"/>
    </row>
    <row r="13" spans="1:5" ht="15.75">
      <c r="A13" s="1488"/>
      <c r="B13" s="3530" t="str">
        <f>'结果表-住宅基准'!E107</f>
        <v>3.房地产抵押价值</v>
      </c>
      <c r="C13" s="1496" t="s">
        <v>907</v>
      </c>
      <c r="D13" s="852">
        <f ca="1">'结果表-住宅基准'!H107</f>
        <v>307</v>
      </c>
      <c r="E13" s="1488"/>
    </row>
    <row r="14" spans="1:5" ht="15.75">
      <c r="A14" s="1488"/>
      <c r="B14" s="3531"/>
      <c r="C14" s="1491" t="s">
        <v>908</v>
      </c>
      <c r="D14" s="849" t="str">
        <f ca="1">NUMBERSTRING(INT(D13*10000),2)&amp;"元整"</f>
        <v>叁佰零柒万元整</v>
      </c>
      <c r="E14" s="1488"/>
    </row>
    <row r="15" spans="1:5" ht="15">
      <c r="A15" s="1488"/>
      <c r="B15" s="3536"/>
      <c r="C15" s="1492" t="s">
        <v>918</v>
      </c>
      <c r="D15" s="858">
        <f ca="1">'结果表-住宅基准'!H108</f>
        <v>35274</v>
      </c>
      <c r="E15" s="1488"/>
    </row>
    <row r="16" spans="1:5" ht="15">
      <c r="A16" s="1488"/>
      <c r="B16" s="3537" t="str">
        <f>'结果表-住宅基准'!E109</f>
        <v>——</v>
      </c>
      <c r="C16" s="1496" t="s">
        <v>919</v>
      </c>
      <c r="D16" s="1497" t="str">
        <f>'结果表-住宅基准'!H109</f>
        <v>——</v>
      </c>
      <c r="E16" s="1488"/>
    </row>
    <row r="17" spans="1:5" ht="15.75">
      <c r="A17" s="1488"/>
      <c r="B17" s="3538"/>
      <c r="C17" s="1491" t="s">
        <v>920</v>
      </c>
      <c r="D17" s="849" t="e">
        <f>NUMBERSTRING(INT(D16*10000),2)&amp;"元整"</f>
        <v>#VALUE!</v>
      </c>
      <c r="E17" s="1488"/>
    </row>
    <row r="18" spans="1:5" ht="15">
      <c r="A18" s="1488"/>
      <c r="B18" s="3539"/>
      <c r="C18" s="1492" t="s">
        <v>909</v>
      </c>
      <c r="D18" s="858" t="str">
        <f>'结果表-住宅基准'!H110</f>
        <v>——</v>
      </c>
      <c r="E18" s="1488"/>
    </row>
    <row r="19" spans="1:5" ht="15.75">
      <c r="A19" s="1488"/>
      <c r="B19" s="3530" t="str">
        <f>'结果表-住宅基准'!E111</f>
        <v>4.抵押净值</v>
      </c>
      <c r="C19" s="1496" t="s">
        <v>907</v>
      </c>
      <c r="D19" s="850">
        <f ca="1">'结果表-住宅基准'!H111</f>
        <v>46831</v>
      </c>
      <c r="E19" s="1488"/>
    </row>
    <row r="20" spans="1:5" ht="15.75">
      <c r="A20" s="1488"/>
      <c r="B20" s="3531"/>
      <c r="C20" s="1491" t="s">
        <v>920</v>
      </c>
      <c r="D20" s="849" t="str">
        <f ca="1">NUMBERSTRING(INT(D19*10000),2)&amp;"元整"</f>
        <v>肆亿陆仟捌佰叁拾壹万元整</v>
      </c>
      <c r="E20" s="1488"/>
    </row>
    <row r="21" spans="1:5" ht="15.75" thickBot="1">
      <c r="A21" s="1488"/>
      <c r="B21" s="3532"/>
      <c r="C21" s="1498" t="s">
        <v>918</v>
      </c>
      <c r="D21" s="859">
        <f ca="1">'结果表-住宅基准'!H112</f>
        <v>4035764</v>
      </c>
      <c r="E21" s="1488"/>
    </row>
    <row r="22" spans="1:5" ht="15" thickTop="1">
      <c r="A22" s="1488"/>
      <c r="B22" s="1499" t="s">
        <v>921</v>
      </c>
      <c r="C22" s="1488"/>
      <c r="D22" s="1488"/>
      <c r="E22" s="1488"/>
    </row>
    <row r="23" spans="1:5">
      <c r="A23" s="1488"/>
      <c r="B23" s="1488"/>
      <c r="C23" s="1488"/>
      <c r="D23" s="1488"/>
      <c r="E23" s="1488"/>
    </row>
    <row r="24" spans="1:5" ht="18.75">
      <c r="A24" s="1500"/>
      <c r="B24" s="1501" t="s">
        <v>912</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31" t="s">
        <v>1767</v>
      </c>
      <c r="D4" s="3732"/>
      <c r="E4" s="3733" t="s">
        <v>1768</v>
      </c>
      <c r="F4" s="3734"/>
      <c r="G4" s="3731" t="s">
        <v>1769</v>
      </c>
      <c r="H4" s="3732"/>
      <c r="I4" s="3731" t="s">
        <v>1770</v>
      </c>
      <c r="J4" s="3732"/>
      <c r="K4" s="559" t="s">
        <v>1771</v>
      </c>
      <c r="L4" s="2710"/>
      <c r="M4" s="2711"/>
      <c r="N4" s="2711"/>
      <c r="O4" s="2711"/>
      <c r="P4" s="3735" t="s">
        <v>1772</v>
      </c>
      <c r="Q4" s="3736"/>
      <c r="R4" s="3717" t="s">
        <v>1768</v>
      </c>
      <c r="S4" s="3718"/>
      <c r="T4" s="3717" t="s">
        <v>1769</v>
      </c>
      <c r="U4" s="3718"/>
      <c r="V4" s="3743" t="s">
        <v>1770</v>
      </c>
      <c r="W4" s="3743"/>
      <c r="X4" s="1352"/>
      <c r="Y4" s="3717" t="s">
        <v>1772</v>
      </c>
      <c r="Z4" s="3718"/>
      <c r="AA4" s="3712" t="s">
        <v>1768</v>
      </c>
      <c r="AB4" s="3713" t="s">
        <v>1769</v>
      </c>
      <c r="AC4" s="3712" t="s">
        <v>1770</v>
      </c>
    </row>
    <row r="5" spans="1:29" ht="15">
      <c r="A5" s="358"/>
      <c r="B5" s="359"/>
      <c r="C5" s="3723" t="s">
        <v>1670</v>
      </c>
      <c r="D5" s="3724"/>
      <c r="E5" s="3762" t="s">
        <v>1671</v>
      </c>
      <c r="F5" s="3722"/>
      <c r="G5" s="3723" t="s">
        <v>1672</v>
      </c>
      <c r="H5" s="3724"/>
      <c r="I5" s="3723" t="s">
        <v>1673</v>
      </c>
      <c r="J5" s="3724"/>
      <c r="K5" s="559"/>
      <c r="L5" s="2710"/>
      <c r="M5" s="2711"/>
      <c r="N5" s="2711"/>
      <c r="O5" s="2711"/>
      <c r="P5" s="3737"/>
      <c r="Q5" s="3738"/>
      <c r="R5" s="3719"/>
      <c r="S5" s="3720"/>
      <c r="T5" s="3719"/>
      <c r="U5" s="3720"/>
      <c r="V5" s="3743"/>
      <c r="W5" s="3743"/>
      <c r="X5" s="1352"/>
      <c r="Y5" s="3719"/>
      <c r="Z5" s="3720"/>
      <c r="AA5" s="3713"/>
      <c r="AB5" s="3713"/>
      <c r="AC5" s="3713"/>
    </row>
    <row r="6" spans="1:29" ht="15.75" thickBot="1">
      <c r="A6" s="360"/>
      <c r="B6" s="361"/>
      <c r="C6" s="3817" t="s">
        <v>1916</v>
      </c>
      <c r="D6" s="3818"/>
      <c r="E6" s="3819" t="s">
        <v>1916</v>
      </c>
      <c r="F6" s="3820"/>
      <c r="G6" s="3817" t="s">
        <v>1916</v>
      </c>
      <c r="H6" s="3818"/>
      <c r="I6" s="3817" t="s">
        <v>1916</v>
      </c>
      <c r="J6" s="3818"/>
      <c r="K6" s="559" t="s">
        <v>1675</v>
      </c>
      <c r="L6" s="2710"/>
      <c r="M6" s="2711"/>
      <c r="N6" s="2711"/>
      <c r="O6" s="2711"/>
      <c r="P6" s="3739"/>
      <c r="Q6" s="3740"/>
      <c r="R6" s="3719"/>
      <c r="S6" s="3720"/>
      <c r="T6" s="3741"/>
      <c r="U6" s="3742"/>
      <c r="V6" s="3743"/>
      <c r="W6" s="3743"/>
      <c r="X6" s="1352"/>
      <c r="Y6" s="3741"/>
      <c r="Z6" s="3742"/>
      <c r="AA6" s="3714"/>
      <c r="AB6" s="3714"/>
      <c r="AC6" s="3714"/>
    </row>
    <row r="7" spans="1:29" s="108" customFormat="1" ht="15.75" thickBot="1">
      <c r="A7" s="362" t="s">
        <v>1676</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15" t="s">
        <v>1677</v>
      </c>
      <c r="Q7" s="3744"/>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15" t="s">
        <v>1680</v>
      </c>
      <c r="Q8" s="3716"/>
      <c r="R8" s="700" t="s">
        <v>14</v>
      </c>
      <c r="S8" s="701">
        <f t="shared" si="0"/>
        <v>0</v>
      </c>
      <c r="T8" s="700" t="s">
        <v>14</v>
      </c>
      <c r="U8" s="701">
        <f t="shared" si="1"/>
        <v>0</v>
      </c>
      <c r="V8" s="700" t="s">
        <v>14</v>
      </c>
      <c r="W8" s="701">
        <f t="shared" si="2"/>
        <v>0</v>
      </c>
      <c r="X8" s="702"/>
      <c r="Y8" s="3715" t="s">
        <v>1680</v>
      </c>
      <c r="Z8" s="3716"/>
      <c r="AA8" s="703" t="e">
        <f t="shared" ref="AA8:AA40" si="3">D8/F8</f>
        <v>#DIV/0!</v>
      </c>
      <c r="AB8" s="703" t="e">
        <f t="shared" ref="AB8:AB40" si="4">D8/H8</f>
        <v>#DIV/0!</v>
      </c>
      <c r="AC8" s="703" t="e">
        <f t="shared" ref="AC8:AC40" si="5">D8/J8</f>
        <v>#DIV/0!</v>
      </c>
    </row>
    <row r="9" spans="1:29" s="108" customFormat="1">
      <c r="A9" s="369" t="s">
        <v>1681</v>
      </c>
      <c r="B9" s="63" t="s">
        <v>1682</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48" t="s">
        <v>1683</v>
      </c>
      <c r="Q9" s="1340" t="str">
        <f t="shared" ref="Q9:Q15" si="6">B9</f>
        <v>用途</v>
      </c>
      <c r="R9" s="700" t="s">
        <v>14</v>
      </c>
      <c r="S9" s="701">
        <f t="shared" si="0"/>
        <v>100</v>
      </c>
      <c r="T9" s="700" t="s">
        <v>14</v>
      </c>
      <c r="U9" s="701">
        <f t="shared" si="1"/>
        <v>100</v>
      </c>
      <c r="V9" s="700" t="s">
        <v>14</v>
      </c>
      <c r="W9" s="701">
        <f t="shared" si="2"/>
        <v>100</v>
      </c>
      <c r="X9" s="702"/>
      <c r="Y9" s="3688"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748"/>
      <c r="Q10" s="1340" t="str">
        <f t="shared" si="6"/>
        <v>土地使用年限（年）</v>
      </c>
      <c r="R10" s="700" t="s">
        <v>14</v>
      </c>
      <c r="S10" s="701">
        <f t="shared" si="0"/>
        <v>101</v>
      </c>
      <c r="T10" s="700" t="s">
        <v>14</v>
      </c>
      <c r="U10" s="701">
        <f t="shared" si="1"/>
        <v>101</v>
      </c>
      <c r="V10" s="700" t="s">
        <v>14</v>
      </c>
      <c r="W10" s="701">
        <f t="shared" si="2"/>
        <v>101</v>
      </c>
      <c r="X10" s="702"/>
      <c r="Y10" s="3688"/>
      <c r="Z10" s="52" t="str">
        <f t="shared" si="7"/>
        <v>土地使用年限（年）</v>
      </c>
      <c r="AA10" s="703">
        <f t="shared" si="3"/>
        <v>0.99009900990099009</v>
      </c>
      <c r="AB10" s="703">
        <f t="shared" si="4"/>
        <v>0.99009900990099009</v>
      </c>
      <c r="AC10" s="703">
        <f t="shared" si="5"/>
        <v>0.99009900990099009</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48"/>
      <c r="Q11" s="1340" t="str">
        <f t="shared" si="6"/>
        <v>容积率</v>
      </c>
      <c r="R11" s="700" t="s">
        <v>14</v>
      </c>
      <c r="S11" s="701" t="e">
        <f t="shared" si="0"/>
        <v>#N/A</v>
      </c>
      <c r="T11" s="700" t="s">
        <v>14</v>
      </c>
      <c r="U11" s="701" t="e">
        <f t="shared" si="1"/>
        <v>#N/A</v>
      </c>
      <c r="V11" s="700" t="s">
        <v>14</v>
      </c>
      <c r="W11" s="701" t="e">
        <f t="shared" si="2"/>
        <v>#N/A</v>
      </c>
      <c r="X11" s="702"/>
      <c r="Y11" s="3688"/>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48"/>
      <c r="Q12" s="1340">
        <f t="shared" si="6"/>
        <v>111</v>
      </c>
      <c r="R12" s="700" t="s">
        <v>14</v>
      </c>
      <c r="S12" s="701">
        <f t="shared" si="0"/>
        <v>100</v>
      </c>
      <c r="T12" s="700" t="s">
        <v>14</v>
      </c>
      <c r="U12" s="701">
        <f t="shared" si="1"/>
        <v>100</v>
      </c>
      <c r="V12" s="700" t="s">
        <v>14</v>
      </c>
      <c r="W12" s="701">
        <f t="shared" si="2"/>
        <v>100</v>
      </c>
      <c r="X12" s="702"/>
      <c r="Y12" s="3688"/>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48"/>
      <c r="Q13" s="1340">
        <f t="shared" si="6"/>
        <v>111</v>
      </c>
      <c r="R13" s="700" t="s">
        <v>14</v>
      </c>
      <c r="S13" s="701">
        <f t="shared" si="0"/>
        <v>100</v>
      </c>
      <c r="T13" s="700" t="s">
        <v>14</v>
      </c>
      <c r="U13" s="701">
        <f t="shared" si="1"/>
        <v>100</v>
      </c>
      <c r="V13" s="700" t="s">
        <v>14</v>
      </c>
      <c r="W13" s="701">
        <f t="shared" si="2"/>
        <v>100</v>
      </c>
      <c r="X13" s="702"/>
      <c r="Y13" s="3688"/>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48"/>
      <c r="Q14" s="1340">
        <f t="shared" si="6"/>
        <v>111</v>
      </c>
      <c r="R14" s="700" t="s">
        <v>14</v>
      </c>
      <c r="S14" s="701">
        <f t="shared" si="0"/>
        <v>100</v>
      </c>
      <c r="T14" s="700" t="s">
        <v>14</v>
      </c>
      <c r="U14" s="701">
        <f t="shared" si="1"/>
        <v>100</v>
      </c>
      <c r="V14" s="700" t="s">
        <v>14</v>
      </c>
      <c r="W14" s="701">
        <f t="shared" si="2"/>
        <v>100</v>
      </c>
      <c r="X14" s="702"/>
      <c r="Y14" s="3688"/>
      <c r="Z14" s="52">
        <f t="shared" si="7"/>
        <v>111</v>
      </c>
      <c r="AA14" s="703">
        <f t="shared" si="3"/>
        <v>1</v>
      </c>
      <c r="AB14" s="703">
        <f t="shared" si="4"/>
        <v>1</v>
      </c>
      <c r="AC14" s="703">
        <f t="shared" si="5"/>
        <v>1</v>
      </c>
    </row>
    <row r="15" spans="1:29" ht="57">
      <c r="A15" s="391" t="s">
        <v>1687</v>
      </c>
      <c r="B15" s="577" t="s">
        <v>1917</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50" t="s">
        <v>1688</v>
      </c>
      <c r="Q15" s="1349" t="str">
        <f t="shared" si="6"/>
        <v>产业集聚程度</v>
      </c>
      <c r="R15" s="704" t="s">
        <v>14</v>
      </c>
      <c r="S15" s="705">
        <f t="shared" si="0"/>
        <v>100</v>
      </c>
      <c r="T15" s="704" t="s">
        <v>14</v>
      </c>
      <c r="U15" s="705">
        <f t="shared" si="1"/>
        <v>100</v>
      </c>
      <c r="V15" s="704" t="s">
        <v>14</v>
      </c>
      <c r="W15" s="705">
        <f t="shared" si="2"/>
        <v>100</v>
      </c>
      <c r="X15" s="1352"/>
      <c r="Y15" s="3750" t="s">
        <v>1688</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751"/>
      <c r="Q16" s="1349"/>
      <c r="R16" s="704"/>
      <c r="S16" s="705"/>
      <c r="T16" s="704"/>
      <c r="U16" s="705"/>
      <c r="V16" s="704"/>
      <c r="W16" s="705"/>
      <c r="X16" s="1352"/>
      <c r="Y16" s="3751"/>
      <c r="Z16" s="1353"/>
      <c r="AA16" s="1350">
        <v>1</v>
      </c>
      <c r="AB16" s="1350">
        <v>1</v>
      </c>
      <c r="AC16" s="1350">
        <v>1</v>
      </c>
    </row>
    <row r="17" spans="1:29" ht="85.5">
      <c r="A17" s="379"/>
      <c r="B17" s="579"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51"/>
      <c r="Q17" s="1349" t="str">
        <f>B17</f>
        <v>交通便捷度</v>
      </c>
      <c r="R17" s="704" t="s">
        <v>14</v>
      </c>
      <c r="S17" s="705">
        <f>F17</f>
        <v>100</v>
      </c>
      <c r="T17" s="704" t="s">
        <v>14</v>
      </c>
      <c r="U17" s="705">
        <f>H17</f>
        <v>100</v>
      </c>
      <c r="V17" s="704" t="s">
        <v>14</v>
      </c>
      <c r="W17" s="705">
        <f>J17</f>
        <v>100</v>
      </c>
      <c r="X17" s="1352"/>
      <c r="Y17" s="3751"/>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751"/>
      <c r="Q18" s="1349"/>
      <c r="R18" s="704"/>
      <c r="S18" s="705"/>
      <c r="T18" s="704"/>
      <c r="U18" s="705"/>
      <c r="V18" s="704"/>
      <c r="W18" s="705"/>
      <c r="X18" s="1352"/>
      <c r="Y18" s="3751"/>
      <c r="Z18" s="1353"/>
      <c r="AA18" s="1350">
        <v>1</v>
      </c>
      <c r="AB18" s="1350">
        <v>1</v>
      </c>
      <c r="AC18" s="1350">
        <v>1</v>
      </c>
    </row>
    <row r="19" spans="1:29" ht="15">
      <c r="A19" s="379"/>
      <c r="B19" s="579"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51"/>
      <c r="Q19" s="1349" t="str">
        <f t="shared" ref="Q19:Q33" si="8">B19</f>
        <v>区域土地利用方向</v>
      </c>
      <c r="R19" s="704" t="s">
        <v>14</v>
      </c>
      <c r="S19" s="705">
        <f>F19</f>
        <v>100</v>
      </c>
      <c r="T19" s="704" t="s">
        <v>14</v>
      </c>
      <c r="U19" s="705">
        <f>H19</f>
        <v>100</v>
      </c>
      <c r="V19" s="704" t="s">
        <v>14</v>
      </c>
      <c r="W19" s="705">
        <f>J19</f>
        <v>100</v>
      </c>
      <c r="X19" s="1352"/>
      <c r="Y19" s="3751"/>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751"/>
      <c r="Q20" s="1349"/>
      <c r="R20" s="704"/>
      <c r="S20" s="705"/>
      <c r="T20" s="704"/>
      <c r="U20" s="705"/>
      <c r="V20" s="704"/>
      <c r="W20" s="705"/>
      <c r="X20" s="1352"/>
      <c r="Y20" s="3751"/>
      <c r="Z20" s="1353"/>
      <c r="AA20" s="1350"/>
      <c r="AB20" s="1350"/>
      <c r="AC20" s="1350"/>
    </row>
    <row r="21" spans="1:29" ht="71.25">
      <c r="A21" s="358"/>
      <c r="B21" s="579"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51"/>
      <c r="Q21" s="1349" t="str">
        <f t="shared" si="8"/>
        <v>环境状况</v>
      </c>
      <c r="R21" s="704" t="s">
        <v>14</v>
      </c>
      <c r="S21" s="705">
        <f>F21</f>
        <v>100</v>
      </c>
      <c r="T21" s="704" t="s">
        <v>14</v>
      </c>
      <c r="U21" s="705">
        <f>H21</f>
        <v>100</v>
      </c>
      <c r="V21" s="704" t="s">
        <v>14</v>
      </c>
      <c r="W21" s="705">
        <f>J21</f>
        <v>100</v>
      </c>
      <c r="X21" s="1352"/>
      <c r="Y21" s="3751"/>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751"/>
      <c r="Q22" s="1349"/>
      <c r="R22" s="704"/>
      <c r="S22" s="705"/>
      <c r="T22" s="704"/>
      <c r="U22" s="705"/>
      <c r="V22" s="704"/>
      <c r="W22" s="705"/>
      <c r="X22" s="1352"/>
      <c r="Y22" s="3751"/>
      <c r="Z22" s="1353"/>
      <c r="AA22" s="1350">
        <v>1</v>
      </c>
      <c r="AB22" s="1350">
        <v>1</v>
      </c>
      <c r="AC22" s="1350">
        <v>1</v>
      </c>
    </row>
    <row r="23" spans="1:29" s="108" customFormat="1" ht="42.75">
      <c r="A23" s="597"/>
      <c r="B23" s="581"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51"/>
      <c r="Q23" s="1340" t="str">
        <f t="shared" si="8"/>
        <v>公共配套设施</v>
      </c>
      <c r="R23" s="700" t="s">
        <v>14</v>
      </c>
      <c r="S23" s="701">
        <f>F23</f>
        <v>100</v>
      </c>
      <c r="T23" s="700" t="s">
        <v>14</v>
      </c>
      <c r="U23" s="701">
        <f>H23</f>
        <v>100</v>
      </c>
      <c r="V23" s="700" t="s">
        <v>14</v>
      </c>
      <c r="W23" s="701">
        <f>J23</f>
        <v>100</v>
      </c>
      <c r="X23" s="702"/>
      <c r="Y23" s="3751"/>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751"/>
      <c r="Q24" s="1340"/>
      <c r="R24" s="700"/>
      <c r="S24" s="701"/>
      <c r="T24" s="700"/>
      <c r="U24" s="701"/>
      <c r="V24" s="700"/>
      <c r="W24" s="701"/>
      <c r="X24" s="702"/>
      <c r="Y24" s="3751"/>
      <c r="Z24" s="52"/>
      <c r="AA24" s="703">
        <v>1</v>
      </c>
      <c r="AB24" s="703">
        <v>1</v>
      </c>
      <c r="AC24" s="703">
        <v>1</v>
      </c>
    </row>
    <row r="25" spans="1:29" s="108" customFormat="1" ht="28.5">
      <c r="A25" s="597"/>
      <c r="B25" s="581"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51"/>
      <c r="Q25" s="1340" t="str">
        <f t="shared" ref="Q25" si="9">B25</f>
        <v>基础设施水平</v>
      </c>
      <c r="R25" s="700" t="s">
        <v>14</v>
      </c>
      <c r="S25" s="701">
        <f>F25</f>
        <v>100</v>
      </c>
      <c r="T25" s="700" t="s">
        <v>14</v>
      </c>
      <c r="U25" s="701">
        <f>H25</f>
        <v>100</v>
      </c>
      <c r="V25" s="700" t="s">
        <v>14</v>
      </c>
      <c r="W25" s="701">
        <f>J25</f>
        <v>100</v>
      </c>
      <c r="X25" s="702"/>
      <c r="Y25" s="3751"/>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751"/>
      <c r="Q26" s="1340"/>
      <c r="R26" s="700"/>
      <c r="S26" s="701"/>
      <c r="T26" s="700"/>
      <c r="U26" s="701"/>
      <c r="V26" s="700"/>
      <c r="W26" s="701"/>
      <c r="X26" s="702"/>
      <c r="Y26" s="3751"/>
      <c r="Z26" s="52"/>
      <c r="AA26" s="703">
        <v>1</v>
      </c>
      <c r="AB26" s="703">
        <v>1</v>
      </c>
      <c r="AC26" s="703">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51"/>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51"/>
      <c r="Z27" s="1353" t="str">
        <f t="shared" ref="Z27:Z40" si="13">Q27</f>
        <v>临街状况</v>
      </c>
      <c r="AA27" s="1350">
        <f t="shared" si="3"/>
        <v>1</v>
      </c>
      <c r="AB27" s="1350">
        <f t="shared" si="4"/>
        <v>1</v>
      </c>
      <c r="AC27" s="1350">
        <f t="shared" si="5"/>
        <v>1</v>
      </c>
    </row>
    <row r="28" spans="1:29" ht="27">
      <c r="A28" s="379"/>
      <c r="B28" s="581" t="s">
        <v>1812</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51"/>
      <c r="Q28" s="1349" t="str">
        <f t="shared" si="8"/>
        <v>毗邻道路的类型与等级</v>
      </c>
      <c r="R28" s="704" t="s">
        <v>14</v>
      </c>
      <c r="S28" s="705">
        <f t="shared" si="10"/>
        <v>100</v>
      </c>
      <c r="T28" s="704" t="s">
        <v>14</v>
      </c>
      <c r="U28" s="705">
        <f t="shared" si="11"/>
        <v>100</v>
      </c>
      <c r="V28" s="704" t="s">
        <v>14</v>
      </c>
      <c r="W28" s="705">
        <f t="shared" si="12"/>
        <v>100</v>
      </c>
      <c r="X28" s="1352"/>
      <c r="Y28" s="3751"/>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751"/>
      <c r="Q29" s="1349"/>
      <c r="R29" s="704"/>
      <c r="S29" s="705"/>
      <c r="T29" s="704"/>
      <c r="U29" s="705"/>
      <c r="V29" s="704"/>
      <c r="W29" s="705"/>
      <c r="X29" s="1352"/>
      <c r="Y29" s="3751"/>
      <c r="Z29" s="1353"/>
      <c r="AA29" s="1350">
        <v>1</v>
      </c>
      <c r="AB29" s="1350">
        <v>1</v>
      </c>
      <c r="AC29" s="1350">
        <v>1</v>
      </c>
    </row>
    <row r="30" spans="1:29" ht="15">
      <c r="A30" s="379"/>
      <c r="B30" s="602" t="s">
        <v>1870</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51"/>
      <c r="Q30" s="1349" t="str">
        <f t="shared" si="8"/>
        <v>土地级别</v>
      </c>
      <c r="R30" s="704" t="s">
        <v>14</v>
      </c>
      <c r="S30" s="705">
        <f t="shared" si="10"/>
        <v>100</v>
      </c>
      <c r="T30" s="704" t="s">
        <v>14</v>
      </c>
      <c r="U30" s="705">
        <f t="shared" si="11"/>
        <v>100</v>
      </c>
      <c r="V30" s="704" t="s">
        <v>14</v>
      </c>
      <c r="W30" s="705">
        <f t="shared" si="12"/>
        <v>100</v>
      </c>
      <c r="X30" s="1352"/>
      <c r="Y30" s="3751"/>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51"/>
      <c r="Q31" s="1349">
        <f t="shared" si="8"/>
        <v>111</v>
      </c>
      <c r="R31" s="704" t="s">
        <v>14</v>
      </c>
      <c r="S31" s="705">
        <f t="shared" si="10"/>
        <v>100</v>
      </c>
      <c r="T31" s="704" t="s">
        <v>14</v>
      </c>
      <c r="U31" s="705">
        <f t="shared" si="11"/>
        <v>100</v>
      </c>
      <c r="V31" s="704" t="s">
        <v>14</v>
      </c>
      <c r="W31" s="705">
        <f t="shared" si="12"/>
        <v>100</v>
      </c>
      <c r="X31" s="1352"/>
      <c r="Y31" s="3751"/>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3" t="s">
        <v>1693</v>
      </c>
      <c r="Q32" s="1349">
        <f t="shared" si="8"/>
        <v>111</v>
      </c>
      <c r="R32" s="704" t="s">
        <v>14</v>
      </c>
      <c r="S32" s="705">
        <f t="shared" si="10"/>
        <v>100</v>
      </c>
      <c r="T32" s="704" t="s">
        <v>14</v>
      </c>
      <c r="U32" s="705">
        <f t="shared" si="11"/>
        <v>100</v>
      </c>
      <c r="V32" s="704" t="s">
        <v>14</v>
      </c>
      <c r="W32" s="705">
        <f t="shared" si="12"/>
        <v>100</v>
      </c>
      <c r="X32" s="1352"/>
      <c r="Y32" s="3755" t="s">
        <v>1693</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55"/>
      <c r="Q33" s="1349">
        <f t="shared" si="8"/>
        <v>111</v>
      </c>
      <c r="R33" s="707" t="s">
        <v>14</v>
      </c>
      <c r="S33" s="708">
        <f t="shared" si="10"/>
        <v>100</v>
      </c>
      <c r="T33" s="707" t="s">
        <v>14</v>
      </c>
      <c r="U33" s="708">
        <f t="shared" si="11"/>
        <v>100</v>
      </c>
      <c r="V33" s="707" t="s">
        <v>14</v>
      </c>
      <c r="W33" s="708">
        <f t="shared" si="12"/>
        <v>100</v>
      </c>
      <c r="X33" s="709"/>
      <c r="Y33" s="3755"/>
      <c r="Z33" s="710">
        <f t="shared" si="13"/>
        <v>111</v>
      </c>
      <c r="AA33" s="1350">
        <f t="shared" si="3"/>
        <v>1</v>
      </c>
      <c r="AB33" s="1350">
        <f t="shared" si="4"/>
        <v>1</v>
      </c>
      <c r="AC33" s="1350">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55"/>
      <c r="Q34" s="1349" t="str">
        <f>B34</f>
        <v>宗地面积</v>
      </c>
      <c r="R34" s="704" t="s">
        <v>14</v>
      </c>
      <c r="S34" s="705" t="e">
        <f t="shared" si="10"/>
        <v>#N/A</v>
      </c>
      <c r="T34" s="704" t="s">
        <v>14</v>
      </c>
      <c r="U34" s="705" t="e">
        <f t="shared" si="11"/>
        <v>#N/A</v>
      </c>
      <c r="V34" s="704" t="s">
        <v>14</v>
      </c>
      <c r="W34" s="705" t="e">
        <f t="shared" si="12"/>
        <v>#N/A</v>
      </c>
      <c r="X34" s="1352"/>
      <c r="Y34" s="3755"/>
      <c r="Z34" s="1353" t="str">
        <f t="shared" si="13"/>
        <v>宗地面积</v>
      </c>
      <c r="AA34" s="1350" t="e">
        <f t="shared" si="3"/>
        <v>#N/A</v>
      </c>
      <c r="AB34" s="1350" t="e">
        <f t="shared" si="4"/>
        <v>#N/A</v>
      </c>
      <c r="AC34" s="1350" t="e">
        <f t="shared" si="5"/>
        <v>#N/A</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55"/>
      <c r="Q35" s="1349" t="str">
        <f t="shared" ref="Q35:Q40" si="14">B35</f>
        <v>宗地形状</v>
      </c>
      <c r="R35" s="704" t="s">
        <v>14</v>
      </c>
      <c r="S35" s="705">
        <f t="shared" si="10"/>
        <v>100</v>
      </c>
      <c r="T35" s="704" t="s">
        <v>14</v>
      </c>
      <c r="U35" s="705">
        <f t="shared" si="11"/>
        <v>100</v>
      </c>
      <c r="V35" s="704" t="s">
        <v>14</v>
      </c>
      <c r="W35" s="705">
        <f t="shared" si="12"/>
        <v>100</v>
      </c>
      <c r="X35" s="1352"/>
      <c r="Y35" s="3755"/>
      <c r="Z35" s="1353" t="str">
        <f t="shared" si="13"/>
        <v>宗地形状</v>
      </c>
      <c r="AA35" s="1350">
        <f t="shared" si="3"/>
        <v>1</v>
      </c>
      <c r="AB35" s="1350">
        <f t="shared" si="4"/>
        <v>1</v>
      </c>
      <c r="AC35" s="1350">
        <f t="shared" si="5"/>
        <v>1</v>
      </c>
    </row>
    <row r="36" spans="1:31" s="108" customFormat="1" ht="15">
      <c r="A36" s="424"/>
      <c r="B36" s="375" t="s">
        <v>1874</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55"/>
      <c r="Q36" s="1349" t="str">
        <f t="shared" si="14"/>
        <v>宗地开发程度</v>
      </c>
      <c r="R36" s="700" t="s">
        <v>14</v>
      </c>
      <c r="S36" s="701">
        <f t="shared" si="10"/>
        <v>100</v>
      </c>
      <c r="T36" s="700" t="s">
        <v>14</v>
      </c>
      <c r="U36" s="701">
        <f t="shared" si="11"/>
        <v>100</v>
      </c>
      <c r="V36" s="700" t="s">
        <v>14</v>
      </c>
      <c r="W36" s="701">
        <f t="shared" si="12"/>
        <v>100</v>
      </c>
      <c r="X36" s="702"/>
      <c r="Y36" s="3755"/>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55" t="s">
        <v>1693</v>
      </c>
      <c r="Q37" s="1349" t="str">
        <f t="shared" si="14"/>
        <v>工程地质条件</v>
      </c>
      <c r="R37" s="704" t="s">
        <v>14</v>
      </c>
      <c r="S37" s="705">
        <f t="shared" si="10"/>
        <v>100</v>
      </c>
      <c r="T37" s="704" t="s">
        <v>14</v>
      </c>
      <c r="U37" s="705">
        <f t="shared" si="11"/>
        <v>100</v>
      </c>
      <c r="V37" s="704" t="s">
        <v>14</v>
      </c>
      <c r="W37" s="705">
        <f t="shared" si="12"/>
        <v>100</v>
      </c>
      <c r="X37" s="1352"/>
      <c r="Y37" s="3755" t="s">
        <v>1693</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55"/>
      <c r="Q38" s="1349">
        <f t="shared" si="14"/>
        <v>111</v>
      </c>
      <c r="R38" s="704" t="s">
        <v>14</v>
      </c>
      <c r="S38" s="705">
        <f t="shared" si="10"/>
        <v>100</v>
      </c>
      <c r="T38" s="704" t="s">
        <v>14</v>
      </c>
      <c r="U38" s="705">
        <f t="shared" si="11"/>
        <v>100</v>
      </c>
      <c r="V38" s="704" t="s">
        <v>14</v>
      </c>
      <c r="W38" s="705">
        <f t="shared" si="12"/>
        <v>100</v>
      </c>
      <c r="X38" s="1352"/>
      <c r="Y38" s="3755"/>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55"/>
      <c r="Q39" s="1349">
        <f t="shared" si="14"/>
        <v>111</v>
      </c>
      <c r="R39" s="704" t="s">
        <v>14</v>
      </c>
      <c r="S39" s="705">
        <f t="shared" si="10"/>
        <v>100</v>
      </c>
      <c r="T39" s="704" t="s">
        <v>14</v>
      </c>
      <c r="U39" s="705">
        <f t="shared" si="11"/>
        <v>100</v>
      </c>
      <c r="V39" s="704" t="s">
        <v>14</v>
      </c>
      <c r="W39" s="705">
        <f t="shared" si="12"/>
        <v>100</v>
      </c>
      <c r="X39" s="1352"/>
      <c r="Y39" s="3755"/>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55"/>
      <c r="Q40" s="1349">
        <f t="shared" si="14"/>
        <v>111</v>
      </c>
      <c r="R40" s="707" t="s">
        <v>14</v>
      </c>
      <c r="S40" s="708">
        <f t="shared" si="10"/>
        <v>100</v>
      </c>
      <c r="T40" s="707" t="s">
        <v>14</v>
      </c>
      <c r="U40" s="708">
        <f t="shared" si="11"/>
        <v>100</v>
      </c>
      <c r="V40" s="707" t="s">
        <v>14</v>
      </c>
      <c r="W40" s="708">
        <f t="shared" si="12"/>
        <v>100</v>
      </c>
      <c r="X40" s="709"/>
      <c r="Y40" s="3755"/>
      <c r="Z40" s="710">
        <f t="shared" si="13"/>
        <v>111</v>
      </c>
      <c r="AA40" s="1350">
        <f t="shared" si="3"/>
        <v>1</v>
      </c>
      <c r="AB40" s="1350">
        <f t="shared" si="4"/>
        <v>1</v>
      </c>
      <c r="AC40" s="1350">
        <f t="shared" si="5"/>
        <v>1</v>
      </c>
    </row>
    <row r="41" spans="1:31" ht="15">
      <c r="A41" s="430" t="s">
        <v>1841</v>
      </c>
      <c r="B41" s="1977" t="s">
        <v>1919</v>
      </c>
      <c r="C41" s="630" t="s">
        <v>0</v>
      </c>
      <c r="D41" s="432"/>
      <c r="E41" s="433"/>
      <c r="F41" s="434"/>
      <c r="G41" s="435"/>
      <c r="H41" s="436"/>
      <c r="I41" s="433"/>
      <c r="J41" s="436"/>
      <c r="K41" s="713"/>
      <c r="L41" s="2719"/>
      <c r="M41" s="2711"/>
      <c r="N41" s="2711"/>
      <c r="O41" s="2720"/>
      <c r="P41" s="3748" t="str">
        <f>A41</f>
        <v>成交单价</v>
      </c>
      <c r="Q41" s="3748"/>
      <c r="R41" s="3743">
        <f>E41</f>
        <v>0</v>
      </c>
      <c r="S41" s="3743"/>
      <c r="T41" s="3743">
        <f>G41</f>
        <v>0</v>
      </c>
      <c r="U41" s="3743"/>
      <c r="V41" s="3743">
        <f>I41</f>
        <v>0</v>
      </c>
      <c r="W41" s="3743"/>
      <c r="X41" s="689"/>
      <c r="Y41" s="711"/>
      <c r="Z41" s="689"/>
      <c r="AA41" s="689"/>
      <c r="AB41" s="689"/>
      <c r="AC41" s="689"/>
    </row>
    <row r="42" spans="1:31" ht="15.75" thickBot="1">
      <c r="A42" s="437" t="s">
        <v>1790</v>
      </c>
      <c r="B42" s="631"/>
      <c r="C42" s="440" t="e">
        <f>R43</f>
        <v>#DIV/0!</v>
      </c>
      <c r="D42" s="2312" t="s">
        <v>2134</v>
      </c>
      <c r="E42" s="440" t="e">
        <f>R42</f>
        <v>#DIV/0!</v>
      </c>
      <c r="F42" s="2313"/>
      <c r="G42" s="439" t="e">
        <f>T42</f>
        <v>#DIV/0!</v>
      </c>
      <c r="H42" s="2313"/>
      <c r="I42" s="440" t="e">
        <f>V42</f>
        <v>#DIV/0!</v>
      </c>
      <c r="J42" s="2313"/>
      <c r="K42" s="2315">
        <f>F42+H42+J42</f>
        <v>0</v>
      </c>
      <c r="L42" s="2719"/>
      <c r="M42" s="2711"/>
      <c r="N42" s="2711"/>
      <c r="O42" s="2720"/>
      <c r="P42" s="3748" t="str">
        <f>A42</f>
        <v>比较价值（元/平方米）</v>
      </c>
      <c r="Q42" s="3748"/>
      <c r="R42" s="3764" t="e">
        <f>ROUND(PRODUCT(R41,AA7:AA40),0)</f>
        <v>#DIV/0!</v>
      </c>
      <c r="S42" s="3764"/>
      <c r="T42" s="3764" t="e">
        <f>ROUND(PRODUCT(T41,AB7:AB40),0)</f>
        <v>#DIV/0!</v>
      </c>
      <c r="U42" s="3764"/>
      <c r="V42" s="3764" t="e">
        <f>ROUND(PRODUCT(V41,AC7:AC40),0)</f>
        <v>#DIV/0!</v>
      </c>
      <c r="W42" s="3764"/>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19"/>
      <c r="M43" s="2711"/>
      <c r="N43" s="2711"/>
      <c r="O43" s="2720"/>
      <c r="P43" s="3745" t="str">
        <f>A43</f>
        <v>估价对象XX用房的比较价值（楼面单价，元/平方米）</v>
      </c>
      <c r="Q43" s="3746"/>
      <c r="R43" s="3765" t="e">
        <f>ROUND(IF(D42="简单平均",AVERAGE(R42:W42),R42*F42+T42*H42+V42*J42),0)</f>
        <v>#DIV/0!</v>
      </c>
      <c r="S43" s="3765"/>
      <c r="T43" s="3765"/>
      <c r="U43" s="3765"/>
      <c r="V43" s="3765"/>
      <c r="W43" s="3765"/>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1878</v>
      </c>
      <c r="B50" s="633" t="s">
        <v>1879</v>
      </c>
      <c r="C50" s="1978" t="s">
        <v>1880</v>
      </c>
      <c r="D50" s="1979" t="s">
        <v>1881</v>
      </c>
      <c r="E50" s="634" t="s">
        <v>1882</v>
      </c>
      <c r="F50" s="635" t="s">
        <v>1883</v>
      </c>
      <c r="G50" s="3731" t="s">
        <v>1884</v>
      </c>
      <c r="H50" s="3766"/>
      <c r="I50" s="1353" t="s">
        <v>1920</v>
      </c>
      <c r="J50" s="1353">
        <f>项目基本情况!F35</f>
        <v>0</v>
      </c>
      <c r="K50" s="1981" t="s">
        <v>1886</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1887</v>
      </c>
      <c r="B51" s="637" t="e">
        <f>C43</f>
        <v>#DIV/0!</v>
      </c>
      <c r="C51" s="638">
        <v>1</v>
      </c>
      <c r="D51" s="943">
        <v>1</v>
      </c>
      <c r="E51" s="638">
        <f>'数据-汇总表'!E8+'数据-汇总表'!E9</f>
        <v>86.99</v>
      </c>
      <c r="F51" s="639" t="e">
        <f t="shared" ref="F51:F60" si="15">ROUND(B51*E51/10000,0)</f>
        <v>#DIV/0!</v>
      </c>
      <c r="G51" s="3730"/>
      <c r="H51" s="3748"/>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1888</v>
      </c>
      <c r="B52" s="218" t="e">
        <f>ROUND($C$43*C52*D52,0)</f>
        <v>#DIV/0!</v>
      </c>
      <c r="C52" s="171">
        <f t="shared" ref="C52:C60" si="16">IF($C$50="北京市系数",I52,J52)</f>
        <v>0</v>
      </c>
      <c r="D52" s="944">
        <v>0.25</v>
      </c>
      <c r="E52" s="642"/>
      <c r="F52" s="639" t="e">
        <f t="shared" si="15"/>
        <v>#DIV/0!</v>
      </c>
      <c r="G52" s="3001" t="s">
        <v>1889</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1890</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1891</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1892</v>
      </c>
      <c r="B56" s="218" t="e">
        <f t="shared" si="17"/>
        <v>#DIV/0!</v>
      </c>
      <c r="C56" s="171">
        <f t="shared" si="16"/>
        <v>0</v>
      </c>
      <c r="D56" s="944">
        <v>0.25</v>
      </c>
      <c r="E56" s="217">
        <f>'数据-汇总表'!E11</f>
        <v>0</v>
      </c>
      <c r="F56" s="639" t="e">
        <f t="shared" si="15"/>
        <v>#DIV/0!</v>
      </c>
      <c r="G56" s="1982" t="s">
        <v>1893</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1894</v>
      </c>
      <c r="B57" s="218" t="e">
        <f t="shared" si="17"/>
        <v>#DIV/0!</v>
      </c>
      <c r="C57" s="171">
        <f t="shared" si="16"/>
        <v>0</v>
      </c>
      <c r="D57" s="944">
        <v>0.25</v>
      </c>
      <c r="E57" s="217">
        <f>'数据-汇总表'!E12</f>
        <v>0</v>
      </c>
      <c r="F57" s="639" t="e">
        <f t="shared" si="15"/>
        <v>#DIV/0!</v>
      </c>
      <c r="G57" s="891" t="s">
        <v>1895</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1896</v>
      </c>
      <c r="B58" s="218" t="e">
        <f t="shared" si="17"/>
        <v>#DIV/0!</v>
      </c>
      <c r="C58" s="171">
        <f t="shared" si="16"/>
        <v>0.1</v>
      </c>
      <c r="D58" s="944">
        <v>0.25</v>
      </c>
      <c r="E58" s="217">
        <f>'数据-汇总表'!E13</f>
        <v>29.05</v>
      </c>
      <c r="F58" s="639" t="e">
        <f t="shared" si="15"/>
        <v>#DIV/0!</v>
      </c>
      <c r="G58" s="891" t="s">
        <v>1897</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1898</v>
      </c>
      <c r="B59" s="218" t="e">
        <f t="shared" si="17"/>
        <v>#DIV/0!</v>
      </c>
      <c r="C59" s="171">
        <f t="shared" si="16"/>
        <v>0</v>
      </c>
      <c r="D59" s="944">
        <v>0.25</v>
      </c>
      <c r="E59" s="217">
        <f>'数据-汇总表'!E14</f>
        <v>0</v>
      </c>
      <c r="F59" s="639" t="e">
        <f t="shared" si="15"/>
        <v>#DIV/0!</v>
      </c>
      <c r="G59" s="1982" t="s">
        <v>1889</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1899</v>
      </c>
      <c r="B60" s="218" t="e">
        <f t="shared" si="17"/>
        <v>#DIV/0!</v>
      </c>
      <c r="C60" s="171">
        <f t="shared" si="16"/>
        <v>0</v>
      </c>
      <c r="D60" s="944">
        <v>0.25</v>
      </c>
      <c r="E60" s="217">
        <f>'数据-汇总表'!E15</f>
        <v>0</v>
      </c>
      <c r="F60" s="639" t="e">
        <f t="shared" si="15"/>
        <v>#DIV/0!</v>
      </c>
      <c r="G60" s="1983" t="s">
        <v>1893</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1795</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1901</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1713</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1678</v>
      </c>
      <c r="B68" s="459"/>
      <c r="C68" s="471" t="s">
        <v>1773</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1716</v>
      </c>
      <c r="B70" s="477" t="s">
        <v>1682</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1685</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1687</v>
      </c>
      <c r="B83" s="477" t="s">
        <v>1826</v>
      </c>
      <c r="C83" s="522" t="s">
        <v>1718</v>
      </c>
      <c r="D83" s="522" t="s">
        <v>1719</v>
      </c>
      <c r="E83" s="522" t="s">
        <v>1720</v>
      </c>
      <c r="F83" s="522" t="s">
        <v>1721</v>
      </c>
      <c r="G83" s="522" t="s">
        <v>1722</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1723</v>
      </c>
      <c r="C85" s="527" t="s">
        <v>1718</v>
      </c>
      <c r="D85" s="527" t="s">
        <v>1719</v>
      </c>
      <c r="E85" s="527" t="s">
        <v>1720</v>
      </c>
      <c r="F85" s="527" t="s">
        <v>1721</v>
      </c>
      <c r="G85" s="527" t="s">
        <v>1722</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1812</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1870</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1911</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1913</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1914</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2"/>
      <c r="C1" s="2142"/>
      <c r="D1" s="2142"/>
      <c r="E1" s="2142"/>
      <c r="F1" s="2788"/>
      <c r="G1" s="2788"/>
      <c r="H1" s="2788"/>
      <c r="I1" s="2788"/>
      <c r="J1" s="2788"/>
      <c r="K1" s="2788"/>
      <c r="L1" s="2788"/>
      <c r="M1" s="2788"/>
      <c r="N1" s="2788"/>
      <c r="O1" s="2788"/>
      <c r="P1" s="2788"/>
    </row>
    <row r="2" spans="1:16" ht="15.75">
      <c r="A2" s="2140" t="s">
        <v>2070</v>
      </c>
      <c r="B2" s="2597">
        <f ca="1">SUMIF(B6:B13,"&lt;&gt;#ref!",B6:B13)</f>
        <v>0</v>
      </c>
      <c r="C2" s="2140" t="s">
        <v>2071</v>
      </c>
      <c r="D2" s="2140" t="s">
        <v>2072</v>
      </c>
      <c r="E2" s="2607">
        <f ca="1">SUMIF(E6:E13,"&lt;&gt;#ref!",E6:E13)</f>
        <v>0</v>
      </c>
      <c r="F2" s="2788"/>
      <c r="G2" s="2788"/>
      <c r="H2" s="2788"/>
      <c r="I2" s="2788"/>
      <c r="J2" s="2788"/>
      <c r="K2" s="2788"/>
      <c r="L2" s="2788"/>
      <c r="M2" s="2788"/>
      <c r="N2" s="2788"/>
      <c r="O2" s="2788"/>
      <c r="P2" s="2788"/>
    </row>
    <row r="3" spans="1:16" ht="15.75">
      <c r="A3" s="2140" t="s">
        <v>2073</v>
      </c>
      <c r="B3" s="2597" t="e">
        <f ca="1">ROUND(B2*10000/E2,0)</f>
        <v>#DIV/0!</v>
      </c>
      <c r="C3" s="2140" t="s">
        <v>2079</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2074</v>
      </c>
      <c r="B5" s="2605" t="s">
        <v>2075</v>
      </c>
      <c r="C5" s="2141"/>
      <c r="D5" s="2788"/>
      <c r="E5" s="2606" t="s">
        <v>2076</v>
      </c>
      <c r="F5" s="2788"/>
      <c r="G5" s="2788"/>
      <c r="H5" s="2788"/>
      <c r="I5" s="2788"/>
      <c r="J5" s="2788"/>
      <c r="K5" s="2788"/>
      <c r="L5" s="2788"/>
      <c r="M5" s="2788"/>
      <c r="N5" s="2788"/>
      <c r="O5" s="2788"/>
      <c r="P5" s="2788"/>
    </row>
    <row r="6" spans="1:16" ht="15.75">
      <c r="A6" s="2604" t="s">
        <v>2077</v>
      </c>
      <c r="B6" s="2597">
        <f ca="1">SUMIF(INDIRECT("'"&amp;A6&amp;"'"&amp;"!A:A"),"总价",INDIRECT("'"&amp;A6&amp;"'"&amp;"!B:B"))</f>
        <v>0</v>
      </c>
      <c r="C6" s="2140" t="s">
        <v>2071</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2071</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2071</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2071</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2071</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2071</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2071</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2071</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sheetPr>
  <dimension ref="A1:AK122"/>
  <sheetViews>
    <sheetView view="pageBreakPreview" zoomScale="70" zoomScaleNormal="80" zoomScaleSheetLayoutView="70" workbookViewId="0">
      <selection activeCell="F3" sqref="F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1923</v>
      </c>
      <c r="B1" s="197"/>
      <c r="C1" s="201" t="s">
        <v>1924</v>
      </c>
      <c r="D1" s="342">
        <f>SUM(D33:D34,D37:D42)</f>
        <v>0</v>
      </c>
      <c r="E1" s="1990"/>
      <c r="F1" s="1990"/>
      <c r="G1" s="1990"/>
      <c r="H1" s="1990"/>
      <c r="I1" s="1990"/>
      <c r="J1" s="1990"/>
      <c r="K1" s="1117"/>
      <c r="L1" s="1991" t="s">
        <v>1925</v>
      </c>
      <c r="M1" s="862">
        <f>SUMPRODUCT((区片价!B5:B9=I2)*(区片价!C3:G3=E2)*(区片价!C5:G9))</f>
        <v>0</v>
      </c>
      <c r="N1" s="865">
        <f>SUMPRODUCT((因素修正幅度!B5:B9=I2)*(因素修正幅度!C3:G3=E2)*(因素修正幅度!C5:G9))</f>
        <v>0</v>
      </c>
      <c r="O1" s="1992"/>
      <c r="P1" s="1992"/>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f>C30</f>
        <v>0</v>
      </c>
      <c r="C2" s="1994" t="s">
        <v>1932</v>
      </c>
      <c r="D2" s="1995" t="s">
        <v>1933</v>
      </c>
      <c r="E2" s="3417" t="s">
        <v>3756</v>
      </c>
      <c r="F2" s="1995" t="s">
        <v>1934</v>
      </c>
      <c r="G2" s="1996" t="str">
        <f>IF(E2="商业",项目基本情况!B37,IF(E2="办公",项目基本情况!C37,IF(E2="住宅",项目基本情况!D37,IF(E2="工业",项目基本情况!E37,项目基本情况!F37))))</f>
        <v>九级</v>
      </c>
      <c r="H2" s="1995" t="s">
        <v>1935</v>
      </c>
      <c r="I2" s="1996" t="str">
        <f>IF(E2="商业",项目基本情况!B38,IF(E2="办公",项目基本情况!C38,IF(E2="住宅",项目基本情况!D38,IF(E2="工业",项目基本情况!E38,项目基本情况!F38))))</f>
        <v>Ⅸ-兴1</v>
      </c>
      <c r="J2" s="1997"/>
      <c r="K2" s="1117"/>
      <c r="L2" s="1998" t="s">
        <v>1936</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1.5418000000000001</v>
      </c>
      <c r="T2" s="3356">
        <f t="shared" ref="T2:T16" si="0">ROUND($C$5*$C$22*$C$23*$C$24*S2*$C$28,0)</f>
        <v>-204</v>
      </c>
      <c r="U2" s="1210"/>
      <c r="V2" s="3356">
        <f>ROUND(T2*U2/10000,0)</f>
        <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4" t="s">
        <v>1938</v>
      </c>
      <c r="D3" s="1995" t="s">
        <v>1939</v>
      </c>
      <c r="E3" s="3415" t="s">
        <v>4114</v>
      </c>
      <c r="F3" s="1999"/>
      <c r="G3" s="751">
        <f>IF(F3="宗地容积率",'数据-汇总表'!I4,IF(F3="估价对象容积率",'数据-汇总表'!I6,'数据-汇总表'!I7))</f>
        <v>0</v>
      </c>
      <c r="H3" s="170" t="s">
        <v>1940</v>
      </c>
      <c r="I3" s="774"/>
      <c r="J3" s="1997" t="s">
        <v>1941</v>
      </c>
      <c r="K3" s="1117"/>
      <c r="L3" s="1998" t="s">
        <v>1942</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1.1883999999999999</v>
      </c>
      <c r="T3" s="3356">
        <f t="shared" si="0"/>
        <v>-157</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828"/>
      <c r="B4" s="3829"/>
      <c r="C4" s="3829"/>
      <c r="D4" s="3830"/>
      <c r="E4" s="3830"/>
      <c r="F4" s="3830"/>
      <c r="G4" s="3830"/>
      <c r="H4" s="3830"/>
      <c r="I4" s="3830"/>
      <c r="J4" s="3831"/>
      <c r="K4" s="1117"/>
      <c r="L4" s="1998" t="s">
        <v>1943</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0.96940000000000004</v>
      </c>
      <c r="T4" s="3356">
        <f t="shared" si="0"/>
        <v>-128</v>
      </c>
      <c r="U4" s="1210"/>
      <c r="V4" s="3356">
        <f t="shared" si="1"/>
        <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1944</v>
      </c>
      <c r="C5" s="752">
        <f>ROUND(IF(E2="商业",C6*C7*C17+C20,(IF(E2="住宅",C6*C13*C17+C20,IF(E2="办公",C6*C12*C17+C20,C6+C20)))),0)</f>
        <v>-123</v>
      </c>
      <c r="D5" s="1336">
        <f>ROUND(C6*C17+C20,0)</f>
        <v>6157</v>
      </c>
      <c r="E5" s="1336"/>
      <c r="F5" s="2002"/>
      <c r="G5" s="2003"/>
      <c r="H5" s="2003"/>
      <c r="I5" s="2003"/>
      <c r="J5" s="2004"/>
      <c r="K5" s="2005"/>
      <c r="L5" s="1998" t="s">
        <v>1945</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0.82299999999999995</v>
      </c>
      <c r="T5" s="3356">
        <f t="shared" si="0"/>
        <v>-109</v>
      </c>
      <c r="U5" s="1210"/>
      <c r="V5" s="3356">
        <f t="shared" si="1"/>
        <v>0</v>
      </c>
      <c r="W5" s="1213"/>
      <c r="X5" s="1213"/>
      <c r="Y5" s="1213"/>
      <c r="Z5" s="1213"/>
      <c r="AA5" s="1213"/>
      <c r="AB5" s="1213"/>
      <c r="AC5" s="2006"/>
      <c r="AD5" s="2007"/>
      <c r="AE5" s="2007"/>
      <c r="AF5" s="2007"/>
      <c r="AG5" s="2007"/>
      <c r="AH5" s="2007"/>
      <c r="AI5" s="2007"/>
      <c r="AJ5" s="2008"/>
    </row>
    <row r="6" spans="1:36" ht="15.75" thickBot="1">
      <c r="A6" s="2010" t="s">
        <v>1946</v>
      </c>
      <c r="B6" s="2011" t="s">
        <v>1947</v>
      </c>
      <c r="C6" s="753">
        <f>SUMIF(L1:L12,G2,M1:M12)</f>
        <v>6280</v>
      </c>
      <c r="D6" s="2012"/>
      <c r="E6" s="2013"/>
      <c r="F6" s="2013"/>
      <c r="G6" s="2014"/>
      <c r="H6" s="2014"/>
      <c r="I6" s="2014"/>
      <c r="J6" s="2015"/>
      <c r="K6" s="1381"/>
      <c r="L6" s="1998" t="s">
        <v>1948</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0.74980000000000002</v>
      </c>
      <c r="T6" s="3356">
        <f t="shared" si="0"/>
        <v>-99</v>
      </c>
      <c r="U6" s="1210"/>
      <c r="V6" s="3356">
        <f t="shared" si="1"/>
        <v>0</v>
      </c>
      <c r="W6" s="1213"/>
      <c r="X6" s="1213"/>
      <c r="Y6" s="1213"/>
      <c r="Z6" s="1213"/>
      <c r="AA6" s="1213"/>
      <c r="AB6" s="1213"/>
      <c r="AC6" s="2006"/>
      <c r="AD6" s="2007"/>
      <c r="AE6" s="2007"/>
      <c r="AF6" s="2007"/>
      <c r="AG6" s="2007"/>
      <c r="AH6" s="2007"/>
      <c r="AI6" s="2007"/>
      <c r="AJ6" s="2008"/>
    </row>
    <row r="7" spans="1:36" ht="24.75" thickBot="1">
      <c r="A7" s="3299" t="s">
        <v>3239</v>
      </c>
      <c r="B7" s="2016" t="s">
        <v>1949</v>
      </c>
      <c r="C7" s="754" t="e">
        <f>IF(C8="不临65条商业街",1,ROUND(1+(1.6*E8+1.2*E9+0.8*E10+0.4*E11)*C9,4))</f>
        <v>#DIV/0!</v>
      </c>
      <c r="D7" s="2017" t="s">
        <v>1950</v>
      </c>
      <c r="E7" s="775"/>
      <c r="F7" s="2018"/>
      <c r="G7" s="2019"/>
      <c r="H7" s="2019"/>
      <c r="I7" s="2019"/>
      <c r="J7" s="2020"/>
      <c r="K7" s="1381"/>
      <c r="L7" s="1998" t="s">
        <v>1951</v>
      </c>
      <c r="M7" s="863">
        <f>SUMPRODUCT((区片价!B190:B233=I2)*(区片价!C3:G3=E2)*(区片价!C190:G233))</f>
        <v>0</v>
      </c>
      <c r="N7" s="865">
        <f>SUMPRODUCT((因素修正幅度!B190:B233=I2)*(因素修正幅度!C3:G3=E2)*(因素修正幅度!C190:G233))</f>
        <v>0</v>
      </c>
      <c r="O7" s="1117"/>
      <c r="P7" s="1117"/>
      <c r="Q7" s="1117"/>
      <c r="R7" s="1209">
        <v>6</v>
      </c>
      <c r="S7" s="3414"/>
      <c r="T7" s="3356">
        <f t="shared" si="0"/>
        <v>0</v>
      </c>
      <c r="U7" s="1210"/>
      <c r="V7" s="3356">
        <f t="shared" si="1"/>
        <v>0</v>
      </c>
      <c r="W7" s="1355" t="s">
        <v>1952</v>
      </c>
      <c r="X7" s="1211" t="str">
        <f>G2</f>
        <v>九级</v>
      </c>
      <c r="Y7" s="1211" t="s">
        <v>1953</v>
      </c>
      <c r="Z7" s="1212">
        <f>G3</f>
        <v>0</v>
      </c>
      <c r="AA7" s="1213"/>
      <c r="AB7" s="1213"/>
      <c r="AC7" s="1214"/>
      <c r="AD7" s="1215"/>
      <c r="AE7" s="1215"/>
      <c r="AF7" s="1215"/>
      <c r="AG7" s="1215"/>
      <c r="AH7" s="1215"/>
      <c r="AI7" s="1215"/>
      <c r="AJ7" s="1216"/>
    </row>
    <row r="8" spans="1:36" ht="15">
      <c r="A8" s="3294"/>
      <c r="B8" s="170" t="s">
        <v>1954</v>
      </c>
      <c r="C8" s="2021"/>
      <c r="D8" s="755" t="s">
        <v>112</v>
      </c>
      <c r="E8" s="756" t="e">
        <f>ROUND(C11/E7,4)</f>
        <v>#DIV/0!</v>
      </c>
      <c r="F8" s="2022" t="s">
        <v>1955</v>
      </c>
      <c r="G8" s="2023"/>
      <c r="H8" s="2023"/>
      <c r="I8" s="2023"/>
      <c r="J8" s="2024"/>
      <c r="K8" s="1117"/>
      <c r="L8" s="1998" t="s">
        <v>1956</v>
      </c>
      <c r="M8" s="863">
        <f>SUMPRODUCT((区片价!B234:B276=I2)*(区片价!C3:G3=E2)*(区片价!C234:G276))</f>
        <v>0</v>
      </c>
      <c r="N8" s="865">
        <f>SUMPRODUCT((因素修正幅度!B234:B276=I2)*(因素修正幅度!C3:G3=E2)*(因素修正幅度!C234:G276))</f>
        <v>0</v>
      </c>
      <c r="O8" s="1117"/>
      <c r="P8" s="1117"/>
      <c r="Q8" s="1117"/>
      <c r="R8" s="1209">
        <v>7</v>
      </c>
      <c r="S8" s="1210"/>
      <c r="T8" s="3356">
        <f t="shared" si="0"/>
        <v>0</v>
      </c>
      <c r="U8" s="1210"/>
      <c r="V8" s="3356">
        <f t="shared" si="1"/>
        <v>0</v>
      </c>
      <c r="W8" s="3825" t="s">
        <v>1957</v>
      </c>
      <c r="X8" s="3826"/>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4"/>
      <c r="B9" s="170" t="s">
        <v>1970</v>
      </c>
      <c r="C9" s="757">
        <f>SUMIF(修正!C71:C138,C8,修正!E71:E138)</f>
        <v>0</v>
      </c>
      <c r="D9" s="171" t="s">
        <v>113</v>
      </c>
      <c r="E9" s="171" t="e">
        <f>ROUND(C11/E7,4)</f>
        <v>#DIV/0!</v>
      </c>
      <c r="F9" s="2022" t="s">
        <v>1971</v>
      </c>
      <c r="G9" s="2023"/>
      <c r="H9" s="2023"/>
      <c r="I9" s="2023"/>
      <c r="J9" s="2024"/>
      <c r="K9" s="1117"/>
      <c r="L9" s="1998" t="s">
        <v>1972</v>
      </c>
      <c r="M9" s="863">
        <f>SUMPRODUCT((区片价!B277:B326=I2)*(区片价!C3:G3=E2)*(区片价!C277:G326))</f>
        <v>6280</v>
      </c>
      <c r="N9" s="865">
        <f>SUMPRODUCT((因素修正幅度!B277:B326=I2)*(因素修正幅度!C3:G3=E2)*(因素修正幅度!C277:G326))</f>
        <v>0.15</v>
      </c>
      <c r="O9" s="1117"/>
      <c r="P9" s="1117"/>
      <c r="Q9" s="1117"/>
      <c r="R9" s="1209">
        <v>8</v>
      </c>
      <c r="S9" s="1210"/>
      <c r="T9" s="3356">
        <f t="shared" si="0"/>
        <v>0</v>
      </c>
      <c r="U9" s="1210"/>
      <c r="V9" s="3356">
        <f t="shared" si="1"/>
        <v>0</v>
      </c>
      <c r="W9" s="3827"/>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1973</v>
      </c>
      <c r="C10" s="171">
        <f>SUMIF(修正!C71:C138,C8,修正!F71:F138)</f>
        <v>0</v>
      </c>
      <c r="D10" s="171" t="s">
        <v>114</v>
      </c>
      <c r="E10" s="171" t="e">
        <f>ROUND(C11/E7,4)</f>
        <v>#DIV/0!</v>
      </c>
      <c r="F10" s="2022" t="s">
        <v>1974</v>
      </c>
      <c r="G10" s="2023"/>
      <c r="H10" s="2023"/>
      <c r="I10" s="2023"/>
      <c r="J10" s="2024"/>
      <c r="K10" s="1117"/>
      <c r="L10" s="1998" t="s">
        <v>1975</v>
      </c>
      <c r="M10" s="863">
        <f>SUMPRODUCT((区片价!B327:B357=I2)*(区片价!C3:G3=E2)*(区片价!C327:G357))</f>
        <v>0</v>
      </c>
      <c r="N10" s="865">
        <f>SUMPRODUCT((因素修正幅度!B327:B357=I2)*(因素修正幅度!C3:G3=E2)*(因素修正幅度!C327:G357))</f>
        <v>0</v>
      </c>
      <c r="O10" s="1117"/>
      <c r="P10" s="1117"/>
      <c r="Q10" s="1117"/>
      <c r="R10" s="1209">
        <v>9</v>
      </c>
      <c r="S10" s="1210"/>
      <c r="T10" s="3356">
        <f t="shared" si="0"/>
        <v>0</v>
      </c>
      <c r="U10" s="1210"/>
      <c r="V10" s="3356">
        <f t="shared" si="1"/>
        <v>0</v>
      </c>
      <c r="W10" s="3827"/>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1976</v>
      </c>
      <c r="C11" s="758">
        <f>C10/4</f>
        <v>0</v>
      </c>
      <c r="D11" s="758" t="s">
        <v>115</v>
      </c>
      <c r="E11" s="758" t="e">
        <f>ROUND(C11/E7,4)</f>
        <v>#DIV/0!</v>
      </c>
      <c r="F11" s="2026" t="s">
        <v>1977</v>
      </c>
      <c r="G11" s="2027"/>
      <c r="H11" s="2027"/>
      <c r="I11" s="2027"/>
      <c r="J11" s="2028"/>
      <c r="K11" s="1117"/>
      <c r="L11" s="1998" t="s">
        <v>1978</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7"/>
      <c r="L12" s="2034" t="s">
        <v>1981</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3244</v>
      </c>
      <c r="B13" s="2029" t="s">
        <v>1979</v>
      </c>
      <c r="C13" s="754">
        <f>ROUND(C16*D16*E16*F16*G16*H16*I16*J16,4)</f>
        <v>0</v>
      </c>
      <c r="D13" s="2030" t="s">
        <v>1980</v>
      </c>
      <c r="E13" s="2031"/>
      <c r="F13" s="2031"/>
      <c r="G13" s="2032"/>
      <c r="H13" s="2032"/>
      <c r="I13" s="2032"/>
      <c r="J13" s="2033"/>
      <c r="K13" s="1117"/>
      <c r="L13" s="3295"/>
      <c r="M13" s="3296"/>
      <c r="N13" s="3297"/>
      <c r="O13" s="1117"/>
      <c r="P13" s="1117"/>
      <c r="Q13" s="1117"/>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2035" t="s">
        <v>1982</v>
      </c>
      <c r="C14" s="2036" t="s">
        <v>1983</v>
      </c>
      <c r="D14" s="1347" t="s">
        <v>1984</v>
      </c>
      <c r="E14" s="27" t="s">
        <v>1985</v>
      </c>
      <c r="F14" s="3307" t="s">
        <v>3245</v>
      </c>
      <c r="G14" s="3307" t="s">
        <v>3245</v>
      </c>
      <c r="H14" s="3307" t="s">
        <v>3245</v>
      </c>
      <c r="I14" s="3307" t="s">
        <v>3245</v>
      </c>
      <c r="J14" s="3307" t="s">
        <v>3245</v>
      </c>
      <c r="K14" s="1117"/>
      <c r="L14" s="1117"/>
      <c r="M14" s="1117"/>
      <c r="N14" s="1117"/>
      <c r="O14" s="1117"/>
      <c r="P14" s="1117"/>
      <c r="Q14" s="1117"/>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3246</v>
      </c>
      <c r="G15" s="3309"/>
      <c r="H15" s="3310"/>
      <c r="I15" s="3311"/>
      <c r="J15" s="3312"/>
      <c r="K15" s="1117"/>
      <c r="L15" s="1117"/>
      <c r="M15" s="1117"/>
      <c r="N15" s="1117"/>
      <c r="O15" s="1117"/>
      <c r="P15" s="1117"/>
      <c r="Q15" s="1117"/>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1986</v>
      </c>
      <c r="C16" s="3313"/>
      <c r="D16" s="3313"/>
      <c r="E16" s="3313"/>
      <c r="F16" s="3313">
        <v>1</v>
      </c>
      <c r="G16" s="3313">
        <v>1</v>
      </c>
      <c r="H16" s="3313">
        <v>1</v>
      </c>
      <c r="I16" s="3313">
        <v>1</v>
      </c>
      <c r="J16" s="3314">
        <v>1</v>
      </c>
      <c r="K16" s="1117"/>
      <c r="L16" s="1992"/>
      <c r="M16" s="1992"/>
      <c r="N16" s="1992"/>
      <c r="O16" s="1992"/>
      <c r="P16" s="1992"/>
      <c r="Q16" s="1117"/>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f>ROUND(G18/I18,2)</f>
        <v>0</v>
      </c>
      <c r="F17" s="3317" t="s">
        <v>3252</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3250</v>
      </c>
      <c r="E18" s="3324"/>
      <c r="F18" s="3319" t="s">
        <v>3253</v>
      </c>
      <c r="G18" s="3323">
        <f>ROUND(1-(1/(POWER(1+G24,E18))),4)</f>
        <v>0</v>
      </c>
      <c r="H18" s="3319" t="s">
        <v>3255</v>
      </c>
      <c r="I18" s="3323">
        <f>ROUND(1-(1/(POWER(1+G24,J24))),4)</f>
        <v>0.96709999999999996</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3251</v>
      </c>
      <c r="E19" s="3333"/>
      <c r="F19" s="3334" t="s">
        <v>3254</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32" t="s">
        <v>3256</v>
      </c>
      <c r="B20" s="167" t="s">
        <v>1991</v>
      </c>
      <c r="C20" s="3320">
        <f>ROUND(IF(F21="与级别开发程度一致",0,(G21-E21)/C21),0)</f>
        <v>-123</v>
      </c>
      <c r="D20" s="3336" t="s">
        <v>1995</v>
      </c>
      <c r="E20" s="3337"/>
      <c r="F20" s="3838" t="s">
        <v>1992</v>
      </c>
      <c r="G20" s="3839"/>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33"/>
      <c r="B21" s="2159" t="s">
        <v>1994</v>
      </c>
      <c r="C21" s="2160">
        <f>IF(E3="M4科研用地",SUMPRODUCT((修正!A2:A7=E3)*(修正!B1:M1=G2)*(修正!B2:M7)),SUMPRODUCT((修正!A2:A7=E2)*(修正!B1:M1=G2)*(修正!B2:M7)))</f>
        <v>1.5</v>
      </c>
      <c r="D21" s="187" t="str">
        <f>IF(OR(G2="八级",G2="九级",G2="十级",G2="十一级",G2="十二级"),"五通一平","七通一平")</f>
        <v>五通一平</v>
      </c>
      <c r="E21" s="2150">
        <f>SUMPRODUCT((修正!B1:M1=G2)*(修正!B17:M17))</f>
        <v>185</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1997</v>
      </c>
      <c r="C22" s="2155">
        <f>SUMIF(修正!C20:C51,E3,修正!E20:E51)</f>
        <v>1</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2049" t="s">
        <v>1999</v>
      </c>
      <c r="E23" s="760">
        <v>44197</v>
      </c>
      <c r="F23" s="2049" t="s">
        <v>2000</v>
      </c>
      <c r="G23" s="761">
        <f>'数据-取费表'!B2</f>
        <v>45216</v>
      </c>
      <c r="H23" s="3338" t="s">
        <v>3258</v>
      </c>
      <c r="I23" s="3339" t="str">
        <f>IF(H23="季度增幅（自定义）",SUMIF(N25:N28,E2,O25:O28),"")</f>
        <v/>
      </c>
      <c r="J23" s="3441" t="s">
        <v>3257</v>
      </c>
      <c r="K23" s="1123"/>
      <c r="L23" s="2050" t="s">
        <v>2001</v>
      </c>
      <c r="M23" s="1325">
        <f>ROUND(SUMIF(地价!B2:G2,E2,地价!B16:G16),0)</f>
        <v>687</v>
      </c>
      <c r="N23" s="2051" t="s">
        <v>2002</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2003</v>
      </c>
      <c r="C24" s="763">
        <f>ROUND(POWER(1+G24,J24-I24)*(POWER(1+G24,I24)-1)/(POWER(1+G24,J24)-1),4)</f>
        <v>0.99270000000000003</v>
      </c>
      <c r="D24" s="2055" t="s">
        <v>2004</v>
      </c>
      <c r="E24" s="1332">
        <f>存贷款利率!E24/100</f>
        <v>4.3499999999999997E-2</v>
      </c>
      <c r="F24" s="2055" t="s">
        <v>1996</v>
      </c>
      <c r="G24" s="767">
        <f>SUMIF(M30:Q30,E2,M33:Q33)</f>
        <v>0.05</v>
      </c>
      <c r="H24" s="2055" t="s">
        <v>2005</v>
      </c>
      <c r="I24" s="768">
        <f>SUMIF('数据-取费表'!C6:C15,E2,'数据-取费表'!F6:F15)/COUNTIF('数据-取费表'!C6:C15,E2)</f>
        <v>66.010000000000005</v>
      </c>
      <c r="J24" s="769">
        <f>IF(E2="住宅",70,IF(E2="商业",40,50))</f>
        <v>70</v>
      </c>
      <c r="K24" s="1123"/>
      <c r="L24" s="2056" t="s">
        <v>2006</v>
      </c>
      <c r="M24" s="1326">
        <f>ROUND(SUMPRODUCT((地价!A4:A16=YEAR(G23)&amp;"-"&amp;ROUNDUP(MONTH(G23)/3,0))*(地价!B2:G2=E2)*(地价!B4:G16)),0)</f>
        <v>0</v>
      </c>
      <c r="N24" s="2057" t="s">
        <v>2007</v>
      </c>
      <c r="O24" s="2058" t="s">
        <v>2008</v>
      </c>
      <c r="P24" s="2059" t="s">
        <v>2009</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3337</v>
      </c>
      <c r="C25" s="770">
        <f>IF(B25="容积率修正",IF(G3&lt;10,D26,J26),C27)</f>
        <v>0</v>
      </c>
      <c r="D25" s="2062"/>
      <c r="E25" s="2062"/>
      <c r="F25" s="2062"/>
      <c r="G25" s="2062"/>
      <c r="H25" s="2062"/>
      <c r="I25" s="2062"/>
      <c r="J25" s="2063"/>
      <c r="K25" s="1123"/>
      <c r="L25" s="2783"/>
      <c r="M25" s="2783"/>
      <c r="N25" s="2064" t="s">
        <v>2010</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2011</v>
      </c>
      <c r="B26" s="2065" t="s">
        <v>2012</v>
      </c>
      <c r="C26" s="3340" t="s">
        <v>3259</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3260</v>
      </c>
      <c r="J26" s="771" t="str">
        <f>IF(G3&gt;=10,D115,"——")</f>
        <v>——</v>
      </c>
      <c r="K26" s="1123"/>
      <c r="L26" s="2783"/>
      <c r="M26" s="2783"/>
      <c r="N26" s="2064" t="s">
        <v>2013</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2014</v>
      </c>
      <c r="B27" s="2066" t="s">
        <v>2015</v>
      </c>
      <c r="C27" s="840">
        <f>ROUND(IF(I3&lt;6,SUMPRODUCT((B106:B110=I3)*(C105:N105=G2)*(C106:N110)),SUMIF(C105:N105,G2,C112:N112)),4)</f>
        <v>0</v>
      </c>
      <c r="D27" s="2041"/>
      <c r="E27" s="2041"/>
      <c r="F27" s="2067"/>
      <c r="G27" s="2068"/>
      <c r="H27" s="2069"/>
      <c r="I27" s="2070"/>
      <c r="J27" s="2071"/>
      <c r="K27" s="1117"/>
      <c r="L27" s="1992"/>
      <c r="M27" s="1992"/>
      <c r="N27" s="2064" t="s">
        <v>2016</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2017</v>
      </c>
      <c r="C28" s="759">
        <f>SUMIF(A47:A101,E2,B47:B101)</f>
        <v>1</v>
      </c>
      <c r="D28" s="2047"/>
      <c r="E28" s="2072"/>
      <c r="F28" s="2072"/>
      <c r="G28" s="2072"/>
      <c r="H28" s="2072"/>
      <c r="I28" s="2072"/>
      <c r="J28" s="2073"/>
      <c r="K28" s="1123"/>
      <c r="L28" s="2783"/>
      <c r="M28" s="2783"/>
      <c r="N28" s="2074"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2019</v>
      </c>
      <c r="C29" s="764"/>
      <c r="D29" s="2019"/>
      <c r="E29" s="2019"/>
      <c r="F29" s="2076"/>
      <c r="G29" s="2019"/>
      <c r="H29" s="2019"/>
      <c r="I29" s="2019"/>
      <c r="J29" s="2020"/>
      <c r="K29" s="1117"/>
      <c r="L29" s="1992"/>
      <c r="M29" s="1992"/>
      <c r="N29" s="2780" t="s">
        <v>2020</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2021</v>
      </c>
      <c r="C30" s="2316">
        <f>IF(B25="容积率修正",E33+SUM(E37:E42),SUM(V2:V16)+SUM(E37:E42))</f>
        <v>0</v>
      </c>
      <c r="D30" s="2078"/>
      <c r="E30" s="2041"/>
      <c r="F30" s="2079"/>
      <c r="G30" s="2041"/>
      <c r="H30" s="2041"/>
      <c r="I30" s="2041"/>
      <c r="J30" s="2080"/>
      <c r="K30" s="1117"/>
      <c r="L30" s="3346" t="s">
        <v>1933</v>
      </c>
      <c r="M30" s="3347" t="s">
        <v>1987</v>
      </c>
      <c r="N30" s="3347" t="s">
        <v>1988</v>
      </c>
      <c r="O30" s="3347" t="s">
        <v>1989</v>
      </c>
      <c r="P30" s="3347" t="s">
        <v>1990</v>
      </c>
      <c r="Q30" s="3350" t="s">
        <v>3264</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2022</v>
      </c>
      <c r="C31" s="765">
        <f>E34+SUM(I37:I42)</f>
        <v>0</v>
      </c>
      <c r="D31" s="2082"/>
      <c r="E31" s="2083"/>
      <c r="F31" s="2084"/>
      <c r="G31" s="2083"/>
      <c r="H31" s="2083"/>
      <c r="I31" s="2083"/>
      <c r="J31" s="2085"/>
      <c r="K31" s="1117"/>
      <c r="L31" s="3348" t="s">
        <v>1993</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2023</v>
      </c>
      <c r="C32" s="2088" t="s">
        <v>2024</v>
      </c>
      <c r="D32" s="2088" t="s">
        <v>2025</v>
      </c>
      <c r="E32" s="2089" t="s">
        <v>2026</v>
      </c>
      <c r="F32" s="2090"/>
      <c r="G32" s="2032"/>
      <c r="H32" s="2032"/>
      <c r="I32" s="2032"/>
      <c r="J32" s="2033"/>
      <c r="K32" s="1117"/>
      <c r="L32" s="3349" t="s">
        <v>1996</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2027</v>
      </c>
      <c r="C33" s="175">
        <f>ROUND(C5*C22*C23*C24*C25*C28,0)</f>
        <v>0</v>
      </c>
      <c r="D33" s="2093"/>
      <c r="E33" s="772">
        <f>ROUND(C33*D33/10000,0)</f>
        <v>0</v>
      </c>
      <c r="F33" s="3341" t="s">
        <v>3262</v>
      </c>
      <c r="G33" s="2094"/>
      <c r="H33" s="2094"/>
      <c r="I33" s="2094"/>
      <c r="J33" s="2095"/>
      <c r="K33" s="1117"/>
      <c r="L33" s="3344" t="s">
        <v>3265</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2028</v>
      </c>
      <c r="C34" s="187">
        <f>ROUND(IF(E2="工业",C33*M42,IF(B25="楼层修正",SUM(V2:V16)*M41*10000/D34,C33*M41)),0)</f>
        <v>0</v>
      </c>
      <c r="D34" s="2098"/>
      <c r="E34" s="772">
        <f>ROUND(IF(B25="楼层修正",SUM(V2:V16)*M40,C34*D34/10000),0)</f>
        <v>0</v>
      </c>
      <c r="F34" s="2099" t="s">
        <v>2029</v>
      </c>
      <c r="G34" s="2100"/>
      <c r="H34" s="2100"/>
      <c r="I34" s="2100"/>
      <c r="J34" s="2101"/>
      <c r="K34" s="1117"/>
      <c r="L34" s="3344" t="s">
        <v>3266</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2030</v>
      </c>
      <c r="C35" s="3342" t="s">
        <v>3263</v>
      </c>
      <c r="D35" s="2032"/>
      <c r="E35" s="2104"/>
      <c r="F35" s="2104"/>
      <c r="G35" s="2030" t="s">
        <v>2031</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2024</v>
      </c>
      <c r="D36" s="447" t="s">
        <v>2025</v>
      </c>
      <c r="E36" s="447" t="s">
        <v>2026</v>
      </c>
      <c r="F36" s="342" t="s">
        <v>2032</v>
      </c>
      <c r="G36" s="2107" t="s">
        <v>2024</v>
      </c>
      <c r="H36" s="2107" t="s">
        <v>2025</v>
      </c>
      <c r="I36" s="2107" t="s">
        <v>2026</v>
      </c>
      <c r="J36" s="243"/>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36"/>
      <c r="B37" s="2108" t="s">
        <v>2033</v>
      </c>
      <c r="C37" s="175">
        <f>ROUND(D5*C22*C23*C24*C28*F37,0)</f>
        <v>3306</v>
      </c>
      <c r="D37" s="2093"/>
      <c r="E37" s="171">
        <f>ROUND(C37*D37/10000,0)</f>
        <v>0</v>
      </c>
      <c r="F37" s="171">
        <f>SUMIF(修正!A57:A68,G2,修正!B57:B68)</f>
        <v>0.5</v>
      </c>
      <c r="G37" s="171">
        <f>ROUND(IF(E2="工业",C37*$M$42,C37*$M$41),0)</f>
        <v>827</v>
      </c>
      <c r="H37" s="171">
        <f>D37</f>
        <v>0</v>
      </c>
      <c r="I37" s="171">
        <f>ROUND(G37*H37/10000,0)</f>
        <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37"/>
      <c r="B38" s="2036" t="s">
        <v>2034</v>
      </c>
      <c r="C38" s="175">
        <f>ROUND(D5*C22*C23*C24*C28*F38,0)</f>
        <v>1322</v>
      </c>
      <c r="D38" s="2093"/>
      <c r="E38" s="171">
        <f t="shared" ref="E38:E42" si="4">ROUND(C38*D38/10000,0)</f>
        <v>0</v>
      </c>
      <c r="F38" s="171">
        <f>SUMIF(修正!A57:A68,G2,修正!C57:C68)</f>
        <v>0.2</v>
      </c>
      <c r="G38" s="171">
        <f>ROUND(IF(E2="工业",C38*$M$42,C38*$M$41),0)</f>
        <v>331</v>
      </c>
      <c r="H38" s="171">
        <f t="shared" ref="H38:H42" si="5">D38</f>
        <v>0</v>
      </c>
      <c r="I38" s="171">
        <f t="shared" ref="I38:I42" si="6">ROUND(G38*H38/10000,0)</f>
        <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37"/>
      <c r="B39" s="2036" t="s">
        <v>3261</v>
      </c>
      <c r="C39" s="175">
        <f>ROUND(D5*C22*C23*C24*C28*F39,0)</f>
        <v>1322</v>
      </c>
      <c r="D39" s="2093"/>
      <c r="E39" s="171">
        <f t="shared" si="4"/>
        <v>0</v>
      </c>
      <c r="F39" s="171">
        <f>SUMIF(修正!A57:A68,G2,修正!D57:D68)</f>
        <v>0.2</v>
      </c>
      <c r="G39" s="171">
        <f>ROUND(IF(E2="工业",C39*$M$42,C39*$M$41),0)</f>
        <v>331</v>
      </c>
      <c r="H39" s="171">
        <f t="shared" si="5"/>
        <v>0</v>
      </c>
      <c r="I39" s="171">
        <f t="shared" si="6"/>
        <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2035</v>
      </c>
      <c r="C40" s="171">
        <f>ROUND(D5*C22*C23*C24*C28*F40,0)</f>
        <v>1322</v>
      </c>
      <c r="D40" s="2093"/>
      <c r="E40" s="171">
        <f t="shared" si="4"/>
        <v>0</v>
      </c>
      <c r="F40" s="175">
        <f>SUMIF(修正!A57:A68,G2,修正!E57:E68)</f>
        <v>0.2</v>
      </c>
      <c r="G40" s="171">
        <f>ROUND(IF(E2="工业",C40*$M$42,C40*$M$41),0)</f>
        <v>331</v>
      </c>
      <c r="H40" s="171">
        <f t="shared" si="5"/>
        <v>0</v>
      </c>
      <c r="I40" s="171">
        <f t="shared" si="6"/>
        <v>0</v>
      </c>
      <c r="J40" s="2109"/>
      <c r="L40" s="2111" t="s">
        <v>2036</v>
      </c>
      <c r="M40" s="2112"/>
      <c r="Z40" s="1118"/>
      <c r="AA40" s="1118"/>
      <c r="AB40" s="1118"/>
      <c r="AC40" s="1118"/>
      <c r="AD40" s="1118"/>
      <c r="AE40" s="1118"/>
      <c r="AF40" s="1118"/>
      <c r="AG40" s="1118"/>
      <c r="AH40" s="1118"/>
      <c r="AI40" s="1118"/>
      <c r="AJ40" s="1118"/>
    </row>
    <row r="41" spans="1:37" s="1117" customFormat="1">
      <c r="A41" s="2110"/>
      <c r="B41" s="2036" t="s">
        <v>2037</v>
      </c>
      <c r="C41" s="171">
        <f>ROUND(D5*C22*C23*C44*C28*F41,0)</f>
        <v>0</v>
      </c>
      <c r="D41" s="2093"/>
      <c r="E41" s="171">
        <f t="shared" si="4"/>
        <v>0</v>
      </c>
      <c r="F41" s="175">
        <f>SUMIF(修正!A57:A68,G2,修正!F57:F68)</f>
        <v>0.2</v>
      </c>
      <c r="G41" s="171">
        <f>ROUND(IF(E2="工业",C41*$M$42,C41*$M$41),0)</f>
        <v>0</v>
      </c>
      <c r="H41" s="171">
        <f t="shared" si="5"/>
        <v>0</v>
      </c>
      <c r="I41" s="171">
        <f t="shared" si="6"/>
        <v>0</v>
      </c>
      <c r="J41" s="2109"/>
      <c r="L41" s="3355" t="s">
        <v>3269</v>
      </c>
      <c r="M41" s="2113">
        <v>0.25</v>
      </c>
      <c r="Z41" s="1118"/>
      <c r="AA41" s="1118"/>
      <c r="AB41" s="1118"/>
      <c r="AC41" s="1118"/>
      <c r="AD41" s="1118"/>
      <c r="AE41" s="1118"/>
      <c r="AF41" s="1118"/>
      <c r="AG41" s="1118"/>
      <c r="AH41" s="1118"/>
      <c r="AI41" s="1118"/>
      <c r="AJ41" s="1118"/>
    </row>
    <row r="42" spans="1:37" s="1117" customFormat="1" ht="13.5" thickBot="1">
      <c r="A42" s="2096"/>
      <c r="B42" s="2114" t="s">
        <v>2038</v>
      </c>
      <c r="C42" s="187">
        <f>ROUND(D5*C22*C23*C44*C28*F42,0)</f>
        <v>0</v>
      </c>
      <c r="D42" s="2098"/>
      <c r="E42" s="187">
        <f t="shared" si="4"/>
        <v>0</v>
      </c>
      <c r="F42" s="766">
        <f>SUMIF(修正!A57:A68,G2,修正!G57:G68)</f>
        <v>0.1</v>
      </c>
      <c r="G42" s="187">
        <f>ROUND(IF(E2="工业",C42*$M$42,C42*$M$41),0)</f>
        <v>0</v>
      </c>
      <c r="H42" s="187">
        <f t="shared" si="5"/>
        <v>0</v>
      </c>
      <c r="I42" s="187">
        <f t="shared" si="6"/>
        <v>0</v>
      </c>
      <c r="J42" s="2115"/>
      <c r="L42" s="2116" t="s">
        <v>1990</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2118</v>
      </c>
      <c r="C44" s="342">
        <f>ROUND(POWER(1+E44,H44-G44)*(POWER(1+E44,G44)-1)/(POWER(1+E44,H44)-1),4)</f>
        <v>0</v>
      </c>
      <c r="D44" s="171" t="s">
        <v>1996</v>
      </c>
      <c r="E44" s="2148">
        <f>G24</f>
        <v>0.05</v>
      </c>
      <c r="F44" s="171" t="s">
        <v>2005</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2039</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2040</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2041</v>
      </c>
      <c r="B49" s="1348" t="s">
        <v>2042</v>
      </c>
      <c r="C49" s="1348" t="s">
        <v>2043</v>
      </c>
      <c r="D49" s="1348" t="s">
        <v>2044</v>
      </c>
      <c r="E49" s="742" t="s">
        <v>2045</v>
      </c>
      <c r="F49" s="2126" t="s">
        <v>2046</v>
      </c>
      <c r="G49" s="1348" t="s">
        <v>310</v>
      </c>
      <c r="H49" s="2127" t="s">
        <v>2047</v>
      </c>
      <c r="I49" s="1348"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38.25">
      <c r="A50" s="2125" t="s">
        <v>2049</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2050</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3271</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2051</v>
      </c>
      <c r="B53" s="2130" t="s">
        <v>2052</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2053</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2054</v>
      </c>
      <c r="B55" s="2131" t="s">
        <v>2055</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2056</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2057</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2058</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2059</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2041</v>
      </c>
      <c r="B60" s="1348"/>
      <c r="C60" s="1348" t="s">
        <v>2043</v>
      </c>
      <c r="D60" s="1348" t="s">
        <v>2044</v>
      </c>
      <c r="E60" s="742" t="s">
        <v>2045</v>
      </c>
      <c r="F60" s="2126" t="s">
        <v>2060</v>
      </c>
      <c r="G60" s="1348" t="s">
        <v>310</v>
      </c>
      <c r="H60" s="2127" t="s">
        <v>2047</v>
      </c>
      <c r="I60" s="1348"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38.25">
      <c r="A61" s="2125" t="s">
        <v>2061</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2050</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3271</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2051</v>
      </c>
      <c r="B64" s="2130" t="s">
        <v>2052</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2053</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2054</v>
      </c>
      <c r="B66" s="2131" t="s">
        <v>2055</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2056</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2057</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2058</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2062</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2041</v>
      </c>
      <c r="B71" s="1348"/>
      <c r="C71" s="1348" t="s">
        <v>2043</v>
      </c>
      <c r="D71" s="1348" t="s">
        <v>2044</v>
      </c>
      <c r="E71" s="742" t="s">
        <v>2045</v>
      </c>
      <c r="F71" s="2126" t="s">
        <v>2060</v>
      </c>
      <c r="G71" s="1348" t="s">
        <v>310</v>
      </c>
      <c r="H71" s="2127" t="s">
        <v>2047</v>
      </c>
      <c r="I71" s="1348"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51">
      <c r="A72" s="2125" t="s">
        <v>2063</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f>IF(E2="住宅",SUMIF(L1:L12,G2,N1:N12),"——")</f>
        <v>0.15</v>
      </c>
      <c r="G72" s="1061"/>
      <c r="H72" s="1064">
        <f t="shared" ref="H72:H80" si="18">IFERROR(ROUNDDOWN($F$72*I72/2,4),"——")</f>
        <v>1.4999999999999999E-2</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2050</v>
      </c>
      <c r="B73" s="2129" t="str">
        <f>估价对象房地状况!C18</f>
        <v>估价对象周边道路状况、公共交通通达情况、停车便捷程度，综合评价交通便捷度较好</v>
      </c>
      <c r="C73" s="2039"/>
      <c r="D73" s="1063">
        <f t="shared" si="17"/>
        <v>0</v>
      </c>
      <c r="E73" s="746"/>
      <c r="F73" s="1811"/>
      <c r="G73" s="1061"/>
      <c r="H73" s="1064">
        <f t="shared" si="18"/>
        <v>1.95E-2</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3271</v>
      </c>
      <c r="B74" s="2129">
        <f>估价对象房地状况!C19</f>
        <v>0</v>
      </c>
      <c r="C74" s="2039"/>
      <c r="D74" s="1063">
        <f t="shared" si="17"/>
        <v>0</v>
      </c>
      <c r="E74" s="746"/>
      <c r="F74" s="1811"/>
      <c r="G74" s="1061"/>
      <c r="H74" s="1064">
        <f t="shared" si="18"/>
        <v>7.4999999999999997E-3</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2064</v>
      </c>
      <c r="B75" s="2129">
        <f>估价对象房地状况!C24</f>
        <v>0</v>
      </c>
      <c r="C75" s="2039"/>
      <c r="D75" s="1063">
        <f t="shared" si="17"/>
        <v>0</v>
      </c>
      <c r="E75" s="746"/>
      <c r="F75" s="1811"/>
      <c r="G75" s="1061"/>
      <c r="H75" s="1064">
        <f t="shared" si="18"/>
        <v>3.7000000000000002E-3</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2056</v>
      </c>
      <c r="B76" s="1323" t="str">
        <f>估价对象房地状况!C21</f>
        <v>估价对象所在区域公共配套设施齐备情况</v>
      </c>
      <c r="C76" s="2039"/>
      <c r="D76" s="1063">
        <f t="shared" si="17"/>
        <v>0</v>
      </c>
      <c r="E76" s="746"/>
      <c r="F76" s="1811"/>
      <c r="G76" s="1061"/>
      <c r="H76" s="1064">
        <f t="shared" si="18"/>
        <v>6.0000000000000001E-3</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2057</v>
      </c>
      <c r="B77" s="1323" t="str">
        <f>估价对象房地状况!C22</f>
        <v>估价对象所在区域基础设施水平</v>
      </c>
      <c r="C77" s="2039"/>
      <c r="D77" s="1063">
        <f t="shared" si="17"/>
        <v>0</v>
      </c>
      <c r="E77" s="746"/>
      <c r="F77" s="1811"/>
      <c r="G77" s="1061"/>
      <c r="H77" s="1064">
        <f t="shared" si="18"/>
        <v>6.7000000000000002E-3</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2054</v>
      </c>
      <c r="B78" s="2131" t="s">
        <v>2055</v>
      </c>
      <c r="C78" s="2039"/>
      <c r="D78" s="1063">
        <f t="shared" si="17"/>
        <v>0</v>
      </c>
      <c r="E78" s="746"/>
      <c r="F78" s="1811"/>
      <c r="G78" s="1061"/>
      <c r="H78" s="1064">
        <f t="shared" si="18"/>
        <v>3.7000000000000002E-3</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2058</v>
      </c>
      <c r="B79" s="2128" t="str">
        <f>估价对象房地状况!C20</f>
        <v>区域自然环境：；人文环境；综合评价环境状况一般</v>
      </c>
      <c r="C79" s="2039"/>
      <c r="D79" s="1063">
        <f t="shared" si="17"/>
        <v>0</v>
      </c>
      <c r="E79" s="746"/>
      <c r="F79" s="1811"/>
      <c r="G79" s="1061"/>
      <c r="H79" s="1064">
        <f t="shared" si="18"/>
        <v>8.9999999999999993E-3</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2065</v>
      </c>
      <c r="B80" s="2137"/>
      <c r="C80" s="2039"/>
      <c r="D80" s="1063">
        <f t="shared" si="17"/>
        <v>0</v>
      </c>
      <c r="E80" s="747"/>
      <c r="F80" s="1811"/>
      <c r="G80" s="1061"/>
      <c r="H80" s="1064">
        <f t="shared" si="18"/>
        <v>3.7000000000000002E-3</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2066</v>
      </c>
      <c r="B81" s="2122">
        <f>1+E83</f>
        <v>1</v>
      </c>
      <c r="C81" s="740"/>
      <c r="D81" s="740"/>
      <c r="E81" s="741"/>
      <c r="F81" s="2124"/>
      <c r="G81" s="3"/>
      <c r="H81" s="3"/>
      <c r="I81" s="3"/>
      <c r="J81" s="4"/>
      <c r="K81" s="4"/>
      <c r="L81" s="4"/>
      <c r="M81" s="4"/>
      <c r="N81" s="4"/>
      <c r="Z81" s="1993"/>
      <c r="AA81" s="2048"/>
      <c r="AG81" s="1119"/>
      <c r="AK81" s="2048"/>
    </row>
    <row r="82" spans="1:37" ht="24.75">
      <c r="A82" s="2125" t="s">
        <v>2041</v>
      </c>
      <c r="B82" s="1348"/>
      <c r="C82" s="1348" t="s">
        <v>2043</v>
      </c>
      <c r="D82" s="1348" t="s">
        <v>2044</v>
      </c>
      <c r="E82" s="742" t="s">
        <v>2045</v>
      </c>
      <c r="F82" s="2126" t="s">
        <v>2060</v>
      </c>
      <c r="G82" s="1348" t="s">
        <v>310</v>
      </c>
      <c r="H82" s="2127" t="s">
        <v>2047</v>
      </c>
      <c r="I82" s="1348" t="s">
        <v>2048</v>
      </c>
      <c r="J82" s="552" t="s">
        <v>1718</v>
      </c>
      <c r="K82" s="552" t="s">
        <v>1719</v>
      </c>
      <c r="L82" s="552" t="s">
        <v>1720</v>
      </c>
      <c r="M82" s="552" t="s">
        <v>1721</v>
      </c>
      <c r="N82" s="552" t="s">
        <v>1722</v>
      </c>
      <c r="Z82" s="1993"/>
      <c r="AA82" s="2048"/>
      <c r="AG82" s="1119"/>
      <c r="AK82" s="2048"/>
    </row>
    <row r="83" spans="1:37" ht="38.25">
      <c r="A83" s="2125" t="s">
        <v>2067</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2050</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3272</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2064</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2056</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2057</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2054</v>
      </c>
      <c r="B89" s="2131" t="s">
        <v>2068</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2069</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2612</v>
      </c>
      <c r="B91" s="3373">
        <f>1+E93</f>
        <v>1</v>
      </c>
      <c r="C91" s="3366"/>
      <c r="D91" s="3367"/>
      <c r="E91" s="1811"/>
      <c r="F91" s="1811"/>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3275</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3271</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3276</v>
      </c>
      <c r="B96" s="3380" t="s">
        <v>3287</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3277</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3278</v>
      </c>
      <c r="B98" s="3381" t="s">
        <v>3288</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3279</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3280</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3281</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34" t="s">
        <v>3296</v>
      </c>
      <c r="B103" s="3834"/>
      <c r="C103" s="3834"/>
      <c r="D103" s="3834"/>
      <c r="E103" s="3834"/>
      <c r="F103" s="3834"/>
      <c r="G103" s="3834"/>
      <c r="H103" s="3834"/>
      <c r="I103" s="3834"/>
      <c r="J103" s="3834"/>
      <c r="K103" s="3385"/>
      <c r="L103" s="3385"/>
      <c r="M103" s="3385"/>
      <c r="N103" s="3385"/>
    </row>
    <row r="104" spans="1:14">
      <c r="A104" s="3835" t="s">
        <v>3297</v>
      </c>
      <c r="B104" s="3835" t="s">
        <v>3298</v>
      </c>
      <c r="C104" s="3386" t="s">
        <v>3299</v>
      </c>
      <c r="D104" s="3387"/>
      <c r="E104" s="3387"/>
      <c r="F104" s="3387"/>
      <c r="G104" s="3387"/>
      <c r="H104" s="3387"/>
      <c r="I104" s="3387"/>
      <c r="J104" s="3388"/>
      <c r="K104" s="3389"/>
      <c r="L104" s="3389"/>
      <c r="M104" s="3389"/>
      <c r="N104" s="3389"/>
    </row>
    <row r="105" spans="1:14">
      <c r="A105" s="3835"/>
      <c r="B105" s="3835"/>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821"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22"/>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22"/>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22"/>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22"/>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22"/>
      <c r="B111" s="3390" t="s">
        <v>3270</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23"/>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24" t="s">
        <v>3313</v>
      </c>
      <c r="B113" s="3824"/>
      <c r="C113" s="3824"/>
      <c r="D113" s="3824"/>
      <c r="E113" s="3824"/>
      <c r="F113" s="3824"/>
      <c r="G113" s="3824"/>
      <c r="H113" s="3824"/>
      <c r="I113" s="3824"/>
      <c r="J113" s="3824"/>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0</v>
      </c>
      <c r="C116" s="3395" t="s">
        <v>3315</v>
      </c>
      <c r="D116" s="3396">
        <f>SUMPRODUCT((A118:A122=F116)*(B117:M117=H116)*B118:M122)</f>
        <v>0.79649999999999999</v>
      </c>
      <c r="E116" s="1995" t="s">
        <v>3316</v>
      </c>
      <c r="F116" s="3397" t="str">
        <f>E2</f>
        <v>住宅</v>
      </c>
      <c r="G116" s="1995" t="s">
        <v>3317</v>
      </c>
      <c r="H116" s="3397" t="str">
        <f>G2</f>
        <v>九级</v>
      </c>
      <c r="I116" s="1995"/>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3331</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3332</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3333</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2612</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847" t="s">
        <v>2607</v>
      </c>
      <c r="B20" s="3840" t="s">
        <v>2628</v>
      </c>
      <c r="C20" s="3098" t="s">
        <v>2439</v>
      </c>
      <c r="D20" s="3099"/>
      <c r="E20" s="3100">
        <v>1</v>
      </c>
      <c r="F20" s="3101" t="s">
        <v>2440</v>
      </c>
      <c r="G20" s="3101"/>
    </row>
    <row r="21" spans="1:13" ht="19.5" customHeight="1">
      <c r="A21" s="3848"/>
      <c r="B21" s="3841"/>
      <c r="C21" s="3102" t="s">
        <v>2441</v>
      </c>
      <c r="D21" s="3103"/>
      <c r="E21" s="3104">
        <v>1</v>
      </c>
      <c r="F21" s="3101" t="s">
        <v>2442</v>
      </c>
      <c r="G21" s="3101"/>
    </row>
    <row r="22" spans="1:13" ht="19.5" customHeight="1">
      <c r="A22" s="3848"/>
      <c r="B22" s="3841"/>
      <c r="C22" s="3102" t="s">
        <v>2443</v>
      </c>
      <c r="D22" s="3103"/>
      <c r="E22" s="3104">
        <v>0.9</v>
      </c>
      <c r="F22" s="3101" t="s">
        <v>2444</v>
      </c>
      <c r="G22" s="3101"/>
    </row>
    <row r="23" spans="1:13" ht="19.5" customHeight="1">
      <c r="A23" s="3848"/>
      <c r="B23" s="3841"/>
      <c r="C23" s="3102" t="s">
        <v>2445</v>
      </c>
      <c r="D23" s="3103"/>
      <c r="E23" s="3104">
        <v>0.9</v>
      </c>
      <c r="F23" s="3101" t="s">
        <v>2446</v>
      </c>
      <c r="G23" s="3101"/>
    </row>
    <row r="24" spans="1:13" ht="19.5" customHeight="1">
      <c r="A24" s="3848"/>
      <c r="B24" s="3841"/>
      <c r="C24" s="3102" t="s">
        <v>2447</v>
      </c>
      <c r="D24" s="3103"/>
      <c r="E24" s="3104">
        <v>0.8</v>
      </c>
      <c r="F24" s="3101" t="s">
        <v>2448</v>
      </c>
      <c r="G24" s="3101"/>
    </row>
    <row r="25" spans="1:13" ht="19.5" customHeight="1" thickBot="1">
      <c r="A25" s="3849"/>
      <c r="B25" s="3842"/>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843" t="s">
        <v>2631</v>
      </c>
      <c r="B27" s="3840" t="s">
        <v>2612</v>
      </c>
      <c r="C27" s="3098" t="s">
        <v>2452</v>
      </c>
      <c r="D27" s="3099"/>
      <c r="E27" s="3100">
        <v>1</v>
      </c>
      <c r="F27" s="3101" t="s">
        <v>2453</v>
      </c>
      <c r="G27" s="3101"/>
    </row>
    <row r="28" spans="1:13" ht="19.5" customHeight="1">
      <c r="A28" s="3844"/>
      <c r="B28" s="3841"/>
      <c r="C28" s="3102" t="s">
        <v>2454</v>
      </c>
      <c r="D28" s="3103"/>
      <c r="E28" s="3104">
        <v>1</v>
      </c>
      <c r="F28" s="3101" t="s">
        <v>2455</v>
      </c>
      <c r="G28" s="3101"/>
    </row>
    <row r="29" spans="1:13" ht="19.5" customHeight="1">
      <c r="A29" s="3844"/>
      <c r="B29" s="3841"/>
      <c r="C29" s="3102" t="s">
        <v>2456</v>
      </c>
      <c r="D29" s="3103"/>
      <c r="E29" s="3104">
        <v>0.8</v>
      </c>
      <c r="F29" s="3101" t="s">
        <v>2457</v>
      </c>
      <c r="G29" s="3101"/>
    </row>
    <row r="30" spans="1:13" ht="19.5" customHeight="1">
      <c r="A30" s="3844"/>
      <c r="B30" s="3841"/>
      <c r="C30" s="3102" t="s">
        <v>2458</v>
      </c>
      <c r="D30" s="3103"/>
      <c r="E30" s="3104">
        <v>0.8</v>
      </c>
      <c r="F30" s="3101" t="s">
        <v>2459</v>
      </c>
      <c r="G30" s="3101"/>
    </row>
    <row r="31" spans="1:13" ht="19.5" customHeight="1">
      <c r="A31" s="3844"/>
      <c r="B31" s="3841"/>
      <c r="C31" s="3102" t="s">
        <v>2460</v>
      </c>
      <c r="D31" s="3103"/>
      <c r="E31" s="3104">
        <v>0.8</v>
      </c>
      <c r="F31" s="3101" t="s">
        <v>2461</v>
      </c>
      <c r="G31" s="3101"/>
    </row>
    <row r="32" spans="1:13" ht="19.5" customHeight="1">
      <c r="A32" s="3844"/>
      <c r="B32" s="3841"/>
      <c r="C32" s="3102" t="s">
        <v>2462</v>
      </c>
      <c r="D32" s="3103"/>
      <c r="E32" s="3104">
        <v>0.7</v>
      </c>
      <c r="F32" s="3101" t="s">
        <v>2463</v>
      </c>
      <c r="G32" s="3101"/>
    </row>
    <row r="33" spans="1:7" ht="19.5" customHeight="1">
      <c r="A33" s="3844"/>
      <c r="B33" s="3841"/>
      <c r="C33" s="3102" t="s">
        <v>2464</v>
      </c>
      <c r="D33" s="3103"/>
      <c r="E33" s="3104">
        <v>0.8</v>
      </c>
      <c r="F33" s="3101" t="s">
        <v>2465</v>
      </c>
      <c r="G33" s="3101"/>
    </row>
    <row r="34" spans="1:7" ht="19.5" customHeight="1">
      <c r="A34" s="3844"/>
      <c r="B34" s="3841"/>
      <c r="C34" s="3102" t="s">
        <v>2466</v>
      </c>
      <c r="D34" s="3103"/>
      <c r="E34" s="3104">
        <v>0.6</v>
      </c>
      <c r="F34" s="3101" t="s">
        <v>2467</v>
      </c>
      <c r="G34" s="3101"/>
    </row>
    <row r="35" spans="1:7" ht="19.5" customHeight="1">
      <c r="A35" s="3844"/>
      <c r="B35" s="3841"/>
      <c r="C35" s="3102" t="s">
        <v>2468</v>
      </c>
      <c r="D35" s="3103"/>
      <c r="E35" s="3104">
        <v>0.2</v>
      </c>
      <c r="F35" s="3101" t="s">
        <v>2469</v>
      </c>
      <c r="G35" s="3101"/>
    </row>
    <row r="36" spans="1:7" ht="19.5" customHeight="1">
      <c r="A36" s="3844"/>
      <c r="B36" s="3841"/>
      <c r="C36" s="3102" t="s">
        <v>2470</v>
      </c>
      <c r="D36" s="3103"/>
      <c r="E36" s="3104">
        <v>0.2</v>
      </c>
      <c r="F36" s="3101" t="s">
        <v>2471</v>
      </c>
      <c r="G36" s="3101"/>
    </row>
    <row r="37" spans="1:7" ht="19.5" customHeight="1">
      <c r="A37" s="3844"/>
      <c r="B37" s="3846" t="s">
        <v>2632</v>
      </c>
      <c r="C37" s="3102" t="s">
        <v>2472</v>
      </c>
      <c r="D37" s="3103"/>
      <c r="E37" s="3104">
        <v>0.6</v>
      </c>
      <c r="F37" s="3101" t="s">
        <v>2473</v>
      </c>
      <c r="G37" s="3101"/>
    </row>
    <row r="38" spans="1:7" ht="19.5" customHeight="1">
      <c r="A38" s="3844"/>
      <c r="B38" s="3841"/>
      <c r="C38" s="3102" t="s">
        <v>2474</v>
      </c>
      <c r="D38" s="3103"/>
      <c r="E38" s="3104">
        <v>0.6</v>
      </c>
      <c r="F38" s="3101" t="s">
        <v>2475</v>
      </c>
      <c r="G38" s="3101"/>
    </row>
    <row r="39" spans="1:7" ht="19.5" customHeight="1" thickBot="1">
      <c r="A39" s="3845"/>
      <c r="B39" s="3842"/>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847" t="s">
        <v>2610</v>
      </c>
      <c r="B41" s="3840" t="s">
        <v>2634</v>
      </c>
      <c r="C41" s="3098" t="s">
        <v>2479</v>
      </c>
      <c r="D41" s="3099"/>
      <c r="E41" s="3100">
        <v>1</v>
      </c>
      <c r="F41" s="3101" t="s">
        <v>2480</v>
      </c>
      <c r="G41" s="3101"/>
    </row>
    <row r="42" spans="1:7" ht="19.5" customHeight="1">
      <c r="A42" s="3848"/>
      <c r="B42" s="3841"/>
      <c r="C42" s="3102" t="s">
        <v>2481</v>
      </c>
      <c r="D42" s="3103"/>
      <c r="E42" s="3104">
        <v>1</v>
      </c>
      <c r="F42" s="3101" t="s">
        <v>2482</v>
      </c>
      <c r="G42" s="3101"/>
    </row>
    <row r="43" spans="1:7" ht="19.5" customHeight="1">
      <c r="A43" s="3848"/>
      <c r="B43" s="3850"/>
      <c r="C43" s="3102" t="s">
        <v>2483</v>
      </c>
      <c r="D43" s="3103"/>
      <c r="E43" s="3104">
        <v>1.5</v>
      </c>
      <c r="F43" s="3101" t="s">
        <v>2484</v>
      </c>
      <c r="G43" s="3101"/>
    </row>
    <row r="44" spans="1:7" ht="19.5" customHeight="1">
      <c r="A44" s="3848"/>
      <c r="B44" s="3113" t="s">
        <v>2635</v>
      </c>
      <c r="C44" s="3102" t="s">
        <v>2636</v>
      </c>
      <c r="D44" s="3103"/>
      <c r="E44" s="3104">
        <v>2</v>
      </c>
      <c r="F44" s="3101" t="s">
        <v>2485</v>
      </c>
      <c r="G44" s="3101"/>
    </row>
    <row r="45" spans="1:7" ht="19.5" customHeight="1">
      <c r="A45" s="3848"/>
      <c r="B45" s="3846" t="s">
        <v>2637</v>
      </c>
      <c r="C45" s="3102" t="s">
        <v>2486</v>
      </c>
      <c r="D45" s="3103"/>
      <c r="E45" s="3104">
        <v>1</v>
      </c>
      <c r="F45" s="3101" t="s">
        <v>2487</v>
      </c>
      <c r="G45" s="3101"/>
    </row>
    <row r="46" spans="1:7" ht="19.5" customHeight="1">
      <c r="A46" s="3848"/>
      <c r="B46" s="3841"/>
      <c r="C46" s="3102" t="s">
        <v>2488</v>
      </c>
      <c r="D46" s="3103"/>
      <c r="E46" s="3104">
        <v>1</v>
      </c>
      <c r="F46" s="3101" t="s">
        <v>2489</v>
      </c>
      <c r="G46" s="3101"/>
    </row>
    <row r="47" spans="1:7" ht="19.5" customHeight="1">
      <c r="A47" s="3848"/>
      <c r="B47" s="3841"/>
      <c r="C47" s="3102" t="s">
        <v>2490</v>
      </c>
      <c r="D47" s="3103"/>
      <c r="E47" s="3104">
        <v>1</v>
      </c>
      <c r="F47" s="3101" t="s">
        <v>2491</v>
      </c>
      <c r="G47" s="3101"/>
    </row>
    <row r="48" spans="1:7" ht="19.5" customHeight="1">
      <c r="A48" s="3848"/>
      <c r="B48" s="3841"/>
      <c r="C48" s="3102" t="s">
        <v>2492</v>
      </c>
      <c r="D48" s="3103"/>
      <c r="E48" s="3104">
        <v>1</v>
      </c>
      <c r="F48" s="3101" t="s">
        <v>2493</v>
      </c>
      <c r="G48" s="3101"/>
    </row>
    <row r="49" spans="1:7" ht="19.5" customHeight="1">
      <c r="A49" s="3848"/>
      <c r="B49" s="3841"/>
      <c r="C49" s="3102" t="s">
        <v>2494</v>
      </c>
      <c r="D49" s="3103"/>
      <c r="E49" s="3104">
        <v>1</v>
      </c>
      <c r="F49" s="3101" t="s">
        <v>2495</v>
      </c>
      <c r="G49" s="3101"/>
    </row>
    <row r="50" spans="1:7" ht="19.5" customHeight="1">
      <c r="A50" s="3848"/>
      <c r="B50" s="3841"/>
      <c r="C50" s="3102" t="s">
        <v>2496</v>
      </c>
      <c r="D50" s="3103"/>
      <c r="E50" s="3104">
        <v>1</v>
      </c>
      <c r="F50" s="3101" t="s">
        <v>2497</v>
      </c>
      <c r="G50" s="3101"/>
    </row>
    <row r="51" spans="1:7" ht="19.5" customHeight="1" thickBot="1">
      <c r="A51" s="3849"/>
      <c r="B51" s="3842"/>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846" t="s">
        <v>2651</v>
      </c>
      <c r="C73" s="3087" t="s">
        <v>2652</v>
      </c>
      <c r="D73" s="3087" t="s">
        <v>2653</v>
      </c>
      <c r="E73" s="3113">
        <v>0.2</v>
      </c>
      <c r="F73" s="3113">
        <v>25</v>
      </c>
    </row>
    <row r="74" spans="1:7" ht="24">
      <c r="A74" s="3113">
        <v>2</v>
      </c>
      <c r="B74" s="3841"/>
      <c r="C74" s="3087" t="s">
        <v>2654</v>
      </c>
      <c r="D74" s="3087" t="s">
        <v>2655</v>
      </c>
      <c r="E74" s="3113">
        <v>0.2</v>
      </c>
      <c r="F74" s="3113">
        <v>25</v>
      </c>
    </row>
    <row r="75" spans="1:7" ht="24">
      <c r="A75" s="3113">
        <v>3</v>
      </c>
      <c r="B75" s="3841"/>
      <c r="C75" s="3087" t="s">
        <v>2656</v>
      </c>
      <c r="D75" s="3087" t="s">
        <v>2657</v>
      </c>
      <c r="E75" s="3113">
        <v>0.2</v>
      </c>
      <c r="F75" s="3113">
        <v>25</v>
      </c>
    </row>
    <row r="76" spans="1:7" ht="13.5">
      <c r="A76" s="3113">
        <v>4</v>
      </c>
      <c r="B76" s="3841"/>
      <c r="C76" s="3087" t="s">
        <v>2658</v>
      </c>
      <c r="D76" s="3087" t="s">
        <v>2659</v>
      </c>
      <c r="E76" s="3113">
        <v>0.15</v>
      </c>
      <c r="F76" s="3113">
        <v>20</v>
      </c>
    </row>
    <row r="77" spans="1:7" ht="24">
      <c r="A77" s="3113">
        <v>5</v>
      </c>
      <c r="B77" s="3841"/>
      <c r="C77" s="3087" t="s">
        <v>2660</v>
      </c>
      <c r="D77" s="3087" t="s">
        <v>2661</v>
      </c>
      <c r="E77" s="3113">
        <v>0.15</v>
      </c>
      <c r="F77" s="3113">
        <v>20</v>
      </c>
    </row>
    <row r="78" spans="1:7" ht="24">
      <c r="A78" s="3113">
        <v>6</v>
      </c>
      <c r="B78" s="3841"/>
      <c r="C78" s="3087" t="s">
        <v>2662</v>
      </c>
      <c r="D78" s="3087" t="s">
        <v>2663</v>
      </c>
      <c r="E78" s="3113">
        <v>0.15</v>
      </c>
      <c r="F78" s="3113">
        <v>20</v>
      </c>
    </row>
    <row r="79" spans="1:7" ht="24">
      <c r="A79" s="3113">
        <v>7</v>
      </c>
      <c r="B79" s="3841"/>
      <c r="C79" s="3087" t="s">
        <v>2664</v>
      </c>
      <c r="D79" s="3087" t="s">
        <v>2665</v>
      </c>
      <c r="E79" s="3113">
        <v>0.15</v>
      </c>
      <c r="F79" s="3113">
        <v>20</v>
      </c>
    </row>
    <row r="80" spans="1:7" ht="24">
      <c r="A80" s="3113">
        <v>8</v>
      </c>
      <c r="B80" s="3841"/>
      <c r="C80" s="3087" t="s">
        <v>2666</v>
      </c>
      <c r="D80" s="3087" t="s">
        <v>2667</v>
      </c>
      <c r="E80" s="3113">
        <v>0.1</v>
      </c>
      <c r="F80" s="3113">
        <v>15</v>
      </c>
    </row>
    <row r="81" spans="1:6" ht="24">
      <c r="A81" s="3113">
        <v>9</v>
      </c>
      <c r="B81" s="3841"/>
      <c r="C81" s="3087" t="s">
        <v>2668</v>
      </c>
      <c r="D81" s="3087" t="s">
        <v>2669</v>
      </c>
      <c r="E81" s="3113">
        <v>0.1</v>
      </c>
      <c r="F81" s="3113">
        <v>15</v>
      </c>
    </row>
    <row r="82" spans="1:6" ht="24">
      <c r="A82" s="3113">
        <v>10</v>
      </c>
      <c r="B82" s="3841"/>
      <c r="C82" s="3087" t="s">
        <v>2670</v>
      </c>
      <c r="D82" s="3087" t="s">
        <v>2671</v>
      </c>
      <c r="E82" s="3113">
        <v>0.1</v>
      </c>
      <c r="F82" s="3113">
        <v>15</v>
      </c>
    </row>
    <row r="83" spans="1:6" ht="24">
      <c r="A83" s="3113">
        <v>11</v>
      </c>
      <c r="B83" s="3841"/>
      <c r="C83" s="3087" t="s">
        <v>2672</v>
      </c>
      <c r="D83" s="3087" t="s">
        <v>2673</v>
      </c>
      <c r="E83" s="3113">
        <v>0.1</v>
      </c>
      <c r="F83" s="3113">
        <v>15</v>
      </c>
    </row>
    <row r="84" spans="1:6" ht="24">
      <c r="A84" s="3113">
        <v>12</v>
      </c>
      <c r="B84" s="3841"/>
      <c r="C84" s="3087" t="s">
        <v>2674</v>
      </c>
      <c r="D84" s="3087" t="s">
        <v>2675</v>
      </c>
      <c r="E84" s="3113">
        <v>0.1</v>
      </c>
      <c r="F84" s="3113">
        <v>15</v>
      </c>
    </row>
    <row r="85" spans="1:6" ht="13.5">
      <c r="A85" s="3113">
        <v>13</v>
      </c>
      <c r="B85" s="3841"/>
      <c r="C85" s="3087" t="s">
        <v>2676</v>
      </c>
      <c r="D85" s="3087" t="s">
        <v>2677</v>
      </c>
      <c r="E85" s="3113">
        <v>0.1</v>
      </c>
      <c r="F85" s="3113">
        <v>15</v>
      </c>
    </row>
    <row r="86" spans="1:6" ht="13.5">
      <c r="A86" s="3113">
        <v>14</v>
      </c>
      <c r="B86" s="3841"/>
      <c r="C86" s="3087" t="s">
        <v>2678</v>
      </c>
      <c r="D86" s="3087" t="s">
        <v>2679</v>
      </c>
      <c r="E86" s="3113">
        <v>0.1</v>
      </c>
      <c r="F86" s="3113">
        <v>15</v>
      </c>
    </row>
    <row r="87" spans="1:6" ht="13.5">
      <c r="A87" s="3113">
        <v>15</v>
      </c>
      <c r="B87" s="3841"/>
      <c r="C87" s="3087" t="s">
        <v>2680</v>
      </c>
      <c r="D87" s="3087" t="s">
        <v>2681</v>
      </c>
      <c r="E87" s="3113">
        <v>0.1</v>
      </c>
      <c r="F87" s="3113">
        <v>15</v>
      </c>
    </row>
    <row r="88" spans="1:6" ht="24">
      <c r="A88" s="3113">
        <v>16</v>
      </c>
      <c r="B88" s="3841"/>
      <c r="C88" s="3087" t="s">
        <v>2682</v>
      </c>
      <c r="D88" s="3087" t="s">
        <v>2683</v>
      </c>
      <c r="E88" s="3113">
        <v>0.1</v>
      </c>
      <c r="F88" s="3113">
        <v>15</v>
      </c>
    </row>
    <row r="89" spans="1:6" ht="24">
      <c r="A89" s="3113">
        <v>17</v>
      </c>
      <c r="B89" s="3850"/>
      <c r="C89" s="3087" t="s">
        <v>2684</v>
      </c>
      <c r="D89" s="3087" t="s">
        <v>2685</v>
      </c>
      <c r="E89" s="3113">
        <v>0.1</v>
      </c>
      <c r="F89" s="3113">
        <v>15</v>
      </c>
    </row>
    <row r="90" spans="1:6" ht="13.5">
      <c r="A90" s="3113">
        <v>18</v>
      </c>
      <c r="B90" s="3846" t="s">
        <v>2686</v>
      </c>
      <c r="C90" s="3087" t="s">
        <v>2687</v>
      </c>
      <c r="D90" s="3087" t="s">
        <v>2688</v>
      </c>
      <c r="E90" s="3113">
        <v>0.2</v>
      </c>
      <c r="F90" s="3113">
        <v>25</v>
      </c>
    </row>
    <row r="91" spans="1:6" ht="24">
      <c r="A91" s="3113">
        <v>19</v>
      </c>
      <c r="B91" s="3841"/>
      <c r="C91" s="3087" t="s">
        <v>2689</v>
      </c>
      <c r="D91" s="3087" t="s">
        <v>2690</v>
      </c>
      <c r="E91" s="3113">
        <v>0.2</v>
      </c>
      <c r="F91" s="3113">
        <v>25</v>
      </c>
    </row>
    <row r="92" spans="1:6" ht="13.5">
      <c r="A92" s="3113">
        <v>20</v>
      </c>
      <c r="B92" s="3841"/>
      <c r="C92" s="3087" t="s">
        <v>2691</v>
      </c>
      <c r="D92" s="3087" t="s">
        <v>2692</v>
      </c>
      <c r="E92" s="3113">
        <v>0.15</v>
      </c>
      <c r="F92" s="3113">
        <v>20</v>
      </c>
    </row>
    <row r="93" spans="1:6" ht="13.5">
      <c r="A93" s="3113">
        <v>21</v>
      </c>
      <c r="B93" s="3841"/>
      <c r="C93" s="3087" t="s">
        <v>2693</v>
      </c>
      <c r="D93" s="3087" t="s">
        <v>2694</v>
      </c>
      <c r="E93" s="3113">
        <v>0.15</v>
      </c>
      <c r="F93" s="3113">
        <v>20</v>
      </c>
    </row>
    <row r="94" spans="1:6" ht="13.5">
      <c r="A94" s="3113">
        <v>22</v>
      </c>
      <c r="B94" s="3841"/>
      <c r="C94" s="3087" t="s">
        <v>2695</v>
      </c>
      <c r="D94" s="3087" t="s">
        <v>2696</v>
      </c>
      <c r="E94" s="3113">
        <v>0.15</v>
      </c>
      <c r="F94" s="3113">
        <v>20</v>
      </c>
    </row>
    <row r="95" spans="1:6" ht="36">
      <c r="A95" s="3113">
        <v>23</v>
      </c>
      <c r="B95" s="3841"/>
      <c r="C95" s="3087" t="s">
        <v>2697</v>
      </c>
      <c r="D95" s="3087" t="s">
        <v>2698</v>
      </c>
      <c r="E95" s="3113">
        <v>0.15</v>
      </c>
      <c r="F95" s="3113">
        <v>20</v>
      </c>
    </row>
    <row r="96" spans="1:6" ht="13.5">
      <c r="A96" s="3113">
        <v>24</v>
      </c>
      <c r="B96" s="3841"/>
      <c r="C96" s="3087" t="s">
        <v>2699</v>
      </c>
      <c r="D96" s="3087" t="s">
        <v>2700</v>
      </c>
      <c r="E96" s="3113">
        <v>0.1</v>
      </c>
      <c r="F96" s="3113">
        <v>15</v>
      </c>
    </row>
    <row r="97" spans="1:6" ht="13.5">
      <c r="A97" s="3113">
        <v>25</v>
      </c>
      <c r="B97" s="3841"/>
      <c r="C97" s="3087" t="s">
        <v>2701</v>
      </c>
      <c r="D97" s="3087" t="s">
        <v>2702</v>
      </c>
      <c r="E97" s="3113">
        <v>0.1</v>
      </c>
      <c r="F97" s="3113">
        <v>15</v>
      </c>
    </row>
    <row r="98" spans="1:6" ht="24">
      <c r="A98" s="3113">
        <v>26</v>
      </c>
      <c r="B98" s="3841"/>
      <c r="C98" s="3087" t="s">
        <v>2703</v>
      </c>
      <c r="D98" s="3087" t="s">
        <v>2704</v>
      </c>
      <c r="E98" s="3113">
        <v>0.1</v>
      </c>
      <c r="F98" s="3113">
        <v>15</v>
      </c>
    </row>
    <row r="99" spans="1:6" ht="24">
      <c r="A99" s="3113">
        <v>27</v>
      </c>
      <c r="B99" s="3841"/>
      <c r="C99" s="3087" t="s">
        <v>2705</v>
      </c>
      <c r="D99" s="3087" t="s">
        <v>2706</v>
      </c>
      <c r="E99" s="3113">
        <v>0.1</v>
      </c>
      <c r="F99" s="3113">
        <v>15</v>
      </c>
    </row>
    <row r="100" spans="1:6" ht="13.5">
      <c r="A100" s="3113">
        <v>28</v>
      </c>
      <c r="B100" s="3841"/>
      <c r="C100" s="3087" t="s">
        <v>2707</v>
      </c>
      <c r="D100" s="3087" t="s">
        <v>2708</v>
      </c>
      <c r="E100" s="3113">
        <v>0.1</v>
      </c>
      <c r="F100" s="3113">
        <v>15</v>
      </c>
    </row>
    <row r="101" spans="1:6" ht="13.5">
      <c r="A101" s="3113">
        <v>29</v>
      </c>
      <c r="B101" s="3841"/>
      <c r="C101" s="3087" t="s">
        <v>2709</v>
      </c>
      <c r="D101" s="3087" t="s">
        <v>2710</v>
      </c>
      <c r="E101" s="3113">
        <v>0.1</v>
      </c>
      <c r="F101" s="3113">
        <v>15</v>
      </c>
    </row>
    <row r="102" spans="1:6" ht="13.5">
      <c r="A102" s="3113">
        <v>30</v>
      </c>
      <c r="B102" s="3841"/>
      <c r="C102" s="3087" t="s">
        <v>2711</v>
      </c>
      <c r="D102" s="3087" t="s">
        <v>2712</v>
      </c>
      <c r="E102" s="3113">
        <v>0.1</v>
      </c>
      <c r="F102" s="3113">
        <v>15</v>
      </c>
    </row>
    <row r="103" spans="1:6" ht="24">
      <c r="A103" s="3113">
        <v>31</v>
      </c>
      <c r="B103" s="3841"/>
      <c r="C103" s="3087" t="s">
        <v>2713</v>
      </c>
      <c r="D103" s="3087" t="s">
        <v>2714</v>
      </c>
      <c r="E103" s="3113">
        <v>0.1</v>
      </c>
      <c r="F103" s="3113">
        <v>15</v>
      </c>
    </row>
    <row r="104" spans="1:6" ht="24">
      <c r="A104" s="3113">
        <v>32</v>
      </c>
      <c r="B104" s="3841"/>
      <c r="C104" s="3087" t="s">
        <v>2715</v>
      </c>
      <c r="D104" s="3087" t="s">
        <v>2716</v>
      </c>
      <c r="E104" s="3113">
        <v>0.1</v>
      </c>
      <c r="F104" s="3113">
        <v>15</v>
      </c>
    </row>
    <row r="105" spans="1:6" ht="24">
      <c r="A105" s="3113">
        <v>33</v>
      </c>
      <c r="B105" s="3841"/>
      <c r="C105" s="3087" t="s">
        <v>2717</v>
      </c>
      <c r="D105" s="3087" t="s">
        <v>2718</v>
      </c>
      <c r="E105" s="3113">
        <v>0.1</v>
      </c>
      <c r="F105" s="3113">
        <v>15</v>
      </c>
    </row>
    <row r="106" spans="1:6" ht="24">
      <c r="A106" s="3113">
        <v>34</v>
      </c>
      <c r="B106" s="3850"/>
      <c r="C106" s="3087" t="s">
        <v>2719</v>
      </c>
      <c r="D106" s="3087" t="s">
        <v>2720</v>
      </c>
      <c r="E106" s="3113">
        <v>0.1</v>
      </c>
      <c r="F106" s="3113">
        <v>15</v>
      </c>
    </row>
    <row r="107" spans="1:6" ht="24">
      <c r="A107" s="3113">
        <v>35</v>
      </c>
      <c r="B107" s="3846" t="s">
        <v>2721</v>
      </c>
      <c r="C107" s="3113" t="s">
        <v>2722</v>
      </c>
      <c r="D107" s="3087" t="s">
        <v>2723</v>
      </c>
      <c r="E107" s="3113">
        <v>0.15</v>
      </c>
      <c r="F107" s="3113">
        <v>20</v>
      </c>
    </row>
    <row r="108" spans="1:6" ht="13.5">
      <c r="A108" s="3113">
        <v>36</v>
      </c>
      <c r="B108" s="3841"/>
      <c r="C108" s="3113" t="s">
        <v>2724</v>
      </c>
      <c r="D108" s="3087" t="s">
        <v>2725</v>
      </c>
      <c r="E108" s="3113">
        <v>0.15</v>
      </c>
      <c r="F108" s="3113">
        <v>20</v>
      </c>
    </row>
    <row r="109" spans="1:6" ht="13.5">
      <c r="A109" s="3113">
        <v>37</v>
      </c>
      <c r="B109" s="3841"/>
      <c r="C109" s="3113" t="s">
        <v>2726</v>
      </c>
      <c r="D109" s="3087" t="s">
        <v>2727</v>
      </c>
      <c r="E109" s="3113">
        <v>0.15</v>
      </c>
      <c r="F109" s="3113">
        <v>20</v>
      </c>
    </row>
    <row r="110" spans="1:6" ht="13.5">
      <c r="A110" s="3113">
        <v>38</v>
      </c>
      <c r="B110" s="3841"/>
      <c r="C110" s="3113" t="s">
        <v>2728</v>
      </c>
      <c r="D110" s="3087" t="s">
        <v>2729</v>
      </c>
      <c r="E110" s="3113">
        <v>0.1</v>
      </c>
      <c r="F110" s="3113">
        <v>15</v>
      </c>
    </row>
    <row r="111" spans="1:6" ht="24">
      <c r="A111" s="3113">
        <v>39</v>
      </c>
      <c r="B111" s="3841"/>
      <c r="C111" s="3113" t="s">
        <v>2730</v>
      </c>
      <c r="D111" s="3087" t="s">
        <v>2731</v>
      </c>
      <c r="E111" s="3113">
        <v>0.1</v>
      </c>
      <c r="F111" s="3113">
        <v>15</v>
      </c>
    </row>
    <row r="112" spans="1:6" ht="24">
      <c r="A112" s="3113">
        <v>40</v>
      </c>
      <c r="B112" s="3850"/>
      <c r="C112" s="3113" t="s">
        <v>2732</v>
      </c>
      <c r="D112" s="3087" t="s">
        <v>2733</v>
      </c>
      <c r="E112" s="3113">
        <v>0.1</v>
      </c>
      <c r="F112" s="3113">
        <v>15</v>
      </c>
    </row>
    <row r="113" spans="1:6" ht="13.5">
      <c r="A113" s="3113">
        <v>41</v>
      </c>
      <c r="B113" s="3851" t="s">
        <v>2734</v>
      </c>
      <c r="C113" s="3113" t="s">
        <v>2735</v>
      </c>
      <c r="D113" s="3087" t="s">
        <v>2736</v>
      </c>
      <c r="E113" s="3113">
        <v>0.1</v>
      </c>
      <c r="F113" s="3113">
        <v>15</v>
      </c>
    </row>
    <row r="114" spans="1:6" ht="13.5">
      <c r="A114" s="3113">
        <v>42</v>
      </c>
      <c r="B114" s="3851"/>
      <c r="C114" s="3113" t="s">
        <v>2737</v>
      </c>
      <c r="D114" s="3087" t="s">
        <v>2738</v>
      </c>
      <c r="E114" s="3113">
        <v>0.1</v>
      </c>
      <c r="F114" s="3113">
        <v>15</v>
      </c>
    </row>
    <row r="115" spans="1:6" ht="24">
      <c r="A115" s="3113">
        <v>43</v>
      </c>
      <c r="B115" s="3851"/>
      <c r="C115" s="3113" t="s">
        <v>2739</v>
      </c>
      <c r="D115" s="3087" t="s">
        <v>2740</v>
      </c>
      <c r="E115" s="3113">
        <v>0.1</v>
      </c>
      <c r="F115" s="3113">
        <v>15</v>
      </c>
    </row>
    <row r="116" spans="1:6" ht="13.5">
      <c r="A116" s="3113">
        <v>44</v>
      </c>
      <c r="B116" s="3846" t="s">
        <v>2741</v>
      </c>
      <c r="C116" s="3113" t="s">
        <v>2742</v>
      </c>
      <c r="D116" s="3087" t="s">
        <v>2743</v>
      </c>
      <c r="E116" s="3113">
        <v>0.1</v>
      </c>
      <c r="F116" s="3113">
        <v>15</v>
      </c>
    </row>
    <row r="117" spans="1:6" ht="24">
      <c r="A117" s="3113">
        <v>45</v>
      </c>
      <c r="B117" s="3850"/>
      <c r="C117" s="3087" t="s">
        <v>2744</v>
      </c>
      <c r="D117" s="3087" t="s">
        <v>2745</v>
      </c>
      <c r="E117" s="3113">
        <v>0.1</v>
      </c>
      <c r="F117" s="3113">
        <v>15</v>
      </c>
    </row>
    <row r="118" spans="1:6" ht="24">
      <c r="A118" s="3113">
        <v>46</v>
      </c>
      <c r="B118" s="3846" t="s">
        <v>2746</v>
      </c>
      <c r="C118" s="3113" t="s">
        <v>2747</v>
      </c>
      <c r="D118" s="3087" t="s">
        <v>2748</v>
      </c>
      <c r="E118" s="3113">
        <v>0.1</v>
      </c>
      <c r="F118" s="3113">
        <v>15</v>
      </c>
    </row>
    <row r="119" spans="1:6" ht="24">
      <c r="A119" s="3113">
        <v>47</v>
      </c>
      <c r="B119" s="3850"/>
      <c r="C119" s="3113" t="s">
        <v>2749</v>
      </c>
      <c r="D119" s="3087" t="s">
        <v>2750</v>
      </c>
      <c r="E119" s="3113">
        <v>0.1</v>
      </c>
      <c r="F119" s="3113">
        <v>15</v>
      </c>
    </row>
    <row r="120" spans="1:6" ht="13.5">
      <c r="A120" s="3113">
        <v>48</v>
      </c>
      <c r="B120" s="3846" t="s">
        <v>2751</v>
      </c>
      <c r="C120" s="3113" t="s">
        <v>2752</v>
      </c>
      <c r="D120" s="3087" t="s">
        <v>2753</v>
      </c>
      <c r="E120" s="3113">
        <v>0.1</v>
      </c>
      <c r="F120" s="3113">
        <v>15</v>
      </c>
    </row>
    <row r="121" spans="1:6" ht="13.5">
      <c r="A121" s="3113">
        <v>49</v>
      </c>
      <c r="B121" s="3850"/>
      <c r="C121" s="3113" t="s">
        <v>2754</v>
      </c>
      <c r="D121" s="3087" t="s">
        <v>2755</v>
      </c>
      <c r="E121" s="3113">
        <v>0.1</v>
      </c>
      <c r="F121" s="3113">
        <v>15</v>
      </c>
    </row>
    <row r="122" spans="1:6" ht="24">
      <c r="A122" s="3113">
        <v>50</v>
      </c>
      <c r="B122" s="3851" t="s">
        <v>2756</v>
      </c>
      <c r="C122" s="3113" t="s">
        <v>2757</v>
      </c>
      <c r="D122" s="3087" t="s">
        <v>2758</v>
      </c>
      <c r="E122" s="3113">
        <v>0.1</v>
      </c>
      <c r="F122" s="3113">
        <v>15</v>
      </c>
    </row>
    <row r="123" spans="1:6" ht="24">
      <c r="A123" s="3113">
        <v>51</v>
      </c>
      <c r="B123" s="3851"/>
      <c r="C123" s="3113" t="s">
        <v>2759</v>
      </c>
      <c r="D123" s="3087" t="s">
        <v>2760</v>
      </c>
      <c r="E123" s="3113">
        <v>0.1</v>
      </c>
      <c r="F123" s="3113">
        <v>15</v>
      </c>
    </row>
    <row r="124" spans="1:6" ht="24">
      <c r="A124" s="3113">
        <v>52</v>
      </c>
      <c r="B124" s="3851" t="s">
        <v>2761</v>
      </c>
      <c r="C124" s="3113" t="s">
        <v>2762</v>
      </c>
      <c r="D124" s="3087" t="s">
        <v>2763</v>
      </c>
      <c r="E124" s="3113">
        <v>0.1</v>
      </c>
      <c r="F124" s="3113">
        <v>15</v>
      </c>
    </row>
    <row r="125" spans="1:6" ht="24">
      <c r="A125" s="3113">
        <v>53</v>
      </c>
      <c r="B125" s="3851"/>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851" t="s">
        <v>2769</v>
      </c>
      <c r="C127" s="3113" t="s">
        <v>2770</v>
      </c>
      <c r="D127" s="3087" t="s">
        <v>2771</v>
      </c>
      <c r="E127" s="3113">
        <v>0.1</v>
      </c>
      <c r="F127" s="3113">
        <v>15</v>
      </c>
    </row>
    <row r="128" spans="1:6" ht="13.5">
      <c r="A128" s="3113">
        <v>56</v>
      </c>
      <c r="B128" s="3851"/>
      <c r="C128" s="3113" t="s">
        <v>2772</v>
      </c>
      <c r="D128" s="3087" t="s">
        <v>2773</v>
      </c>
      <c r="E128" s="3113">
        <v>0.1</v>
      </c>
      <c r="F128" s="3113">
        <v>15</v>
      </c>
    </row>
    <row r="129" spans="1:6" ht="24">
      <c r="A129" s="3113">
        <v>57</v>
      </c>
      <c r="B129" s="3851"/>
      <c r="C129" s="3113" t="s">
        <v>2774</v>
      </c>
      <c r="D129" s="3087" t="s">
        <v>2775</v>
      </c>
      <c r="E129" s="3113">
        <v>0.1</v>
      </c>
      <c r="F129" s="3113">
        <v>15</v>
      </c>
    </row>
    <row r="130" spans="1:6" ht="24">
      <c r="A130" s="3113">
        <v>58</v>
      </c>
      <c r="B130" s="3851" t="s">
        <v>2776</v>
      </c>
      <c r="C130" s="3113" t="s">
        <v>2777</v>
      </c>
      <c r="D130" s="3087" t="s">
        <v>2778</v>
      </c>
      <c r="E130" s="3113">
        <v>0.1</v>
      </c>
      <c r="F130" s="3113">
        <v>15</v>
      </c>
    </row>
    <row r="131" spans="1:6" ht="13.5">
      <c r="A131" s="3113">
        <v>59</v>
      </c>
      <c r="B131" s="3851"/>
      <c r="C131" s="3113" t="s">
        <v>2779</v>
      </c>
      <c r="D131" s="3087" t="s">
        <v>2780</v>
      </c>
      <c r="E131" s="3113">
        <v>0.1</v>
      </c>
      <c r="F131" s="3113">
        <v>15</v>
      </c>
    </row>
    <row r="132" spans="1:6" ht="13.5">
      <c r="A132" s="3113">
        <v>60</v>
      </c>
      <c r="B132" s="3846" t="s">
        <v>2781</v>
      </c>
      <c r="C132" s="3113" t="s">
        <v>2782</v>
      </c>
      <c r="D132" s="3087" t="s">
        <v>2783</v>
      </c>
      <c r="E132" s="3113">
        <v>0.1</v>
      </c>
      <c r="F132" s="3113">
        <v>15</v>
      </c>
    </row>
    <row r="133" spans="1:6" ht="13.5">
      <c r="A133" s="3113">
        <v>61</v>
      </c>
      <c r="B133" s="3850"/>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851" t="s">
        <v>2789</v>
      </c>
      <c r="C135" s="3113" t="s">
        <v>2790</v>
      </c>
      <c r="D135" s="3087" t="s">
        <v>2791</v>
      </c>
      <c r="E135" s="3113">
        <v>0.1</v>
      </c>
      <c r="F135" s="3113">
        <v>15</v>
      </c>
    </row>
    <row r="136" spans="1:6" ht="13.5">
      <c r="A136" s="3113">
        <v>64</v>
      </c>
      <c r="B136" s="3851"/>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2798</v>
      </c>
      <c r="B1" s="3122"/>
      <c r="C1" s="3122"/>
      <c r="D1" s="3122"/>
      <c r="E1" s="3122"/>
      <c r="F1" s="3122"/>
      <c r="G1" s="3122"/>
      <c r="H1" s="3122"/>
      <c r="I1" s="3122"/>
      <c r="J1" s="3122"/>
      <c r="K1" s="3122"/>
      <c r="L1" s="3122"/>
      <c r="M1" s="3122"/>
      <c r="N1" s="748"/>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49">
        <f>SUMPRODUCT((A95:A184=ROUNDDOWN(基准地价修正!G3,1))*(B94:M94=基准地价修正!G2)*(B95:M184))</f>
        <v>0</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49">
        <f>SUMPRODUCT((A371:A460=ROUNDDOWN(基准地价修正!G3,1))*(B370:M370=基准地价修正!G2)*(B371:M460))</f>
        <v>0</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27115</v>
      </c>
      <c r="C2" s="2" t="s">
        <v>106</v>
      </c>
      <c r="D2" s="199"/>
      <c r="E2" s="199"/>
      <c r="F2" s="199"/>
      <c r="G2" s="199"/>
    </row>
    <row r="3" spans="1:7" s="200" customFormat="1" ht="18" customHeight="1" thickBot="1">
      <c r="A3" s="203" t="s">
        <v>58</v>
      </c>
      <c r="B3" s="204">
        <f ca="1">ROUND(B2*10000/'数据-汇总表'!E3,0)</f>
        <v>2336694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1</v>
      </c>
      <c r="D9" s="844">
        <f>'数据-汇总表'!E5</f>
        <v>86.99</v>
      </c>
      <c r="E9" s="225">
        <f>'数据-取费表'!B27</f>
        <v>150</v>
      </c>
      <c r="F9" s="221"/>
      <c r="G9" s="226"/>
    </row>
    <row r="10" spans="1:7" s="214" customFormat="1" ht="13.5" customHeight="1">
      <c r="A10" s="778" t="s">
        <v>356</v>
      </c>
      <c r="B10" s="224" t="s">
        <v>67</v>
      </c>
      <c r="C10" s="225">
        <f>ROUND(D10*E10/10000,0)</f>
        <v>1</v>
      </c>
      <c r="D10" s="844">
        <f>'数据-汇总表'!E6</f>
        <v>29.049999999999997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116.03999999999999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2523</v>
      </c>
      <c r="D27" s="235">
        <f>C29</f>
        <v>2.3999999999999998E-3</v>
      </c>
      <c r="E27" s="236" t="s">
        <v>99</v>
      </c>
      <c r="F27" s="246">
        <f>'数据-取费表'!Q16</f>
        <v>0.12</v>
      </c>
      <c r="G27" s="247" t="s">
        <v>431</v>
      </c>
    </row>
    <row r="28" spans="1:7" s="214" customFormat="1" ht="13.5" customHeight="1">
      <c r="A28" s="779" t="s">
        <v>349</v>
      </c>
      <c r="B28" s="248" t="s">
        <v>424</v>
      </c>
      <c r="C28" s="249">
        <f>ROUND((C5+C19+C20)*F27*'数据-取费表'!B21/'数据-取费表'!B20,0)</f>
        <v>2523</v>
      </c>
      <c r="D28" s="235"/>
      <c r="E28" s="236"/>
      <c r="F28" s="246"/>
      <c r="G28" s="247"/>
    </row>
    <row r="29" spans="1:7" s="214" customFormat="1" ht="13.5" customHeight="1">
      <c r="A29" s="779" t="s">
        <v>347</v>
      </c>
      <c r="B29" s="248" t="s">
        <v>425</v>
      </c>
      <c r="C29" s="238">
        <f>ROUND(C21*F27*'数据-取费表'!B21/'数据-取费表'!B20,4)</f>
        <v>2.3999999999999998E-3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27050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79" t="s">
        <v>353</v>
      </c>
      <c r="B37" s="215" t="s">
        <v>91</v>
      </c>
      <c r="C37" s="249">
        <f>ROUND(E37*D37*F34/10000,0)</f>
        <v>2</v>
      </c>
      <c r="D37" s="217">
        <f>'数据-汇总表'!E3</f>
        <v>116.03999999999999</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759" t="s">
        <v>94</v>
      </c>
    </row>
    <row r="43" spans="1:7" ht="13.5" customHeight="1">
      <c r="A43" s="779" t="s">
        <v>347</v>
      </c>
      <c r="B43" s="215" t="s">
        <v>426</v>
      </c>
      <c r="C43" s="238">
        <f ca="1">ROUND(IF('数据-取费表'!B22&lt;=1,C39*F22*'数据-取费表'!B21/2,C39*(POWER((1+F22),'数据-取费表'!B21/2)-1)),0)</f>
        <v>0</v>
      </c>
      <c r="D43" s="238"/>
      <c r="E43" s="238"/>
      <c r="F43" s="239"/>
      <c r="G43" s="3760"/>
    </row>
    <row r="44" spans="1:7" ht="13.5" customHeight="1">
      <c r="A44" s="779" t="s">
        <v>348</v>
      </c>
      <c r="B44" s="215" t="s">
        <v>428</v>
      </c>
      <c r="C44" s="238">
        <f ca="1">ROUND(IF('数据-取费表'!B22&lt;=1,C40*F22*'数据-取费表'!B21/2,C40*(POWER((1+F22),'数据-取费表'!B21/2)-1)),4)</f>
        <v>6.9999999999999999E-4</v>
      </c>
      <c r="D44" s="238"/>
      <c r="E44" s="238"/>
      <c r="F44" s="239"/>
      <c r="G44" s="3761"/>
    </row>
    <row r="45" spans="1:7" s="214" customFormat="1" ht="13.5" customHeight="1">
      <c r="A45" s="776" t="s">
        <v>341</v>
      </c>
      <c r="B45" s="244" t="s">
        <v>85</v>
      </c>
      <c r="C45" s="245">
        <f>C46</f>
        <v>6</v>
      </c>
      <c r="D45" s="235">
        <f>C47</f>
        <v>2.3999999999999998E-3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2.3999999999999998E-3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65</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65</v>
      </c>
      <c r="D51" s="232"/>
      <c r="E51" s="232"/>
      <c r="F51" s="264"/>
      <c r="G51" s="234" t="s">
        <v>37</v>
      </c>
    </row>
    <row r="52" spans="1:7" s="208" customFormat="1" ht="16.5" thickBot="1">
      <c r="A52" s="265" t="s">
        <v>38</v>
      </c>
      <c r="B52" s="266"/>
      <c r="C52" s="267">
        <f ca="1">C31+C51</f>
        <v>27115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54" t="s">
        <v>2841</v>
      </c>
      <c r="B1" s="3854"/>
      <c r="C1" s="3854"/>
      <c r="D1" s="3854"/>
      <c r="E1" s="3854"/>
      <c r="F1" s="3854"/>
      <c r="G1" s="3855"/>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852" t="s">
        <v>2868</v>
      </c>
      <c r="B3" s="3225"/>
      <c r="C3" s="3226" t="s">
        <v>2811</v>
      </c>
      <c r="D3" s="3226" t="s">
        <v>2869</v>
      </c>
      <c r="E3" s="3226" t="s">
        <v>2813</v>
      </c>
      <c r="F3" s="3226" t="s">
        <v>2870</v>
      </c>
      <c r="G3" s="3226" t="s">
        <v>2631</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853"/>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56" t="s">
        <v>3183</v>
      </c>
      <c r="B1" s="3856"/>
    </row>
    <row r="2" spans="1:7" ht="14.25" thickBot="1">
      <c r="A2" s="3250"/>
      <c r="B2" s="3250"/>
    </row>
    <row r="3" spans="1:7" ht="14.25" thickBot="1">
      <c r="A3" s="3250"/>
      <c r="B3" s="3250"/>
      <c r="C3" s="3251" t="s">
        <v>2811</v>
      </c>
      <c r="D3" s="3251" t="s">
        <v>2869</v>
      </c>
      <c r="E3" s="3251" t="s">
        <v>2813</v>
      </c>
      <c r="F3" s="3251" t="s">
        <v>2870</v>
      </c>
      <c r="G3" s="3251" t="s">
        <v>2631</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F17"/>
  <sheetViews>
    <sheetView workbookViewId="0">
      <selection sqref="A1:XFD1048576"/>
    </sheetView>
  </sheetViews>
  <sheetFormatPr defaultColWidth="13.25" defaultRowHeight="13.5"/>
  <cols>
    <col min="1" max="16384" width="13.25" style="3285"/>
  </cols>
  <sheetData>
    <row r="1" spans="1:6" ht="15">
      <c r="A1" s="3857" t="s">
        <v>3234</v>
      </c>
      <c r="B1" s="3857"/>
      <c r="C1" s="3857"/>
      <c r="D1" s="3857"/>
      <c r="E1" s="3857"/>
      <c r="F1" s="3858"/>
    </row>
    <row r="2" spans="1:6" ht="15">
      <c r="A2" s="3286" t="s">
        <v>3235</v>
      </c>
      <c r="B2" s="3287"/>
      <c r="C2" s="3287"/>
      <c r="D2" s="3287"/>
      <c r="E2" s="3287"/>
      <c r="F2" s="3287"/>
    </row>
    <row r="3" spans="1:6" ht="15">
      <c r="A3" s="3286" t="s">
        <v>3236</v>
      </c>
      <c r="B3" s="3287"/>
      <c r="C3" s="3287"/>
      <c r="D3" s="3287"/>
      <c r="E3" s="3287"/>
      <c r="F3" s="3288" t="s">
        <v>3237</v>
      </c>
    </row>
    <row r="4" spans="1:6">
      <c r="A4" s="3289" t="s">
        <v>669</v>
      </c>
      <c r="B4" s="3289" t="s">
        <v>670</v>
      </c>
      <c r="C4" s="3289" t="s">
        <v>21</v>
      </c>
      <c r="D4" s="3289" t="s">
        <v>671</v>
      </c>
      <c r="E4" s="3289" t="s">
        <v>3</v>
      </c>
      <c r="F4" s="3289" t="s">
        <v>3238</v>
      </c>
    </row>
    <row r="5" spans="1:6">
      <c r="A5" s="3290" t="s">
        <v>672</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2840</v>
      </c>
      <c r="C1" s="3206"/>
      <c r="D1" s="3206"/>
      <c r="E1" s="3206"/>
      <c r="F1" s="3206"/>
      <c r="G1" s="3206"/>
      <c r="H1" s="3206"/>
      <c r="I1" s="3206"/>
      <c r="J1" s="3160"/>
      <c r="K1" s="3206" t="s">
        <v>454</v>
      </c>
      <c r="L1" s="3206"/>
      <c r="M1" s="3206"/>
      <c r="N1" s="3206"/>
      <c r="O1" s="3206"/>
      <c r="P1" s="3206"/>
      <c r="Q1" s="3160"/>
      <c r="R1" s="3859" t="s">
        <v>456</v>
      </c>
      <c r="S1" s="3860"/>
      <c r="T1" s="3860"/>
      <c r="U1" s="3860"/>
      <c r="V1" s="3860"/>
      <c r="W1" s="3860"/>
      <c r="X1" s="3160"/>
      <c r="Y1" s="3859" t="s">
        <v>457</v>
      </c>
      <c r="Z1" s="3860"/>
      <c r="AA1" s="3860"/>
      <c r="AB1" s="3860"/>
      <c r="AC1" s="3860"/>
      <c r="AD1" s="3860"/>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2820</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2821</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2822</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2823</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2824</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2825</v>
      </c>
    </row>
    <row r="20" spans="1:30" s="3004" customFormat="1"/>
    <row r="21" spans="1:30" s="3204" customFormat="1" ht="12.75">
      <c r="B21" s="3205" t="s">
        <v>2826</v>
      </c>
      <c r="C21" s="3206"/>
      <c r="D21" s="3206"/>
      <c r="E21" s="3206"/>
      <c r="F21" s="3206"/>
      <c r="G21" s="3206"/>
      <c r="H21" s="3206"/>
      <c r="I21" s="3206"/>
      <c r="J21" s="3160"/>
      <c r="K21" s="3206" t="s">
        <v>2827</v>
      </c>
      <c r="L21" s="3206"/>
      <c r="M21" s="3206"/>
      <c r="N21" s="3206"/>
      <c r="O21" s="3206"/>
      <c r="P21" s="3206"/>
      <c r="Q21" s="3160"/>
      <c r="R21" s="3859" t="s">
        <v>2828</v>
      </c>
      <c r="S21" s="3860"/>
      <c r="T21" s="3860"/>
      <c r="U21" s="3860"/>
      <c r="V21" s="3860"/>
      <c r="W21" s="3860"/>
      <c r="X21" s="3160"/>
      <c r="Y21" s="3859" t="s">
        <v>2829</v>
      </c>
      <c r="Z21" s="3860"/>
      <c r="AA21" s="3860"/>
      <c r="AB21" s="3860"/>
      <c r="AC21" s="3860"/>
      <c r="AD21" s="3860"/>
    </row>
    <row r="22" spans="1:30" s="3138" customFormat="1" ht="14.25" thickBot="1">
      <c r="B22" s="3139"/>
      <c r="C22" s="3140"/>
      <c r="D22" s="3141" t="s">
        <v>2830</v>
      </c>
      <c r="E22" s="3142" t="s">
        <v>2831</v>
      </c>
      <c r="F22" s="3142" t="s">
        <v>2832</v>
      </c>
      <c r="G22" s="3142" t="s">
        <v>2833</v>
      </c>
      <c r="H22" s="3142"/>
      <c r="I22" s="3142" t="s">
        <v>2834</v>
      </c>
      <c r="J22" s="3143"/>
      <c r="K22" s="3141" t="s">
        <v>2830</v>
      </c>
      <c r="L22" s="3142" t="s">
        <v>2831</v>
      </c>
      <c r="M22" s="3142" t="s">
        <v>2832</v>
      </c>
      <c r="N22" s="3142" t="s">
        <v>2833</v>
      </c>
      <c r="O22" s="3142"/>
      <c r="P22" s="3142" t="s">
        <v>2834</v>
      </c>
      <c r="Q22" s="3143"/>
      <c r="R22" s="3141" t="s">
        <v>2830</v>
      </c>
      <c r="S22" s="3142" t="s">
        <v>2831</v>
      </c>
      <c r="T22" s="3142" t="s">
        <v>2832</v>
      </c>
      <c r="U22" s="3142" t="s">
        <v>2833</v>
      </c>
      <c r="V22" s="3142"/>
      <c r="W22" s="3142" t="s">
        <v>2834</v>
      </c>
      <c r="X22" s="3143"/>
      <c r="Y22" s="3141" t="s">
        <v>2830</v>
      </c>
      <c r="Z22" s="3142" t="s">
        <v>2831</v>
      </c>
      <c r="AA22" s="3142" t="s">
        <v>2832</v>
      </c>
      <c r="AB22" s="3142" t="s">
        <v>2833</v>
      </c>
      <c r="AC22" s="3142"/>
      <c r="AD22" s="3142" t="s">
        <v>2834</v>
      </c>
    </row>
    <row r="23" spans="1:30" s="3156" customFormat="1" ht="12.75">
      <c r="A23" s="3144" t="s">
        <v>2835</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2836</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2837</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2838</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2839</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2824</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40" t="str">
        <f>IF(项目基本情况!B9="房地产市场价值","估价结果一览表","结果表-2")</f>
        <v>结果表-2</v>
      </c>
      <c r="B1" s="3540"/>
      <c r="C1" s="3540"/>
      <c r="D1" s="3540"/>
      <c r="E1" s="3540"/>
      <c r="F1" s="3540"/>
      <c r="G1" s="3540"/>
      <c r="H1" s="3540"/>
      <c r="I1" s="3540"/>
    </row>
    <row r="2" spans="1:9" ht="30" customHeight="1" thickTop="1">
      <c r="A2" s="3541" t="s">
        <v>925</v>
      </c>
      <c r="B2" s="3541" t="s">
        <v>926</v>
      </c>
      <c r="C2" s="3541" t="s">
        <v>927</v>
      </c>
      <c r="D2" s="3541" t="str">
        <f>'结果表-住宅基准'!D116</f>
        <v>出让国有建设用地使用权价值</v>
      </c>
      <c r="E2" s="3541"/>
      <c r="F2" s="3541" t="str">
        <f>'结果表-住宅基准'!F116</f>
        <v>在建建筑物价值</v>
      </c>
      <c r="G2" s="3541"/>
      <c r="H2" s="3541" t="str">
        <f>IF(项目基本情况!B9="房地产市场价值","房地产市场价值","房地产价值")</f>
        <v>房地产价值</v>
      </c>
      <c r="I2" s="3541"/>
    </row>
    <row r="3" spans="1:9" ht="15">
      <c r="A3" s="3542"/>
      <c r="B3" s="3542"/>
      <c r="C3" s="3542"/>
      <c r="D3" s="853" t="s">
        <v>922</v>
      </c>
      <c r="E3" s="853" t="s">
        <v>928</v>
      </c>
      <c r="F3" s="853" t="s">
        <v>922</v>
      </c>
      <c r="G3" s="853" t="s">
        <v>923</v>
      </c>
      <c r="H3" s="853" t="s">
        <v>922</v>
      </c>
      <c r="I3" s="853" t="s">
        <v>923</v>
      </c>
    </row>
    <row r="4" spans="1:9" ht="15">
      <c r="A4" s="1502" t="str">
        <f>项目基本情况!S2</f>
        <v>北京市房地产</v>
      </c>
      <c r="B4" s="853">
        <f>项目基本情况!C17</f>
        <v>116.03999999999999</v>
      </c>
      <c r="C4" s="853">
        <f>项目基本情况!C18</f>
        <v>0</v>
      </c>
      <c r="D4" s="853">
        <f ca="1">'结果表-住宅基准'!D118</f>
        <v>252</v>
      </c>
      <c r="E4" s="853">
        <f ca="1">'结果表-住宅基准'!E118</f>
        <v>28925</v>
      </c>
      <c r="F4" s="853">
        <f ca="1">'结果表-住宅基准'!F118</f>
        <v>55</v>
      </c>
      <c r="G4" s="853">
        <f ca="1">'结果表-住宅基准'!G118</f>
        <v>6349</v>
      </c>
      <c r="H4" s="853">
        <f ca="1">'结果表-住宅基准'!H118</f>
        <v>307</v>
      </c>
      <c r="I4" s="853">
        <f ca="1">'结果表-住宅基准'!I118</f>
        <v>35274</v>
      </c>
    </row>
    <row r="5" spans="1:9" ht="30" customHeight="1">
      <c r="A5" s="3542" t="s">
        <v>924</v>
      </c>
      <c r="B5" s="3542"/>
      <c r="C5" s="3542"/>
      <c r="D5" s="3542" t="str">
        <f ca="1">'结果表-住宅基准'!D119</f>
        <v>贰佰伍拾贰万元整</v>
      </c>
      <c r="E5" s="3542"/>
      <c r="F5" s="3542" t="str">
        <f ca="1">'结果表-住宅基准'!F119</f>
        <v>伍拾伍万元整</v>
      </c>
      <c r="G5" s="3542"/>
      <c r="H5" s="3542" t="str">
        <f ca="1">'结果表-住宅基准'!H119</f>
        <v>叁佰零柒万元整</v>
      </c>
      <c r="I5" s="3542"/>
    </row>
    <row r="6" spans="1:9" ht="15.75">
      <c r="A6" s="3543" t="str">
        <f>'结果表-住宅基准'!A120</f>
        <v>估价师知悉的法定优先受偿款</v>
      </c>
      <c r="B6" s="3543"/>
      <c r="C6" s="3543"/>
      <c r="D6" s="3543">
        <f>'结果表-住宅基准'!D120</f>
        <v>0</v>
      </c>
      <c r="E6" s="3543"/>
      <c r="F6" s="3543"/>
      <c r="G6" s="3543"/>
      <c r="H6" s="3543"/>
      <c r="I6" s="3543"/>
    </row>
    <row r="7" spans="1:9" ht="15">
      <c r="A7" s="3542" t="s">
        <v>924</v>
      </c>
      <c r="B7" s="3542"/>
      <c r="C7" s="3542"/>
      <c r="D7" s="3544" t="str">
        <f>'结果表-住宅基准'!D121</f>
        <v>零元整</v>
      </c>
      <c r="E7" s="3545"/>
      <c r="F7" s="3545"/>
      <c r="G7" s="3545"/>
      <c r="H7" s="3545"/>
      <c r="I7" s="3546"/>
    </row>
    <row r="8" spans="1:9" ht="15.75">
      <c r="A8" s="3543" t="str">
        <f>'结果表-住宅基准'!A122</f>
        <v>房地产抵押价值</v>
      </c>
      <c r="B8" s="3543"/>
      <c r="C8" s="3543"/>
      <c r="D8" s="3543">
        <f ca="1">'结果表-住宅基准'!D122</f>
        <v>307</v>
      </c>
      <c r="E8" s="3543"/>
      <c r="F8" s="3543"/>
      <c r="G8" s="3543"/>
      <c r="H8" s="3543"/>
      <c r="I8" s="3543"/>
    </row>
    <row r="9" spans="1:9" ht="15">
      <c r="A9" s="3542" t="s">
        <v>924</v>
      </c>
      <c r="B9" s="3542"/>
      <c r="C9" s="3542"/>
      <c r="D9" s="3542" t="str">
        <f ca="1">'结果表-住宅基准'!D123</f>
        <v>叁佰零柒万元整</v>
      </c>
      <c r="E9" s="3542"/>
      <c r="F9" s="3542"/>
      <c r="G9" s="3542"/>
      <c r="H9" s="3542"/>
      <c r="I9" s="3542"/>
    </row>
    <row r="10" spans="1:9" ht="15.75">
      <c r="A10" s="3543" t="str">
        <f>'结果表-住宅基准'!A124</f>
        <v/>
      </c>
      <c r="B10" s="3543"/>
      <c r="C10" s="3543"/>
      <c r="D10" s="3543" t="str">
        <f>'结果表-住宅基准'!D124</f>
        <v>——</v>
      </c>
      <c r="E10" s="3543"/>
      <c r="F10" s="3543"/>
      <c r="G10" s="3543"/>
      <c r="H10" s="3543"/>
      <c r="I10" s="3543"/>
    </row>
    <row r="11" spans="1:9" ht="15">
      <c r="A11" s="3542" t="s">
        <v>924</v>
      </c>
      <c r="B11" s="3542"/>
      <c r="C11" s="3542"/>
      <c r="D11" s="3542" t="e">
        <f>'结果表-住宅基准'!D125</f>
        <v>#VALUE!</v>
      </c>
      <c r="E11" s="3542"/>
      <c r="F11" s="3542"/>
      <c r="G11" s="3542"/>
      <c r="H11" s="3542"/>
      <c r="I11" s="3542"/>
    </row>
    <row r="12" spans="1:9" ht="15.75">
      <c r="A12" s="3543" t="str">
        <f>'结果表-住宅基准'!A126</f>
        <v>抵押净值</v>
      </c>
      <c r="B12" s="3543"/>
      <c r="C12" s="3543"/>
      <c r="D12" s="3543">
        <f ca="1">'结果表-住宅基准'!D126</f>
        <v>46831</v>
      </c>
      <c r="E12" s="3543"/>
      <c r="F12" s="3543"/>
      <c r="G12" s="3543"/>
      <c r="H12" s="3543"/>
      <c r="I12" s="3543"/>
    </row>
    <row r="13" spans="1:9" ht="15.75" thickBot="1">
      <c r="A13" s="3547" t="s">
        <v>924</v>
      </c>
      <c r="B13" s="3547"/>
      <c r="C13" s="3547"/>
      <c r="D13" s="3547" t="str">
        <f ca="1">'结果表-住宅基准'!D127</f>
        <v>肆亿陆仟捌佰叁拾壹万元整</v>
      </c>
      <c r="E13" s="3547"/>
      <c r="F13" s="3547"/>
      <c r="G13" s="3547"/>
      <c r="H13" s="3547"/>
      <c r="I13" s="3547"/>
    </row>
    <row r="14" spans="1:9" ht="15" thickTop="1">
      <c r="A14" s="3548" t="s">
        <v>929</v>
      </c>
      <c r="B14" s="3548"/>
      <c r="C14" s="3548"/>
      <c r="D14" s="3548"/>
      <c r="E14" s="3548"/>
      <c r="F14" s="3548"/>
      <c r="G14" s="3548"/>
      <c r="H14" s="3548"/>
      <c r="I14" s="3548"/>
    </row>
    <row r="16" spans="1:9" ht="18.75">
      <c r="A16" s="1503" t="s">
        <v>912</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6" t="s">
        <v>452</v>
      </c>
      <c r="C1" s="3866"/>
      <c r="D1" s="3866"/>
      <c r="E1" s="3866"/>
      <c r="F1" s="3866"/>
      <c r="G1" s="3862" t="s">
        <v>453</v>
      </c>
      <c r="H1" s="3862"/>
      <c r="I1" s="3862"/>
      <c r="J1" s="3862"/>
      <c r="K1" s="3862"/>
      <c r="L1" s="3862"/>
      <c r="N1" s="3862" t="s">
        <v>454</v>
      </c>
      <c r="O1" s="3862"/>
      <c r="P1" s="3862"/>
      <c r="Q1" s="3862"/>
      <c r="S1" s="3862" t="s">
        <v>455</v>
      </c>
      <c r="T1" s="3862"/>
      <c r="U1" s="3862"/>
      <c r="V1" s="3862"/>
      <c r="X1" s="3861" t="s">
        <v>456</v>
      </c>
      <c r="Y1" s="3862"/>
      <c r="Z1" s="3862"/>
      <c r="AA1" s="3862"/>
      <c r="AB1" s="3862"/>
      <c r="AD1" s="3861" t="s">
        <v>457</v>
      </c>
      <c r="AE1" s="3862"/>
      <c r="AF1" s="3862"/>
      <c r="AG1" s="3862"/>
      <c r="AH1" s="3862"/>
    </row>
    <row r="2" spans="1:34" s="2167" customFormat="1" ht="14.25" thickBot="1">
      <c r="B2" s="2168" t="s">
        <v>458</v>
      </c>
      <c r="C2" s="2168" t="s">
        <v>459</v>
      </c>
      <c r="D2" s="2169" t="s">
        <v>460</v>
      </c>
      <c r="E2" s="2169" t="s">
        <v>461</v>
      </c>
      <c r="F2" s="2168" t="s">
        <v>462</v>
      </c>
      <c r="G2" s="2170"/>
      <c r="I2" s="2168" t="s">
        <v>458</v>
      </c>
      <c r="J2" s="2169" t="s">
        <v>673</v>
      </c>
      <c r="K2" s="2169" t="s">
        <v>308</v>
      </c>
      <c r="L2" s="2168" t="s">
        <v>462</v>
      </c>
      <c r="N2" s="2168" t="s">
        <v>458</v>
      </c>
      <c r="O2" s="2169" t="s">
        <v>673</v>
      </c>
      <c r="P2" s="2169" t="s">
        <v>308</v>
      </c>
      <c r="Q2" s="2168" t="s">
        <v>462</v>
      </c>
      <c r="S2" s="2168" t="s">
        <v>458</v>
      </c>
      <c r="T2" s="2169" t="s">
        <v>673</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2110</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2111</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2126</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2124</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2123</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2122</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2120</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2119</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2121</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64">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2117</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64"/>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2116</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64"/>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2109</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71"/>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2107</v>
      </c>
      <c r="B25" s="2215">
        <v>439</v>
      </c>
      <c r="C25" s="2215">
        <v>327</v>
      </c>
      <c r="D25" s="2215">
        <f>C25</f>
        <v>327</v>
      </c>
      <c r="E25" s="2215">
        <v>627</v>
      </c>
      <c r="F25" s="2216">
        <v>283</v>
      </c>
      <c r="G25" s="3867">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2108</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64"/>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674</v>
      </c>
      <c r="B27" s="2201">
        <f t="shared" si="232"/>
        <v>419.31181600000002</v>
      </c>
      <c r="C27" s="2201">
        <f t="shared" si="233"/>
        <v>313.95436800000004</v>
      </c>
      <c r="D27" s="2201">
        <f t="shared" si="234"/>
        <v>313.95436800000004</v>
      </c>
      <c r="E27" s="2201">
        <f t="shared" si="235"/>
        <v>596.63028431999999</v>
      </c>
      <c r="F27" s="2201">
        <f t="shared" si="236"/>
        <v>274.74220703999998</v>
      </c>
      <c r="G27" s="3864"/>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71"/>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7">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64"/>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64"/>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5"/>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63">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64"/>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64"/>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5"/>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63">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64"/>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64"/>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5"/>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8">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9"/>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9"/>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70"/>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63">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64"/>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64"/>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5"/>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63">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64">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64">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5">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63">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64">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64">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5">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63">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64">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64">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5">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63">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64">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64">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5">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63">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64">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64">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5">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63">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64">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64">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5">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63">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64">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64">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5">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63">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64">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64">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5">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63">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64">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64">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5">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63">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64">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64">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5">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2309</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K19" sqref="K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74" t="s">
        <v>2081</v>
      </c>
      <c r="D1" s="3775"/>
      <c r="E1" s="3775"/>
      <c r="F1" s="3775"/>
      <c r="G1" s="3775"/>
      <c r="H1" s="3775"/>
      <c r="I1" s="3775"/>
      <c r="J1" s="3775"/>
      <c r="K1" s="3775"/>
      <c r="L1" s="3775"/>
      <c r="M1" s="3775"/>
      <c r="N1" s="3775"/>
      <c r="O1" s="3775"/>
      <c r="P1" s="3775"/>
      <c r="Q1" s="3775"/>
      <c r="R1" s="3775"/>
      <c r="S1" s="3776"/>
      <c r="T1" s="982" t="s">
        <v>2082</v>
      </c>
    </row>
    <row r="2" spans="1:45" s="655" customFormat="1" ht="25.5">
      <c r="A2" s="983"/>
      <c r="B2" s="651" t="s">
        <v>2083</v>
      </c>
      <c r="C2" s="652" t="str">
        <f t="shared" ref="C2:L2" si="0">C3&amp;"(含)"&amp;"-"&amp;D3</f>
        <v>20(含)-25</v>
      </c>
      <c r="D2" s="653" t="str">
        <f t="shared" si="0"/>
        <v>25(含)-30</v>
      </c>
      <c r="E2" s="653" t="str">
        <f t="shared" si="0"/>
        <v>30(含)-35</v>
      </c>
      <c r="F2" s="653" t="str">
        <f t="shared" si="0"/>
        <v>35(含)-40</v>
      </c>
      <c r="G2" s="653" t="str">
        <f t="shared" si="0"/>
        <v>40(含)-50</v>
      </c>
      <c r="H2" s="653" t="str">
        <f t="shared" si="0"/>
        <v>50(含)-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20</v>
      </c>
      <c r="D3" s="657">
        <v>25</v>
      </c>
      <c r="E3" s="657">
        <v>30</v>
      </c>
      <c r="F3" s="657">
        <v>35</v>
      </c>
      <c r="G3" s="657">
        <v>40</v>
      </c>
      <c r="H3" s="657">
        <v>50</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v>95</v>
      </c>
      <c r="E4" s="988">
        <v>92</v>
      </c>
      <c r="F4" s="988">
        <v>88</v>
      </c>
      <c r="G4" s="988">
        <v>85</v>
      </c>
      <c r="H4" s="988">
        <v>80</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517" t="s">
        <v>4077</v>
      </c>
      <c r="C5" s="3518"/>
      <c r="D5" s="3519"/>
      <c r="E5" s="995"/>
      <c r="F5" s="1309"/>
      <c r="G5" s="1309"/>
      <c r="H5" s="1309"/>
      <c r="I5" s="1309"/>
      <c r="J5" s="1309"/>
      <c r="K5" s="1309"/>
      <c r="L5" s="1310"/>
      <c r="M5" s="1311"/>
      <c r="N5" s="1311"/>
      <c r="O5" s="1309"/>
      <c r="P5" s="1309"/>
      <c r="Q5" s="1309"/>
      <c r="R5" s="1309"/>
      <c r="S5" s="1312"/>
      <c r="T5" s="997">
        <v>30</v>
      </c>
      <c r="U5" s="727"/>
      <c r="V5" s="3528" t="s">
        <v>4111</v>
      </c>
      <c r="W5" s="3528" t="s">
        <v>4109</v>
      </c>
      <c r="X5" s="3528" t="s">
        <v>4110</v>
      </c>
      <c r="Y5" s="3528" t="s">
        <v>4112</v>
      </c>
      <c r="Z5" s="3528" t="s">
        <v>4113</v>
      </c>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70</v>
      </c>
      <c r="E6" s="901">
        <f t="shared" ref="E6:S6" si="7">D6-$T5</f>
        <v>40</v>
      </c>
      <c r="F6" s="1313">
        <f t="shared" si="7"/>
        <v>10</v>
      </c>
      <c r="G6" s="1313">
        <f t="shared" si="7"/>
        <v>-20</v>
      </c>
      <c r="H6" s="1313">
        <f t="shared" si="7"/>
        <v>-50</v>
      </c>
      <c r="I6" s="1313">
        <f t="shared" si="7"/>
        <v>-80</v>
      </c>
      <c r="J6" s="1313">
        <f t="shared" si="7"/>
        <v>-110</v>
      </c>
      <c r="K6" s="1313">
        <f t="shared" si="7"/>
        <v>-140</v>
      </c>
      <c r="L6" s="1313">
        <f t="shared" si="7"/>
        <v>-170</v>
      </c>
      <c r="M6" s="1313">
        <f t="shared" si="7"/>
        <v>-200</v>
      </c>
      <c r="N6" s="1313">
        <f t="shared" si="7"/>
        <v>-230</v>
      </c>
      <c r="O6" s="1313">
        <f t="shared" si="7"/>
        <v>-260</v>
      </c>
      <c r="P6" s="1313">
        <f t="shared" si="7"/>
        <v>-290</v>
      </c>
      <c r="Q6" s="1313">
        <f t="shared" si="7"/>
        <v>-320</v>
      </c>
      <c r="R6" s="1313">
        <f t="shared" si="7"/>
        <v>-350</v>
      </c>
      <c r="S6" s="1313">
        <f t="shared" si="7"/>
        <v>-380</v>
      </c>
      <c r="T6" s="900"/>
      <c r="U6" s="727"/>
      <c r="V6" s="727">
        <v>29.05</v>
      </c>
      <c r="W6" s="727">
        <v>12</v>
      </c>
      <c r="X6" s="727">
        <v>4041</v>
      </c>
      <c r="Y6" s="727">
        <v>1</v>
      </c>
      <c r="Z6" s="727">
        <v>1</v>
      </c>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v>21.6</v>
      </c>
      <c r="W7" s="727">
        <v>9</v>
      </c>
      <c r="X7" s="727">
        <v>4286</v>
      </c>
      <c r="Y7" s="727">
        <f>W7/W6-1</f>
        <v>-0.25</v>
      </c>
      <c r="Z7" s="727">
        <f>X7/X6-1</f>
        <v>6.0628557287800033E-2</v>
      </c>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v>44.78</v>
      </c>
      <c r="W8" s="727">
        <v>16</v>
      </c>
      <c r="X8" s="727">
        <v>3607</v>
      </c>
      <c r="Y8" s="727">
        <f>W8/W6-1</f>
        <v>0.33333333333333326</v>
      </c>
      <c r="Z8" s="727">
        <f>X8/X6-1</f>
        <v>-0.10739915862410299</v>
      </c>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v>50.65</v>
      </c>
      <c r="W9" s="727">
        <v>17</v>
      </c>
      <c r="X9" s="727">
        <v>3395</v>
      </c>
      <c r="Y9" s="727">
        <f>W9/W6-1</f>
        <v>0.41666666666666674</v>
      </c>
      <c r="Z9" s="727">
        <f>X9/X6-1</f>
        <v>-0.15986142044048501</v>
      </c>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3"/>
      <c r="D17" s="3503"/>
      <c r="E17" s="3503"/>
      <c r="F17" s="3503"/>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964</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4041</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2385.4199999999992</v>
      </c>
      <c r="C22" s="3777" t="s">
        <v>27</v>
      </c>
      <c r="D22" s="3778"/>
      <c r="E22" s="3778"/>
      <c r="F22" s="3778"/>
      <c r="G22" s="3778"/>
      <c r="H22" s="3778"/>
      <c r="I22" s="3778"/>
      <c r="J22" s="3778"/>
      <c r="K22" s="3778"/>
      <c r="L22" s="3778"/>
      <c r="M22" s="3778"/>
      <c r="N22" s="3778"/>
      <c r="O22" s="3778"/>
      <c r="P22" s="3778"/>
      <c r="Q22" s="3779"/>
      <c r="R22" s="662">
        <f ca="1">ROUND(S22*10000/B22,0)</f>
        <v>4041</v>
      </c>
      <c r="S22" s="21">
        <f ca="1">SUM(S24:S10000)</f>
        <v>964</v>
      </c>
    </row>
    <row r="23" spans="1:45" s="9" customFormat="1" ht="24">
      <c r="A23" s="8" t="s">
        <v>2097</v>
      </c>
      <c r="B23" s="8" t="s">
        <v>2098</v>
      </c>
      <c r="C23" s="8" t="s">
        <v>2099</v>
      </c>
      <c r="D23" s="8" t="str">
        <f>B5</f>
        <v>车库类型</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二期车位清单!C2</f>
        <v>B1002</v>
      </c>
      <c r="B24" s="664">
        <f>二期车位清单!E2</f>
        <v>29.05</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4037</v>
      </c>
      <c r="S24" s="665">
        <f t="shared" ref="S24:S54" ca="1" si="11">ROUND(R24*B24/10000,0)</f>
        <v>12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二期车位清单!C3</f>
        <v>B1011</v>
      </c>
      <c r="B25" s="54">
        <f>二期车位清单!E3</f>
        <v>29.05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4037</v>
      </c>
      <c r="S25" s="316">
        <f t="shared" ca="1" si="11"/>
        <v>12</v>
      </c>
    </row>
    <row r="26" spans="1:45">
      <c r="A26" s="150" t="str">
        <f>二期车位清单!C4</f>
        <v>B1012</v>
      </c>
      <c r="B26" s="54">
        <f>二期车位清单!E4</f>
        <v>29.05</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4037</v>
      </c>
      <c r="S26" s="316">
        <f t="shared" ca="1" si="11"/>
        <v>12</v>
      </c>
    </row>
    <row r="27" spans="1:45">
      <c r="A27" s="150" t="str">
        <f>二期车位清单!C5</f>
        <v>B1015</v>
      </c>
      <c r="B27" s="54">
        <f>二期车位清单!E5</f>
        <v>29.05</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4037</v>
      </c>
      <c r="S27" s="316">
        <f t="shared" ca="1" si="11"/>
        <v>12</v>
      </c>
    </row>
    <row r="28" spans="1:45">
      <c r="A28" s="150" t="str">
        <f>二期车位清单!C6</f>
        <v>B1017</v>
      </c>
      <c r="B28" s="54">
        <f>二期车位清单!E6</f>
        <v>29.05</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4037</v>
      </c>
      <c r="S28" s="316">
        <f t="shared" ca="1" si="11"/>
        <v>12</v>
      </c>
    </row>
    <row r="29" spans="1:45">
      <c r="A29" s="150" t="str">
        <f>二期车位清单!C7</f>
        <v>B1020</v>
      </c>
      <c r="B29" s="54">
        <f>二期车位清单!E7</f>
        <v>29.05</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4037</v>
      </c>
      <c r="S29" s="316">
        <f t="shared" ca="1" si="11"/>
        <v>12</v>
      </c>
    </row>
    <row r="30" spans="1:45">
      <c r="A30" s="150" t="str">
        <f>二期车位清单!C8</f>
        <v>B1026</v>
      </c>
      <c r="B30" s="54">
        <f>二期车位清单!E8</f>
        <v>29.05</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4037</v>
      </c>
      <c r="S30" s="316">
        <f t="shared" ca="1" si="11"/>
        <v>12</v>
      </c>
    </row>
    <row r="31" spans="1:45">
      <c r="A31" s="150" t="str">
        <f>二期车位清单!C9</f>
        <v>B1029</v>
      </c>
      <c r="B31" s="54">
        <f>二期车位清单!E9</f>
        <v>29.05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4037</v>
      </c>
      <c r="S31" s="316">
        <f t="shared" ca="1" si="11"/>
        <v>12</v>
      </c>
    </row>
    <row r="32" spans="1:45">
      <c r="A32" s="150" t="str">
        <f>二期车位清单!C10</f>
        <v>B1033</v>
      </c>
      <c r="B32" s="54">
        <f>二期车位清单!E10</f>
        <v>29.05</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4037</v>
      </c>
      <c r="S32" s="316">
        <f t="shared" ca="1" si="11"/>
        <v>12</v>
      </c>
    </row>
    <row r="33" spans="1:19">
      <c r="A33" s="150" t="str">
        <f>二期车位清单!C11</f>
        <v>B1034</v>
      </c>
      <c r="B33" s="54">
        <f>二期车位清单!E11</f>
        <v>29.05</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4037</v>
      </c>
      <c r="S33" s="316">
        <f t="shared" ca="1" si="11"/>
        <v>12</v>
      </c>
    </row>
    <row r="34" spans="1:19">
      <c r="A34" s="150" t="str">
        <f>二期车位清单!C12</f>
        <v>B1038</v>
      </c>
      <c r="B34" s="54">
        <f>二期车位清单!E12</f>
        <v>29.05</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4037</v>
      </c>
      <c r="S34" s="316">
        <f t="shared" ca="1" si="11"/>
        <v>12</v>
      </c>
    </row>
    <row r="35" spans="1:19">
      <c r="A35" s="150" t="str">
        <f>二期车位清单!C13</f>
        <v>B1039</v>
      </c>
      <c r="B35" s="54">
        <f>二期车位清单!E13</f>
        <v>29.05</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4037</v>
      </c>
      <c r="S35" s="316">
        <f t="shared" ca="1" si="11"/>
        <v>12</v>
      </c>
    </row>
    <row r="36" spans="1:19">
      <c r="A36" s="150" t="str">
        <f>二期车位清单!C14</f>
        <v>B1040</v>
      </c>
      <c r="B36" s="54">
        <f>二期车位清单!E14</f>
        <v>29.05</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4037</v>
      </c>
      <c r="S36" s="316">
        <f t="shared" ca="1" si="11"/>
        <v>12</v>
      </c>
    </row>
    <row r="37" spans="1:19">
      <c r="A37" s="150" t="str">
        <f>二期车位清单!C15</f>
        <v>B1043</v>
      </c>
      <c r="B37" s="54">
        <f>二期车位清单!E15</f>
        <v>29.05</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4037</v>
      </c>
      <c r="S37" s="316">
        <f t="shared" ca="1" si="11"/>
        <v>12</v>
      </c>
    </row>
    <row r="38" spans="1:19">
      <c r="A38" s="150" t="str">
        <f>二期车位清单!C16</f>
        <v>B1045</v>
      </c>
      <c r="B38" s="54">
        <f>二期车位清单!E16</f>
        <v>29.05</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ca="1" si="20"/>
        <v>4037</v>
      </c>
      <c r="S38" s="316">
        <f t="shared" ca="1" si="11"/>
        <v>12</v>
      </c>
    </row>
    <row r="39" spans="1:19">
      <c r="A39" s="150" t="str">
        <f>二期车位清单!C17</f>
        <v>B1046</v>
      </c>
      <c r="B39" s="54">
        <f>二期车位清单!E17</f>
        <v>29.05</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ca="1" si="20"/>
        <v>4037</v>
      </c>
      <c r="S39" s="316">
        <f t="shared" ca="1" si="11"/>
        <v>12</v>
      </c>
    </row>
    <row r="40" spans="1:19">
      <c r="A40" s="150" t="str">
        <f>二期车位清单!C18</f>
        <v>B1048</v>
      </c>
      <c r="B40" s="54">
        <f>二期车位清单!E18</f>
        <v>29.05</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ca="1" si="20"/>
        <v>4037</v>
      </c>
      <c r="S40" s="316">
        <f t="shared" ca="1" si="11"/>
        <v>12</v>
      </c>
    </row>
    <row r="41" spans="1:19">
      <c r="A41" s="150" t="str">
        <f>二期车位清单!C19</f>
        <v>B1049</v>
      </c>
      <c r="B41" s="54">
        <f>二期车位清单!E19</f>
        <v>29.05</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ca="1" si="20"/>
        <v>4037</v>
      </c>
      <c r="S41" s="316">
        <f t="shared" ca="1" si="11"/>
        <v>12</v>
      </c>
    </row>
    <row r="42" spans="1:19">
      <c r="A42" s="150" t="str">
        <f>二期车位清单!C20</f>
        <v>B1052</v>
      </c>
      <c r="B42" s="54">
        <f>二期车位清单!E20</f>
        <v>29.05</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ca="1" si="20"/>
        <v>4037</v>
      </c>
      <c r="S42" s="316">
        <f t="shared" ca="1" si="11"/>
        <v>12</v>
      </c>
    </row>
    <row r="43" spans="1:19">
      <c r="A43" s="150" t="str">
        <f>二期车位清单!C21</f>
        <v>B1054</v>
      </c>
      <c r="B43" s="54">
        <f>二期车位清单!E21</f>
        <v>29.05</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ca="1" si="20"/>
        <v>4037</v>
      </c>
      <c r="S43" s="316">
        <f t="shared" ca="1" si="11"/>
        <v>12</v>
      </c>
    </row>
    <row r="44" spans="1:19">
      <c r="A44" s="150" t="str">
        <f>二期车位清单!C22</f>
        <v>B1055</v>
      </c>
      <c r="B44" s="54">
        <f>二期车位清单!E22</f>
        <v>29.05</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ca="1" si="20"/>
        <v>4037</v>
      </c>
      <c r="S44" s="316">
        <f t="shared" ca="1" si="11"/>
        <v>12</v>
      </c>
    </row>
    <row r="45" spans="1:19">
      <c r="A45" s="150" t="str">
        <f>二期车位清单!C23</f>
        <v>B1057</v>
      </c>
      <c r="B45" s="54">
        <f>二期车位清单!E23</f>
        <v>29.05</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ca="1" si="20"/>
        <v>4037</v>
      </c>
      <c r="S45" s="316">
        <f t="shared" ca="1" si="11"/>
        <v>12</v>
      </c>
    </row>
    <row r="46" spans="1:19">
      <c r="A46" s="150" t="str">
        <f>二期车位清单!C24</f>
        <v>B1058</v>
      </c>
      <c r="B46" s="54">
        <f>二期车位清单!E24</f>
        <v>29.05</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ca="1" si="20"/>
        <v>4037</v>
      </c>
      <c r="S46" s="316">
        <f t="shared" ca="1" si="11"/>
        <v>12</v>
      </c>
    </row>
    <row r="47" spans="1:19">
      <c r="A47" s="150" t="str">
        <f>二期车位清单!C25</f>
        <v>B1060</v>
      </c>
      <c r="B47" s="54">
        <f>二期车位清单!E25</f>
        <v>29.05</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ca="1" si="20"/>
        <v>4037</v>
      </c>
      <c r="S47" s="316">
        <f t="shared" ca="1" si="11"/>
        <v>12</v>
      </c>
    </row>
    <row r="48" spans="1:19">
      <c r="A48" s="150" t="str">
        <f>二期车位清单!C26</f>
        <v>B1061</v>
      </c>
      <c r="B48" s="54">
        <f>二期车位清单!E26</f>
        <v>29.05</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ca="1" si="20"/>
        <v>4037</v>
      </c>
      <c r="S48" s="316">
        <f t="shared" ca="1" si="11"/>
        <v>12</v>
      </c>
    </row>
    <row r="49" spans="1:19">
      <c r="A49" s="150" t="str">
        <f>二期车位清单!C27</f>
        <v>B1062</v>
      </c>
      <c r="B49" s="54">
        <f>二期车位清单!E27</f>
        <v>29.05</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ca="1" si="20"/>
        <v>4037</v>
      </c>
      <c r="S49" s="316">
        <f t="shared" ca="1" si="11"/>
        <v>12</v>
      </c>
    </row>
    <row r="50" spans="1:19">
      <c r="A50" s="150" t="str">
        <f>二期车位清单!C28</f>
        <v>B1063</v>
      </c>
      <c r="B50" s="54">
        <f>二期车位清单!E28</f>
        <v>29.05</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ca="1" si="20"/>
        <v>4037</v>
      </c>
      <c r="S50" s="316">
        <f t="shared" ca="1" si="11"/>
        <v>12</v>
      </c>
    </row>
    <row r="51" spans="1:19">
      <c r="A51" s="150" t="str">
        <f>二期车位清单!C29</f>
        <v>B1064</v>
      </c>
      <c r="B51" s="54">
        <f>二期车位清单!E29</f>
        <v>29.05</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ca="1" si="20"/>
        <v>4037</v>
      </c>
      <c r="S51" s="316">
        <f t="shared" ca="1" si="11"/>
        <v>12</v>
      </c>
    </row>
    <row r="52" spans="1:19">
      <c r="A52" s="150" t="str">
        <f>二期车位清单!C30</f>
        <v>B1067</v>
      </c>
      <c r="B52" s="54">
        <f>二期车位清单!E30</f>
        <v>29.05</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ca="1" si="20"/>
        <v>4037</v>
      </c>
      <c r="S52" s="316">
        <f t="shared" ca="1" si="11"/>
        <v>12</v>
      </c>
    </row>
    <row r="53" spans="1:19">
      <c r="A53" s="150" t="str">
        <f>二期车位清单!C31</f>
        <v>B1068</v>
      </c>
      <c r="B53" s="54">
        <f>二期车位清单!E31</f>
        <v>29.05</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ca="1" si="20"/>
        <v>4037</v>
      </c>
      <c r="S53" s="316">
        <f t="shared" ca="1" si="11"/>
        <v>12</v>
      </c>
    </row>
    <row r="54" spans="1:19">
      <c r="A54" s="150" t="str">
        <f>二期车位清单!C32</f>
        <v>B1069</v>
      </c>
      <c r="B54" s="54">
        <f>二期车位清单!E32</f>
        <v>29.05</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ca="1" si="20"/>
        <v>4037</v>
      </c>
      <c r="S54" s="316">
        <f t="shared" ca="1" si="11"/>
        <v>12</v>
      </c>
    </row>
    <row r="55" spans="1:19">
      <c r="A55" s="150" t="str">
        <f>二期车位清单!C33</f>
        <v>B1070</v>
      </c>
      <c r="B55" s="54">
        <f>二期车位清单!E33</f>
        <v>29.05</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ca="1" si="20"/>
        <v>4037</v>
      </c>
      <c r="S55" s="316">
        <f t="shared" ref="S55:S77" ca="1" si="21">ROUND(R55*B55/10000,0)</f>
        <v>12</v>
      </c>
    </row>
    <row r="56" spans="1:19">
      <c r="A56" s="150" t="str">
        <f>二期车位清单!C34</f>
        <v>B1071</v>
      </c>
      <c r="B56" s="54">
        <f>二期车位清单!E34</f>
        <v>29.05</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ca="1" si="20"/>
        <v>4037</v>
      </c>
      <c r="S56" s="316">
        <f t="shared" ca="1" si="21"/>
        <v>12</v>
      </c>
    </row>
    <row r="57" spans="1:19">
      <c r="A57" s="150" t="str">
        <f>二期车位清单!C35</f>
        <v>B1072</v>
      </c>
      <c r="B57" s="54">
        <f>二期车位清单!E35</f>
        <v>29.05</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ca="1" si="20"/>
        <v>4037</v>
      </c>
      <c r="S57" s="316">
        <f t="shared" ca="1" si="21"/>
        <v>12</v>
      </c>
    </row>
    <row r="58" spans="1:19">
      <c r="A58" s="150" t="str">
        <f>二期车位清单!C36</f>
        <v>B1073</v>
      </c>
      <c r="B58" s="54">
        <f>二期车位清单!E36</f>
        <v>29.05</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ca="1" si="20"/>
        <v>4037</v>
      </c>
      <c r="S58" s="316">
        <f t="shared" ca="1" si="21"/>
        <v>12</v>
      </c>
    </row>
    <row r="59" spans="1:19">
      <c r="A59" s="150" t="str">
        <f>二期车位清单!C37</f>
        <v>B1074</v>
      </c>
      <c r="B59" s="54">
        <f>二期车位清单!E37</f>
        <v>29.05</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ca="1" si="20"/>
        <v>4037</v>
      </c>
      <c r="S59" s="316">
        <f t="shared" ca="1" si="21"/>
        <v>12</v>
      </c>
    </row>
    <row r="60" spans="1:19">
      <c r="A60" s="150" t="str">
        <f>二期车位清单!C38</f>
        <v>B1075</v>
      </c>
      <c r="B60" s="54">
        <f>二期车位清单!E38</f>
        <v>29.05</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ca="1" si="20"/>
        <v>4037</v>
      </c>
      <c r="S60" s="316">
        <f t="shared" ca="1" si="21"/>
        <v>12</v>
      </c>
    </row>
    <row r="61" spans="1:19">
      <c r="A61" s="150" t="str">
        <f>二期车位清单!C39</f>
        <v>B1076</v>
      </c>
      <c r="B61" s="54">
        <f>二期车位清单!E39</f>
        <v>29.05</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ca="1" si="20"/>
        <v>4037</v>
      </c>
      <c r="S61" s="316">
        <f t="shared" ca="1" si="21"/>
        <v>12</v>
      </c>
    </row>
    <row r="62" spans="1:19">
      <c r="A62" s="150" t="str">
        <f>二期车位清单!C40</f>
        <v>B1077</v>
      </c>
      <c r="B62" s="54">
        <f>二期车位清单!E40</f>
        <v>29.05</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ca="1" si="20"/>
        <v>4037</v>
      </c>
      <c r="S62" s="316">
        <f t="shared" ca="1" si="21"/>
        <v>12</v>
      </c>
    </row>
    <row r="63" spans="1:19">
      <c r="A63" s="150" t="str">
        <f>二期车位清单!C41</f>
        <v>B1078</v>
      </c>
      <c r="B63" s="54">
        <f>二期车位清单!E41</f>
        <v>29.05</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ca="1" si="20"/>
        <v>4037</v>
      </c>
      <c r="S63" s="316">
        <f t="shared" ca="1" si="21"/>
        <v>12</v>
      </c>
    </row>
    <row r="64" spans="1:19">
      <c r="A64" s="150" t="str">
        <f>二期车位清单!C42</f>
        <v>B1079</v>
      </c>
      <c r="B64" s="54">
        <f>二期车位清单!E42</f>
        <v>29.05</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ca="1" si="20"/>
        <v>4037</v>
      </c>
      <c r="S64" s="316">
        <f t="shared" ca="1" si="21"/>
        <v>12</v>
      </c>
    </row>
    <row r="65" spans="1:19">
      <c r="A65" s="150" t="str">
        <f>二期车位清单!C43</f>
        <v>B1082</v>
      </c>
      <c r="B65" s="54">
        <f>二期车位清单!E43</f>
        <v>29.05</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ca="1" si="20"/>
        <v>4037</v>
      </c>
      <c r="S65" s="316">
        <f t="shared" ca="1" si="21"/>
        <v>12</v>
      </c>
    </row>
    <row r="66" spans="1:19">
      <c r="A66" s="150" t="str">
        <f>二期车位清单!C44</f>
        <v>B1084</v>
      </c>
      <c r="B66" s="54">
        <f>二期车位清单!E44</f>
        <v>29.05</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ca="1" si="20"/>
        <v>4037</v>
      </c>
      <c r="S66" s="316">
        <f t="shared" ca="1" si="21"/>
        <v>12</v>
      </c>
    </row>
    <row r="67" spans="1:19">
      <c r="A67" s="150" t="str">
        <f>二期车位清单!C45</f>
        <v>B1085</v>
      </c>
      <c r="B67" s="54">
        <f>二期车位清单!E45</f>
        <v>29.05</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ca="1" si="20"/>
        <v>4037</v>
      </c>
      <c r="S67" s="316">
        <f t="shared" ca="1" si="21"/>
        <v>12</v>
      </c>
    </row>
    <row r="68" spans="1:19">
      <c r="A68" s="150" t="str">
        <f>二期车位清单!C46</f>
        <v>B1088</v>
      </c>
      <c r="B68" s="54">
        <f>二期车位清单!E46</f>
        <v>29.05</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ca="1" si="20"/>
        <v>4037</v>
      </c>
      <c r="S68" s="316">
        <f t="shared" ca="1" si="21"/>
        <v>12</v>
      </c>
    </row>
    <row r="69" spans="1:19">
      <c r="A69" s="150" t="str">
        <f>二期车位清单!C47</f>
        <v>B1091</v>
      </c>
      <c r="B69" s="54">
        <f>二期车位清单!E47</f>
        <v>29.05</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ca="1" si="20"/>
        <v>4037</v>
      </c>
      <c r="S69" s="316">
        <f t="shared" ca="1" si="21"/>
        <v>12</v>
      </c>
    </row>
    <row r="70" spans="1:19">
      <c r="A70" s="150" t="str">
        <f>二期车位清单!C48</f>
        <v>B1093</v>
      </c>
      <c r="B70" s="54">
        <f>二期车位清单!E48</f>
        <v>29.05</v>
      </c>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ca="1" si="20"/>
        <v>4037</v>
      </c>
      <c r="S70" s="316">
        <f t="shared" ca="1" si="21"/>
        <v>12</v>
      </c>
    </row>
    <row r="71" spans="1:19">
      <c r="A71" s="150" t="str">
        <f>二期车位清单!C49</f>
        <v>B1094</v>
      </c>
      <c r="B71" s="54">
        <f>二期车位清单!E49</f>
        <v>29.05</v>
      </c>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ca="1" si="20"/>
        <v>4037</v>
      </c>
      <c r="S71" s="316">
        <f t="shared" ca="1" si="21"/>
        <v>12</v>
      </c>
    </row>
    <row r="72" spans="1:19">
      <c r="A72" s="150" t="str">
        <f>二期车位清单!C50</f>
        <v>B1096</v>
      </c>
      <c r="B72" s="54">
        <f>二期车位清单!E50</f>
        <v>44.78</v>
      </c>
      <c r="C72" s="21">
        <f t="shared" si="12"/>
        <v>0.9</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ca="1" si="20"/>
        <v>3633</v>
      </c>
      <c r="S72" s="316">
        <f t="shared" ca="1" si="21"/>
        <v>16</v>
      </c>
    </row>
    <row r="73" spans="1:19">
      <c r="A73" s="150" t="str">
        <f>二期车位清单!C51</f>
        <v>B1098</v>
      </c>
      <c r="B73" s="54">
        <f>二期车位清单!E51</f>
        <v>29.05</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ca="1" si="20"/>
        <v>4037</v>
      </c>
      <c r="S73" s="316">
        <f t="shared" ca="1" si="21"/>
        <v>12</v>
      </c>
    </row>
    <row r="74" spans="1:19">
      <c r="A74" s="150" t="str">
        <f>二期车位清单!C52</f>
        <v>B1101</v>
      </c>
      <c r="B74" s="54">
        <f>二期车位清单!E52</f>
        <v>21.6</v>
      </c>
      <c r="C74" s="21">
        <f t="shared" si="12"/>
        <v>1.05</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ca="1" si="20"/>
        <v>4239</v>
      </c>
      <c r="S74" s="316">
        <f t="shared" ca="1" si="21"/>
        <v>9</v>
      </c>
    </row>
    <row r="75" spans="1:19">
      <c r="A75" s="150" t="str">
        <f>二期车位清单!C53</f>
        <v>B1102</v>
      </c>
      <c r="B75" s="54">
        <f>二期车位清单!E53</f>
        <v>21.6</v>
      </c>
      <c r="C75" s="21">
        <f t="shared" si="12"/>
        <v>1.05</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ca="1" si="20"/>
        <v>4239</v>
      </c>
      <c r="S75" s="316">
        <f t="shared" ca="1" si="21"/>
        <v>9</v>
      </c>
    </row>
    <row r="76" spans="1:19">
      <c r="A76" s="150" t="str">
        <f>二期车位清单!C54</f>
        <v>B1103</v>
      </c>
      <c r="B76" s="54">
        <f>二期车位清单!E54</f>
        <v>21.6</v>
      </c>
      <c r="C76" s="21">
        <f t="shared" si="12"/>
        <v>1.05</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ca="1" si="20"/>
        <v>4239</v>
      </c>
      <c r="S76" s="316">
        <f t="shared" ca="1" si="21"/>
        <v>9</v>
      </c>
    </row>
    <row r="77" spans="1:19">
      <c r="A77" s="150" t="str">
        <f>二期车位清单!C55</f>
        <v>B1104</v>
      </c>
      <c r="B77" s="54">
        <f>二期车位清单!E55</f>
        <v>29.05</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ca="1" si="20"/>
        <v>4037</v>
      </c>
      <c r="S77" s="316">
        <f t="shared" ca="1" si="21"/>
        <v>12</v>
      </c>
    </row>
    <row r="78" spans="1:19">
      <c r="A78" s="150" t="str">
        <f>二期车位清单!C56</f>
        <v>B1108</v>
      </c>
      <c r="B78" s="54">
        <f>二期车位清单!E56</f>
        <v>29.05</v>
      </c>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ca="1" si="20"/>
        <v>4037</v>
      </c>
      <c r="S78" s="316">
        <f t="shared" ref="S78:S122" ca="1" si="22">ROUND(R78*B78/10000,0)</f>
        <v>12</v>
      </c>
    </row>
    <row r="79" spans="1:19">
      <c r="A79" s="150" t="str">
        <f>二期车位清单!C57</f>
        <v>B1110</v>
      </c>
      <c r="B79" s="54">
        <f>二期车位清单!E57</f>
        <v>29.05</v>
      </c>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ca="1" si="20"/>
        <v>4037</v>
      </c>
      <c r="S79" s="316">
        <f t="shared" ca="1" si="22"/>
        <v>12</v>
      </c>
    </row>
    <row r="80" spans="1:19">
      <c r="A80" s="150" t="str">
        <f>二期车位清单!C58</f>
        <v>B1111</v>
      </c>
      <c r="B80" s="54">
        <f>二期车位清单!E58</f>
        <v>29.05</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ca="1" si="20"/>
        <v>4037</v>
      </c>
      <c r="S80" s="316">
        <f t="shared" ca="1" si="22"/>
        <v>12</v>
      </c>
    </row>
    <row r="81" spans="1:19">
      <c r="A81" s="150" t="str">
        <f>二期车位清单!C59</f>
        <v>B1112</v>
      </c>
      <c r="B81" s="54">
        <f>二期车位清单!E59</f>
        <v>29.05</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ca="1" si="20"/>
        <v>4037</v>
      </c>
      <c r="S81" s="316">
        <f t="shared" ca="1" si="22"/>
        <v>12</v>
      </c>
    </row>
    <row r="82" spans="1:19">
      <c r="A82" s="150" t="str">
        <f>二期车位清单!C60</f>
        <v>B1113</v>
      </c>
      <c r="B82" s="54">
        <f>二期车位清单!E60</f>
        <v>29.05</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ca="1" si="20"/>
        <v>4037</v>
      </c>
      <c r="S82" s="316">
        <f t="shared" ca="1" si="22"/>
        <v>12</v>
      </c>
    </row>
    <row r="83" spans="1:19">
      <c r="A83" s="150" t="str">
        <f>二期车位清单!C61</f>
        <v>B1114</v>
      </c>
      <c r="B83" s="54">
        <f>二期车位清单!E61</f>
        <v>29.05</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ca="1" si="20"/>
        <v>4037</v>
      </c>
      <c r="S83" s="316">
        <f t="shared" ca="1" si="22"/>
        <v>12</v>
      </c>
    </row>
    <row r="84" spans="1:19">
      <c r="A84" s="150" t="str">
        <f>二期车位清单!C62</f>
        <v>B1115</v>
      </c>
      <c r="B84" s="54">
        <f>二期车位清单!E62</f>
        <v>29.05</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ca="1" si="20"/>
        <v>4037</v>
      </c>
      <c r="S84" s="316">
        <f t="shared" ca="1" si="22"/>
        <v>12</v>
      </c>
    </row>
    <row r="85" spans="1:19">
      <c r="A85" s="150" t="str">
        <f>二期车位清单!C63</f>
        <v>B1116</v>
      </c>
      <c r="B85" s="54">
        <f>二期车位清单!E63</f>
        <v>29.05</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ca="1" si="20"/>
        <v>4037</v>
      </c>
      <c r="S85" s="316">
        <f t="shared" ca="1" si="22"/>
        <v>12</v>
      </c>
    </row>
    <row r="86" spans="1:19">
      <c r="A86" s="150" t="str">
        <f>二期车位清单!C64</f>
        <v>B1118</v>
      </c>
      <c r="B86" s="54">
        <f>二期车位清单!E64</f>
        <v>29.05</v>
      </c>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ca="1" si="20"/>
        <v>4037</v>
      </c>
      <c r="S86" s="316">
        <f t="shared" ca="1" si="22"/>
        <v>12</v>
      </c>
    </row>
    <row r="87" spans="1:19">
      <c r="A87" s="150" t="str">
        <f>二期车位清单!C65</f>
        <v>B1120</v>
      </c>
      <c r="B87" s="54">
        <f>二期车位清单!E65</f>
        <v>29.05</v>
      </c>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ca="1" si="20"/>
        <v>4037</v>
      </c>
      <c r="S87" s="316">
        <f t="shared" ca="1" si="22"/>
        <v>12</v>
      </c>
    </row>
    <row r="88" spans="1:19">
      <c r="A88" s="150" t="str">
        <f>二期车位清单!C66</f>
        <v>B1121</v>
      </c>
      <c r="B88" s="54">
        <f>二期车位清单!E66</f>
        <v>50.65</v>
      </c>
      <c r="C88" s="21">
        <f t="shared" si="12"/>
        <v>0.85</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ca="1" si="20"/>
        <v>3431</v>
      </c>
      <c r="S88" s="316">
        <f t="shared" ca="1" si="22"/>
        <v>17</v>
      </c>
    </row>
    <row r="89" spans="1:19">
      <c r="A89" s="150" t="str">
        <f>二期车位清单!C67</f>
        <v>B1122</v>
      </c>
      <c r="B89" s="54">
        <f>二期车位清单!E67</f>
        <v>50.65</v>
      </c>
      <c r="C89" s="21">
        <f t="shared" si="12"/>
        <v>0.85</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ca="1" si="20"/>
        <v>3431</v>
      </c>
      <c r="S89" s="316">
        <f t="shared" ca="1" si="22"/>
        <v>17</v>
      </c>
    </row>
    <row r="90" spans="1:19">
      <c r="A90" s="150" t="str">
        <f>二期车位清单!C68</f>
        <v>B1123</v>
      </c>
      <c r="B90" s="54">
        <f>二期车位清单!E68</f>
        <v>29.05</v>
      </c>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ca="1" si="31">IF(B90="",0,ROUND($R$24*C90*E90*G90*I90*K90*M90*O90*Q90,0))</f>
        <v>4037</v>
      </c>
      <c r="S90" s="316">
        <f t="shared" ca="1" si="22"/>
        <v>12</v>
      </c>
    </row>
    <row r="91" spans="1:19">
      <c r="A91" s="150" t="str">
        <f>二期车位清单!C69</f>
        <v>B1126</v>
      </c>
      <c r="B91" s="54">
        <f>二期车位清单!E69</f>
        <v>29.05</v>
      </c>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ca="1" si="31"/>
        <v>4037</v>
      </c>
      <c r="S91" s="316">
        <f t="shared" ca="1" si="22"/>
        <v>12</v>
      </c>
    </row>
    <row r="92" spans="1:19">
      <c r="A92" s="150" t="str">
        <f>二期车位清单!C70</f>
        <v>B1130</v>
      </c>
      <c r="B92" s="54">
        <f>二期车位清单!E70</f>
        <v>44.78</v>
      </c>
      <c r="C92" s="21">
        <f t="shared" si="23"/>
        <v>0.9</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ca="1" si="31"/>
        <v>3633</v>
      </c>
      <c r="S92" s="316">
        <f t="shared" ca="1" si="22"/>
        <v>16</v>
      </c>
    </row>
    <row r="93" spans="1:19">
      <c r="A93" s="150" t="str">
        <f>二期车位清单!C71</f>
        <v>B1131</v>
      </c>
      <c r="B93" s="54">
        <f>二期车位清单!E71</f>
        <v>29.05</v>
      </c>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ca="1" si="31"/>
        <v>4037</v>
      </c>
      <c r="S93" s="316">
        <f t="shared" ca="1" si="22"/>
        <v>12</v>
      </c>
    </row>
    <row r="94" spans="1:19">
      <c r="A94" s="150" t="str">
        <f>二期车位清单!C72</f>
        <v>B1133</v>
      </c>
      <c r="B94" s="54">
        <f>二期车位清单!E72</f>
        <v>44.78</v>
      </c>
      <c r="C94" s="21">
        <f t="shared" si="23"/>
        <v>0.9</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ca="1" si="31"/>
        <v>3633</v>
      </c>
      <c r="S94" s="316">
        <f t="shared" ca="1" si="22"/>
        <v>16</v>
      </c>
    </row>
    <row r="95" spans="1:19">
      <c r="A95" s="150" t="str">
        <f>二期车位清单!C73</f>
        <v>B1134</v>
      </c>
      <c r="B95" s="54">
        <f>二期车位清单!E73</f>
        <v>29.05</v>
      </c>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ca="1" si="31"/>
        <v>4037</v>
      </c>
      <c r="S95" s="316">
        <f t="shared" ca="1" si="22"/>
        <v>12</v>
      </c>
    </row>
    <row r="96" spans="1:19">
      <c r="A96" s="150" t="str">
        <f>二期车位清单!C74</f>
        <v>B1143</v>
      </c>
      <c r="B96" s="54">
        <f>二期车位清单!E74</f>
        <v>29.05</v>
      </c>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ca="1" si="31"/>
        <v>4037</v>
      </c>
      <c r="S96" s="316">
        <f t="shared" ca="1" si="22"/>
        <v>12</v>
      </c>
    </row>
    <row r="97" spans="1:19">
      <c r="A97" s="150" t="str">
        <f>二期车位清单!C75</f>
        <v>B1148</v>
      </c>
      <c r="B97" s="54">
        <f>二期车位清单!E75</f>
        <v>29.05</v>
      </c>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ca="1" si="31"/>
        <v>4037</v>
      </c>
      <c r="S97" s="316">
        <f t="shared" ca="1" si="22"/>
        <v>12</v>
      </c>
    </row>
    <row r="98" spans="1:19">
      <c r="A98" s="150" t="str">
        <f>二期车位清单!C76</f>
        <v>B1152</v>
      </c>
      <c r="B98" s="54">
        <f>二期车位清单!E76</f>
        <v>21.6</v>
      </c>
      <c r="C98" s="21">
        <f t="shared" si="23"/>
        <v>1.05</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ca="1" si="31"/>
        <v>4239</v>
      </c>
      <c r="S98" s="316">
        <f t="shared" ca="1" si="22"/>
        <v>9</v>
      </c>
    </row>
    <row r="99" spans="1:19">
      <c r="A99" s="150" t="str">
        <f>二期车位清单!C77</f>
        <v>B1155</v>
      </c>
      <c r="B99" s="54">
        <f>二期车位清单!E77</f>
        <v>29.05</v>
      </c>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ca="1" si="31"/>
        <v>4037</v>
      </c>
      <c r="S99" s="316">
        <f t="shared" ca="1" si="22"/>
        <v>12</v>
      </c>
    </row>
    <row r="100" spans="1:19">
      <c r="A100" s="150" t="str">
        <f>二期车位清单!C78</f>
        <v>B1156</v>
      </c>
      <c r="B100" s="54">
        <f>二期车位清单!E78</f>
        <v>44.78</v>
      </c>
      <c r="C100" s="21">
        <f t="shared" si="23"/>
        <v>0.9</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ca="1" si="31"/>
        <v>3633</v>
      </c>
      <c r="S100" s="316">
        <f t="shared" ca="1" si="22"/>
        <v>16</v>
      </c>
    </row>
    <row r="101" spans="1:19">
      <c r="A101" s="150" t="str">
        <f>二期车位清单!C79</f>
        <v>B1157</v>
      </c>
      <c r="B101" s="54">
        <f>二期车位清单!E79</f>
        <v>21.6</v>
      </c>
      <c r="C101" s="21">
        <f t="shared" si="23"/>
        <v>1.05</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ca="1" si="31"/>
        <v>4239</v>
      </c>
      <c r="S101" s="316">
        <f t="shared" ca="1" si="22"/>
        <v>9</v>
      </c>
    </row>
    <row r="102" spans="1:19">
      <c r="A102" s="150" t="str">
        <f>二期车位清单!C80</f>
        <v>B1158</v>
      </c>
      <c r="B102" s="54">
        <f>二期车位清单!E80</f>
        <v>50.65</v>
      </c>
      <c r="C102" s="21">
        <f t="shared" si="23"/>
        <v>0.85</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ca="1" si="31"/>
        <v>3431</v>
      </c>
      <c r="S102" s="316">
        <f t="shared" ca="1" si="22"/>
        <v>17</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247"/>
  <sheetViews>
    <sheetView topLeftCell="A22" zoomScale="70" zoomScaleNormal="70" workbookViewId="0">
      <selection activeCell="Y24" sqref="Y24"/>
    </sheetView>
  </sheetViews>
  <sheetFormatPr defaultColWidth="9" defaultRowHeight="14.25"/>
  <cols>
    <col min="1" max="1" width="9" style="3464"/>
    <col min="2" max="2" width="7" style="3464" customWidth="1"/>
    <col min="3" max="3" width="10.875" style="3464" customWidth="1"/>
    <col min="4" max="4" width="10.375" style="3464" customWidth="1"/>
    <col min="5" max="16384" width="9" style="3464"/>
  </cols>
  <sheetData>
    <row r="2" spans="2:6">
      <c r="B2" s="3525" t="s">
        <v>4093</v>
      </c>
      <c r="C2" s="3525" t="s">
        <v>4094</v>
      </c>
      <c r="D2" s="3525" t="s">
        <v>4095</v>
      </c>
      <c r="E2" s="3525" t="s">
        <v>4100</v>
      </c>
      <c r="F2" s="3525" t="s">
        <v>4108</v>
      </c>
    </row>
    <row r="3" spans="2:6">
      <c r="B3" s="3524">
        <v>1</v>
      </c>
      <c r="C3" s="3524" t="str">
        <f>'典型户型修正-住宅'!A24</f>
        <v>22-1-401</v>
      </c>
      <c r="D3" s="3524">
        <f>'典型户型修正-住宅'!B24</f>
        <v>86.99</v>
      </c>
      <c r="E3" s="3524" t="s">
        <v>4101</v>
      </c>
      <c r="F3" s="3524">
        <f ca="1">'典型户型修正-住宅'!S24</f>
        <v>307</v>
      </c>
    </row>
    <row r="4" spans="2:6">
      <c r="B4" s="3524">
        <v>2</v>
      </c>
      <c r="C4" s="3524" t="str">
        <f>'典型户型修正-住宅'!A25</f>
        <v>22-1-102</v>
      </c>
      <c r="D4" s="3524">
        <f>'典型户型修正-住宅'!B25</f>
        <v>89.65</v>
      </c>
      <c r="E4" s="3524" t="s">
        <v>4101</v>
      </c>
      <c r="F4" s="3524">
        <f ca="1">'典型户型修正-住宅'!S25</f>
        <v>304</v>
      </c>
    </row>
    <row r="5" spans="2:6">
      <c r="B5" s="3524">
        <v>3</v>
      </c>
      <c r="C5" s="3524" t="str">
        <f>'典型户型修正-住宅'!A26</f>
        <v>22-1-202</v>
      </c>
      <c r="D5" s="3524">
        <f>'典型户型修正-住宅'!B26</f>
        <v>89.65</v>
      </c>
      <c r="E5" s="3524" t="s">
        <v>4101</v>
      </c>
      <c r="F5" s="3524">
        <f ca="1">'典型户型修正-住宅'!S26</f>
        <v>310</v>
      </c>
    </row>
    <row r="6" spans="2:6">
      <c r="B6" s="3524">
        <v>4</v>
      </c>
      <c r="C6" s="3524" t="str">
        <f>'典型户型修正-住宅'!A27</f>
        <v>22-1-301</v>
      </c>
      <c r="D6" s="3524">
        <f>'典型户型修正-住宅'!B27</f>
        <v>86.99</v>
      </c>
      <c r="E6" s="3524" t="s">
        <v>4101</v>
      </c>
      <c r="F6" s="3524">
        <f ca="1">'典型户型修正-住宅'!S27</f>
        <v>301</v>
      </c>
    </row>
    <row r="7" spans="2:6">
      <c r="B7" s="3524">
        <v>5</v>
      </c>
      <c r="C7" s="3524" t="str">
        <f>'典型户型修正-住宅'!A29</f>
        <v>22-1-402</v>
      </c>
      <c r="D7" s="3524">
        <f>'典型户型修正-住宅'!B29</f>
        <v>89.65</v>
      </c>
      <c r="E7" s="3524" t="s">
        <v>4101</v>
      </c>
      <c r="F7" s="3524">
        <f ca="1">'典型户型修正-住宅'!S29</f>
        <v>316</v>
      </c>
    </row>
    <row r="8" spans="2:6">
      <c r="B8" s="3524">
        <v>6</v>
      </c>
      <c r="C8" s="3524" t="str">
        <f>'典型户型修正-住宅'!A30</f>
        <v>22-1-601</v>
      </c>
      <c r="D8" s="3524">
        <f>'典型户型修正-住宅'!B30</f>
        <v>86.99</v>
      </c>
      <c r="E8" s="3524" t="s">
        <v>4101</v>
      </c>
      <c r="F8" s="3524">
        <f ca="1">'典型户型修正-住宅'!S30</f>
        <v>307</v>
      </c>
    </row>
    <row r="9" spans="2:6">
      <c r="B9" s="3524">
        <v>7</v>
      </c>
      <c r="C9" s="3524" t="str">
        <f>'典型户型修正-住宅'!A31</f>
        <v>22-1-801</v>
      </c>
      <c r="D9" s="3524">
        <f>'典型户型修正-住宅'!B31</f>
        <v>86.99</v>
      </c>
      <c r="E9" s="3524" t="s">
        <v>4101</v>
      </c>
      <c r="F9" s="3524">
        <f ca="1">'典型户型修正-住宅'!S31</f>
        <v>313</v>
      </c>
    </row>
    <row r="10" spans="2:6">
      <c r="B10" s="3524">
        <v>8</v>
      </c>
      <c r="C10" s="3524" t="str">
        <f>'典型户型修正-住宅'!A32</f>
        <v>22-2-901</v>
      </c>
      <c r="D10" s="3524">
        <f>'典型户型修正-住宅'!B32</f>
        <v>82.98</v>
      </c>
      <c r="E10" s="3524" t="s">
        <v>4101</v>
      </c>
      <c r="F10" s="3524">
        <f ca="1">'典型户型修正-住宅'!S32</f>
        <v>299</v>
      </c>
    </row>
    <row r="11" spans="2:6">
      <c r="B11" s="3524">
        <v>9</v>
      </c>
      <c r="C11" s="3524" t="str">
        <f>'典型户型修正-住宅'!A33</f>
        <v>18-1-101</v>
      </c>
      <c r="D11" s="3524">
        <f>'典型户型修正-住宅'!B33</f>
        <v>86.93</v>
      </c>
      <c r="E11" s="3524" t="s">
        <v>4101</v>
      </c>
      <c r="F11" s="3524">
        <f ca="1">'典型户型修正-住宅'!S33</f>
        <v>294</v>
      </c>
    </row>
    <row r="12" spans="2:6">
      <c r="B12" s="3524">
        <v>10</v>
      </c>
      <c r="C12" s="3524" t="str">
        <f>'典型户型修正-住宅'!A34</f>
        <v>18-1-301</v>
      </c>
      <c r="D12" s="3524">
        <f>'典型户型修正-住宅'!B34</f>
        <v>86.93</v>
      </c>
      <c r="E12" s="3524" t="s">
        <v>4101</v>
      </c>
      <c r="F12" s="3524">
        <f ca="1">'典型户型修正-住宅'!S34</f>
        <v>301</v>
      </c>
    </row>
    <row r="13" spans="2:6">
      <c r="B13" s="3524">
        <v>11</v>
      </c>
      <c r="C13" s="3524" t="str">
        <f>'典型户型修正-住宅'!A35</f>
        <v>18-2-101</v>
      </c>
      <c r="D13" s="3524">
        <f>'典型户型修正-住宅'!B35</f>
        <v>89.65</v>
      </c>
      <c r="E13" s="3524" t="s">
        <v>4101</v>
      </c>
      <c r="F13" s="3524">
        <f ca="1">'典型户型修正-住宅'!S35</f>
        <v>304</v>
      </c>
    </row>
    <row r="14" spans="2:6">
      <c r="B14" s="3524">
        <v>12</v>
      </c>
      <c r="C14" s="3524" t="str">
        <f>'典型户型修正-住宅'!A36</f>
        <v>18-2-1002</v>
      </c>
      <c r="D14" s="3524">
        <f>'典型户型修正-住宅'!B36</f>
        <v>86.99</v>
      </c>
      <c r="E14" s="3524" t="s">
        <v>4101</v>
      </c>
      <c r="F14" s="3524">
        <f ca="1">'典型户型修正-住宅'!S36</f>
        <v>295</v>
      </c>
    </row>
    <row r="15" spans="2:6">
      <c r="B15" s="3524">
        <v>13</v>
      </c>
      <c r="C15" s="3524" t="str">
        <f>'典型户型修正-住宅'!A37</f>
        <v>17-1-102</v>
      </c>
      <c r="D15" s="3524">
        <f>'典型户型修正-住宅'!B37</f>
        <v>89.7</v>
      </c>
      <c r="E15" s="3524" t="s">
        <v>4101</v>
      </c>
      <c r="F15" s="3524">
        <f ca="1">'典型户型修正-住宅'!S37</f>
        <v>310</v>
      </c>
    </row>
    <row r="16" spans="2:6">
      <c r="B16" s="3524">
        <v>14</v>
      </c>
      <c r="C16" s="3524" t="str">
        <f>'典型户型修正-住宅'!A38</f>
        <v>17-1-202</v>
      </c>
      <c r="D16" s="3524">
        <f>'典型户型修正-住宅'!B38</f>
        <v>89.7</v>
      </c>
      <c r="E16" s="3524" t="s">
        <v>4101</v>
      </c>
      <c r="F16" s="3524">
        <f ca="1">'典型户型修正-住宅'!S38</f>
        <v>310</v>
      </c>
    </row>
    <row r="17" spans="2:6">
      <c r="B17" s="3524">
        <v>15</v>
      </c>
      <c r="C17" s="3524" t="str">
        <f>'典型户型修正-住宅'!A39</f>
        <v>17-2-101</v>
      </c>
      <c r="D17" s="3524">
        <f>'典型户型修正-住宅'!B39</f>
        <v>89.7</v>
      </c>
      <c r="E17" s="3524" t="s">
        <v>4101</v>
      </c>
      <c r="F17" s="3524">
        <f ca="1">'典型户型修正-住宅'!S39</f>
        <v>304</v>
      </c>
    </row>
    <row r="18" spans="2:6">
      <c r="B18" s="3524">
        <v>16</v>
      </c>
      <c r="C18" s="3524" t="str">
        <f>'典型户型修正-住宅'!A40</f>
        <v>17-2-201</v>
      </c>
      <c r="D18" s="3524">
        <f>'典型户型修正-住宅'!B40</f>
        <v>89.7</v>
      </c>
      <c r="E18" s="3524" t="s">
        <v>4101</v>
      </c>
      <c r="F18" s="3524">
        <f ca="1">'典型户型修正-住宅'!S40</f>
        <v>310</v>
      </c>
    </row>
    <row r="19" spans="2:6">
      <c r="B19" s="3524">
        <v>17</v>
      </c>
      <c r="C19" s="3524" t="str">
        <f>'典型户型修正-住宅'!A41</f>
        <v>17-2-1001</v>
      </c>
      <c r="D19" s="3524">
        <f>'典型户型修正-住宅'!B41</f>
        <v>89.7</v>
      </c>
      <c r="E19" s="3524" t="s">
        <v>4101</v>
      </c>
      <c r="F19" s="3524">
        <f ca="1">'典型户型修正-住宅'!S41</f>
        <v>323</v>
      </c>
    </row>
    <row r="20" spans="2:6">
      <c r="B20" s="3524">
        <v>18</v>
      </c>
      <c r="C20" s="3524" t="str">
        <f>'典型户型修正-住宅'!A42</f>
        <v>15-1-101</v>
      </c>
      <c r="D20" s="3524">
        <f>'典型户型修正-住宅'!B42</f>
        <v>84.16</v>
      </c>
      <c r="E20" s="3524" t="s">
        <v>4101</v>
      </c>
      <c r="F20" s="3524">
        <f ca="1">'典型户型修正-住宅'!S42</f>
        <v>285</v>
      </c>
    </row>
    <row r="21" spans="2:6">
      <c r="B21" s="3524">
        <v>19</v>
      </c>
      <c r="C21" s="3524" t="str">
        <f>'典型户型修正-住宅'!A43</f>
        <v>15-1-201</v>
      </c>
      <c r="D21" s="3524">
        <f>'典型户型修正-住宅'!B43</f>
        <v>84.16</v>
      </c>
      <c r="E21" s="3524" t="s">
        <v>4101</v>
      </c>
      <c r="F21" s="3524">
        <f ca="1">'典型户型修正-住宅'!S43</f>
        <v>291</v>
      </c>
    </row>
    <row r="22" spans="2:6">
      <c r="B22" s="3524">
        <v>20</v>
      </c>
      <c r="C22" s="3524" t="str">
        <f>'典型户型修正-住宅'!A44</f>
        <v>15-1-501</v>
      </c>
      <c r="D22" s="3524">
        <f>'典型户型修正-住宅'!B44</f>
        <v>84.16</v>
      </c>
      <c r="E22" s="3524" t="s">
        <v>4101</v>
      </c>
      <c r="F22" s="3524">
        <f ca="1">'典型户型修正-住宅'!S44</f>
        <v>297</v>
      </c>
    </row>
    <row r="23" spans="2:6">
      <c r="B23" s="3524">
        <v>21</v>
      </c>
      <c r="C23" s="3524" t="str">
        <f>'典型户型修正-住宅'!A45</f>
        <v>15-2-102</v>
      </c>
      <c r="D23" s="3524">
        <f>'典型户型修正-住宅'!B45</f>
        <v>168.31</v>
      </c>
      <c r="E23" s="3524" t="s">
        <v>4101</v>
      </c>
      <c r="F23" s="3524">
        <f ca="1">'典型户型修正-住宅'!S45</f>
        <v>559</v>
      </c>
    </row>
    <row r="24" spans="2:6">
      <c r="B24" s="3524">
        <v>22</v>
      </c>
      <c r="C24" s="3524" t="str">
        <f>'典型户型修正-住宅'!A46</f>
        <v>15-2-702</v>
      </c>
      <c r="D24" s="3524">
        <f>'典型户型修正-住宅'!B46</f>
        <v>84.16</v>
      </c>
      <c r="E24" s="3524" t="s">
        <v>4101</v>
      </c>
      <c r="F24" s="3524">
        <f ca="1">'典型户型修正-住宅'!S46</f>
        <v>297</v>
      </c>
    </row>
    <row r="25" spans="2:6">
      <c r="B25" s="3524">
        <v>23</v>
      </c>
      <c r="C25" s="3524" t="str">
        <f>'典型户型修正-住宅'!A47</f>
        <v>15-2-802</v>
      </c>
      <c r="D25" s="3524">
        <f>'典型户型修正-住宅'!B47</f>
        <v>84.16</v>
      </c>
      <c r="E25" s="3524" t="s">
        <v>4101</v>
      </c>
      <c r="F25" s="3524">
        <f ca="1">'典型户型修正-住宅'!S47</f>
        <v>303</v>
      </c>
    </row>
    <row r="26" spans="2:6">
      <c r="B26" s="3524">
        <v>24</v>
      </c>
      <c r="C26" s="3524" t="str">
        <f>'典型户型修正-住宅'!A48</f>
        <v>15-2-902</v>
      </c>
      <c r="D26" s="3524">
        <f>'典型户型修正-住宅'!B48</f>
        <v>84.16</v>
      </c>
      <c r="E26" s="3524" t="s">
        <v>4101</v>
      </c>
      <c r="F26" s="3524">
        <f ca="1">'典型户型修正-住宅'!S48</f>
        <v>303</v>
      </c>
    </row>
    <row r="27" spans="2:6">
      <c r="B27" s="3524">
        <v>25</v>
      </c>
      <c r="C27" s="3524" t="str">
        <f>'典型户型修正-住宅'!A49</f>
        <v>15-2-1101</v>
      </c>
      <c r="D27" s="3524">
        <f>'典型户型修正-住宅'!B49</f>
        <v>109.42</v>
      </c>
      <c r="E27" s="3524" t="s">
        <v>4101</v>
      </c>
      <c r="F27" s="3524">
        <f ca="1">'典型户型修正-住宅'!S49</f>
        <v>367</v>
      </c>
    </row>
    <row r="28" spans="2:6">
      <c r="B28" s="3524">
        <v>26</v>
      </c>
      <c r="C28" s="3524" t="str">
        <f>'典型户型修正-住宅'!A50</f>
        <v>15-2-1102</v>
      </c>
      <c r="D28" s="3524">
        <f>'典型户型修正-住宅'!B50</f>
        <v>84.16</v>
      </c>
      <c r="E28" s="3524" t="s">
        <v>4101</v>
      </c>
      <c r="F28" s="3524">
        <f ca="1">'典型户型修正-住宅'!S50</f>
        <v>285</v>
      </c>
    </row>
    <row r="29" spans="2:6">
      <c r="B29" s="3524">
        <v>27</v>
      </c>
      <c r="C29" s="3524" t="str">
        <f>'典型户型修正-住宅'!A51</f>
        <v>16-1-102</v>
      </c>
      <c r="D29" s="3524">
        <f>'典型户型修正-住宅'!B51</f>
        <v>89.7</v>
      </c>
      <c r="E29" s="3524" t="s">
        <v>4101</v>
      </c>
      <c r="F29" s="3524">
        <f ca="1">'典型户型修正-住宅'!S51</f>
        <v>304</v>
      </c>
    </row>
    <row r="30" spans="2:6">
      <c r="B30" s="3524">
        <v>28</v>
      </c>
      <c r="C30" s="3524" t="str">
        <f>'典型户型修正-住宅'!A52</f>
        <v>16-1-201</v>
      </c>
      <c r="D30" s="3524">
        <f>'典型户型修正-住宅'!B52</f>
        <v>87.04</v>
      </c>
      <c r="E30" s="3524" t="s">
        <v>4101</v>
      </c>
      <c r="F30" s="3524">
        <f ca="1">'典型户型修正-住宅'!S52</f>
        <v>301</v>
      </c>
    </row>
    <row r="31" spans="2:6">
      <c r="B31" s="3524">
        <v>29</v>
      </c>
      <c r="C31" s="3524" t="str">
        <f>'典型户型修正-住宅'!A53</f>
        <v>16-2-101</v>
      </c>
      <c r="D31" s="3524">
        <f>'典型户型修正-住宅'!B53</f>
        <v>89.7</v>
      </c>
      <c r="E31" s="3524" t="s">
        <v>4101</v>
      </c>
      <c r="F31" s="3524">
        <f ca="1">'典型户型修正-住宅'!S53</f>
        <v>304</v>
      </c>
    </row>
    <row r="32" spans="2:6">
      <c r="B32" s="3524">
        <v>30</v>
      </c>
      <c r="C32" s="3524" t="str">
        <f>'典型户型修正-住宅'!A54</f>
        <v>12-1-1101</v>
      </c>
      <c r="D32" s="3524">
        <f>'典型户型修正-住宅'!B54</f>
        <v>86.53</v>
      </c>
      <c r="E32" s="3524" t="s">
        <v>4101</v>
      </c>
      <c r="F32" s="3524">
        <f ca="1">'典型户型修正-住宅'!S54</f>
        <v>293</v>
      </c>
    </row>
    <row r="33" spans="2:6">
      <c r="B33" s="3524">
        <v>31</v>
      </c>
      <c r="C33" s="3524" t="str">
        <f>'典型户型修正-住宅'!A55</f>
        <v>12-1-502</v>
      </c>
      <c r="D33" s="3524">
        <f>'典型户型修正-住宅'!B55</f>
        <v>82.59</v>
      </c>
      <c r="E33" s="3524" t="s">
        <v>4101</v>
      </c>
      <c r="F33" s="3524">
        <f ca="1">'典型户型修正-住宅'!S55</f>
        <v>291</v>
      </c>
    </row>
    <row r="34" spans="2:6">
      <c r="B34" s="3524">
        <v>32</v>
      </c>
      <c r="C34" s="3524" t="str">
        <f>'典型户型修正-住宅'!A56</f>
        <v>12-2-1001</v>
      </c>
      <c r="D34" s="3524">
        <f>'典型户型修正-住宅'!B56</f>
        <v>82.59</v>
      </c>
      <c r="E34" s="3524" t="s">
        <v>4101</v>
      </c>
      <c r="F34" s="3524">
        <f ca="1">'典型户型修正-住宅'!S56</f>
        <v>297</v>
      </c>
    </row>
    <row r="35" spans="2:6">
      <c r="B35" s="3524">
        <v>33</v>
      </c>
      <c r="C35" s="3524" t="str">
        <f>'典型户型修正-住宅'!A57</f>
        <v>12-2-1101</v>
      </c>
      <c r="D35" s="3524">
        <f>'典型户型修正-住宅'!B57</f>
        <v>82.59</v>
      </c>
      <c r="E35" s="3524" t="s">
        <v>4101</v>
      </c>
      <c r="F35" s="3524">
        <f ca="1">'典型户型修正-住宅'!S57</f>
        <v>280</v>
      </c>
    </row>
    <row r="36" spans="2:6">
      <c r="B36" s="3524">
        <v>34</v>
      </c>
      <c r="C36" s="3524" t="str">
        <f>'典型户型修正-住宅'!A58</f>
        <v>12-2-1102</v>
      </c>
      <c r="D36" s="3524">
        <f>'典型户型修正-住宅'!B58</f>
        <v>86.53</v>
      </c>
      <c r="E36" s="3524" t="s">
        <v>4101</v>
      </c>
      <c r="F36" s="3524">
        <f ca="1">'典型户型修正-住宅'!S58</f>
        <v>293</v>
      </c>
    </row>
    <row r="37" spans="2:6">
      <c r="B37" s="3524">
        <v>35</v>
      </c>
      <c r="C37" s="3524" t="str">
        <f>'典型户型修正-住宅'!A59</f>
        <v>11-1-201</v>
      </c>
      <c r="D37" s="3524">
        <f>'典型户型修正-住宅'!B59</f>
        <v>87.39</v>
      </c>
      <c r="E37" s="3524" t="s">
        <v>4101</v>
      </c>
      <c r="F37" s="3524">
        <f ca="1">'典型户型修正-住宅'!S59</f>
        <v>302</v>
      </c>
    </row>
    <row r="38" spans="2:6">
      <c r="B38" s="3524">
        <v>36</v>
      </c>
      <c r="C38" s="3524" t="str">
        <f>'典型户型修正-住宅'!A60</f>
        <v>11-1-401</v>
      </c>
      <c r="D38" s="3524">
        <f>'典型户型修正-住宅'!B60</f>
        <v>87.39</v>
      </c>
      <c r="E38" s="3524" t="s">
        <v>4101</v>
      </c>
      <c r="F38" s="3524">
        <f ca="1">'典型户型修正-住宅'!S60</f>
        <v>302</v>
      </c>
    </row>
    <row r="39" spans="2:6">
      <c r="B39" s="3524">
        <v>37</v>
      </c>
      <c r="C39" s="3524" t="str">
        <f>'典型户型修正-住宅'!A61</f>
        <v>11-1-601</v>
      </c>
      <c r="D39" s="3524">
        <f>'典型户型修正-住宅'!B61</f>
        <v>87.39</v>
      </c>
      <c r="E39" s="3524" t="s">
        <v>4101</v>
      </c>
      <c r="F39" s="3524">
        <f ca="1">'典型户型修正-住宅'!S61</f>
        <v>308</v>
      </c>
    </row>
    <row r="40" spans="2:6">
      <c r="B40" s="3524">
        <v>38</v>
      </c>
      <c r="C40" s="3524" t="str">
        <f>'典型户型修正-住宅'!A62</f>
        <v>11-1-801</v>
      </c>
      <c r="D40" s="3524">
        <f>'典型户型修正-住宅'!B62</f>
        <v>87.39</v>
      </c>
      <c r="E40" s="3524" t="s">
        <v>4101</v>
      </c>
      <c r="F40" s="3524">
        <f ca="1">'典型户型修正-住宅'!S62</f>
        <v>314</v>
      </c>
    </row>
    <row r="41" spans="2:6">
      <c r="B41" s="3524">
        <v>39</v>
      </c>
      <c r="C41" s="3524" t="str">
        <f>'典型户型修正-住宅'!A63</f>
        <v>11-1-1101</v>
      </c>
      <c r="D41" s="3524">
        <f>'典型户型修正-住宅'!B63</f>
        <v>87.39</v>
      </c>
      <c r="E41" s="3524" t="s">
        <v>4101</v>
      </c>
      <c r="F41" s="3524">
        <f ca="1">'典型户型修正-住宅'!S63</f>
        <v>296</v>
      </c>
    </row>
    <row r="42" spans="2:6">
      <c r="B42" s="3524">
        <v>40</v>
      </c>
      <c r="C42" s="3524" t="str">
        <f>'典型户型修正-住宅'!A64</f>
        <v>7-1-101</v>
      </c>
      <c r="D42" s="3524">
        <f>'典型户型修正-住宅'!B64</f>
        <v>85.89</v>
      </c>
      <c r="E42" s="3524" t="s">
        <v>4101</v>
      </c>
      <c r="F42" s="3524">
        <f ca="1">'典型户型修正-住宅'!S64</f>
        <v>291</v>
      </c>
    </row>
    <row r="43" spans="2:6">
      <c r="B43" s="3524">
        <v>41</v>
      </c>
      <c r="C43" s="3524" t="str">
        <f>'典型户型修正-住宅'!A65</f>
        <v>7-1-201</v>
      </c>
      <c r="D43" s="3524">
        <f>'典型户型修正-住宅'!B65</f>
        <v>85.89</v>
      </c>
      <c r="E43" s="3524" t="s">
        <v>4101</v>
      </c>
      <c r="F43" s="3524">
        <f ca="1">'典型户型修正-住宅'!S65</f>
        <v>297</v>
      </c>
    </row>
    <row r="44" spans="2:6">
      <c r="B44" s="3524">
        <v>42</v>
      </c>
      <c r="C44" s="3524" t="str">
        <f>'典型户型修正-住宅'!A66</f>
        <v>7-1-202</v>
      </c>
      <c r="D44" s="3524">
        <f>'典型户型修正-住宅'!B66</f>
        <v>81.99</v>
      </c>
      <c r="E44" s="3524" t="s">
        <v>4101</v>
      </c>
      <c r="F44" s="3524">
        <f ca="1">'典型户型修正-住宅'!S66</f>
        <v>283</v>
      </c>
    </row>
    <row r="45" spans="2:6">
      <c r="B45" s="3524">
        <v>43</v>
      </c>
      <c r="C45" s="3524" t="str">
        <f>'典型户型修正-住宅'!A67</f>
        <v>7-1-301</v>
      </c>
      <c r="D45" s="3524">
        <f>'典型户型修正-住宅'!B67</f>
        <v>85.89</v>
      </c>
      <c r="E45" s="3524" t="s">
        <v>4101</v>
      </c>
      <c r="F45" s="3524">
        <f ca="1">'典型户型修正-住宅'!S67</f>
        <v>297</v>
      </c>
    </row>
    <row r="46" spans="2:6">
      <c r="B46" s="3524">
        <v>44</v>
      </c>
      <c r="C46" s="3524" t="str">
        <f>'典型户型修正-住宅'!A68</f>
        <v>7-1-302</v>
      </c>
      <c r="D46" s="3524">
        <f>'典型户型修正-住宅'!B68</f>
        <v>81.99</v>
      </c>
      <c r="E46" s="3524" t="s">
        <v>4101</v>
      </c>
      <c r="F46" s="3524">
        <f ca="1">'典型户型修正-住宅'!S68</f>
        <v>283</v>
      </c>
    </row>
    <row r="47" spans="2:6">
      <c r="B47" s="3524">
        <v>45</v>
      </c>
      <c r="C47" s="3524" t="str">
        <f>'典型户型修正-住宅'!A69</f>
        <v>7-1-401</v>
      </c>
      <c r="D47" s="3524">
        <f>'典型户型修正-住宅'!B69</f>
        <v>85.89</v>
      </c>
      <c r="E47" s="3524" t="s">
        <v>4101</v>
      </c>
      <c r="F47" s="3524">
        <f ca="1">'典型户型修正-住宅'!S69</f>
        <v>303</v>
      </c>
    </row>
    <row r="48" spans="2:6">
      <c r="B48" s="3524">
        <v>46</v>
      </c>
      <c r="C48" s="3524" t="str">
        <f>'典型户型修正-住宅'!A70</f>
        <v>7-1-402</v>
      </c>
      <c r="D48" s="3524">
        <f>'典型户型修正-住宅'!B70</f>
        <v>81.99</v>
      </c>
      <c r="E48" s="3524" t="s">
        <v>4101</v>
      </c>
      <c r="F48" s="3524">
        <f ca="1">'典型户型修正-住宅'!S70</f>
        <v>289</v>
      </c>
    </row>
    <row r="49" spans="2:6">
      <c r="B49" s="3524">
        <v>47</v>
      </c>
      <c r="C49" s="3524" t="str">
        <f>'典型户型修正-住宅'!A71</f>
        <v>7-1-501</v>
      </c>
      <c r="D49" s="3524">
        <f>'典型户型修正-住宅'!B71</f>
        <v>85.89</v>
      </c>
      <c r="E49" s="3524" t="s">
        <v>4101</v>
      </c>
      <c r="F49" s="3524">
        <f ca="1">'典型户型修正-住宅'!S71</f>
        <v>303</v>
      </c>
    </row>
    <row r="50" spans="2:6">
      <c r="B50" s="3524">
        <v>48</v>
      </c>
      <c r="C50" s="3524" t="str">
        <f>'典型户型修正-住宅'!A72</f>
        <v>7-1-502</v>
      </c>
      <c r="D50" s="3524">
        <f>'典型户型修正-住宅'!B72</f>
        <v>81.99</v>
      </c>
      <c r="E50" s="3524" t="s">
        <v>4101</v>
      </c>
      <c r="F50" s="3524">
        <f ca="1">'典型户型修正-住宅'!S72</f>
        <v>289</v>
      </c>
    </row>
    <row r="51" spans="2:6">
      <c r="B51" s="3524">
        <v>49</v>
      </c>
      <c r="C51" s="3524" t="str">
        <f>'典型户型修正-住宅'!A73</f>
        <v>7-1-601</v>
      </c>
      <c r="D51" s="3524">
        <f>'典型户型修正-住宅'!B73</f>
        <v>85.89</v>
      </c>
      <c r="E51" s="3524" t="s">
        <v>4101</v>
      </c>
      <c r="F51" s="3524">
        <f ca="1">'典型户型修正-住宅'!S73</f>
        <v>303</v>
      </c>
    </row>
    <row r="52" spans="2:6">
      <c r="B52" s="3524">
        <v>50</v>
      </c>
      <c r="C52" s="3524" t="str">
        <f>'典型户型修正-住宅'!A74</f>
        <v>7-1-701</v>
      </c>
      <c r="D52" s="3524">
        <f>'典型户型修正-住宅'!B74</f>
        <v>85.89</v>
      </c>
      <c r="E52" s="3524" t="s">
        <v>4101</v>
      </c>
      <c r="F52" s="3524">
        <f ca="1">'典型户型修正-住宅'!S74</f>
        <v>309</v>
      </c>
    </row>
    <row r="53" spans="2:6">
      <c r="B53" s="3524">
        <v>51</v>
      </c>
      <c r="C53" s="3524" t="str">
        <f>'典型户型修正-住宅'!A75</f>
        <v>7-1-801</v>
      </c>
      <c r="D53" s="3524">
        <f>'典型户型修正-住宅'!B75</f>
        <v>85.89</v>
      </c>
      <c r="E53" s="3524" t="s">
        <v>4101</v>
      </c>
      <c r="F53" s="3524">
        <f ca="1">'典型户型修正-住宅'!S75</f>
        <v>309</v>
      </c>
    </row>
    <row r="54" spans="2:6">
      <c r="B54" s="3524">
        <v>52</v>
      </c>
      <c r="C54" s="3524" t="str">
        <f>'典型户型修正-住宅'!A76</f>
        <v>7-1-802</v>
      </c>
      <c r="D54" s="3524">
        <f>'典型户型修正-住宅'!B76</f>
        <v>81.99</v>
      </c>
      <c r="E54" s="3524" t="s">
        <v>4101</v>
      </c>
      <c r="F54" s="3524">
        <f ca="1">'典型户型修正-住宅'!S76</f>
        <v>295</v>
      </c>
    </row>
    <row r="55" spans="2:6">
      <c r="B55" s="3524">
        <v>53</v>
      </c>
      <c r="C55" s="3524" t="str">
        <f>'典型户型修正-住宅'!A77</f>
        <v>7-1-901</v>
      </c>
      <c r="D55" s="3524">
        <f>'典型户型修正-住宅'!B77</f>
        <v>85.89</v>
      </c>
      <c r="E55" s="3524" t="s">
        <v>4101</v>
      </c>
      <c r="F55" s="3524">
        <f ca="1">'典型户型修正-住宅'!S77</f>
        <v>291</v>
      </c>
    </row>
    <row r="56" spans="2:6">
      <c r="B56" s="3524">
        <v>54</v>
      </c>
      <c r="C56" s="3524" t="str">
        <f>'典型户型修正-住宅'!A78</f>
        <v>7-2-102</v>
      </c>
      <c r="D56" s="3524">
        <f>'典型户型修正-住宅'!B78</f>
        <v>85.89</v>
      </c>
      <c r="E56" s="3524" t="s">
        <v>4101</v>
      </c>
      <c r="F56" s="3524">
        <f ca="1">'典型户型修正-住宅'!S78</f>
        <v>291</v>
      </c>
    </row>
    <row r="57" spans="2:6">
      <c r="B57" s="3524">
        <v>55</v>
      </c>
      <c r="C57" s="3524" t="str">
        <f>'典型户型修正-住宅'!A79</f>
        <v>7-2-201</v>
      </c>
      <c r="D57" s="3524">
        <f>'典型户型修正-住宅'!B79</f>
        <v>81.99</v>
      </c>
      <c r="E57" s="3524" t="s">
        <v>4101</v>
      </c>
      <c r="F57" s="3524">
        <f ca="1">'典型户型修正-住宅'!S79</f>
        <v>283</v>
      </c>
    </row>
    <row r="58" spans="2:6">
      <c r="B58" s="3524">
        <v>56</v>
      </c>
      <c r="C58" s="3524" t="str">
        <f>'典型户型修正-住宅'!A80</f>
        <v>7-2-202</v>
      </c>
      <c r="D58" s="3524">
        <f>'典型户型修正-住宅'!B80</f>
        <v>85.89</v>
      </c>
      <c r="E58" s="3524" t="s">
        <v>4101</v>
      </c>
      <c r="F58" s="3524">
        <f ca="1">'典型户型修正-住宅'!S80</f>
        <v>297</v>
      </c>
    </row>
    <row r="59" spans="2:6">
      <c r="B59" s="3524">
        <v>57</v>
      </c>
      <c r="C59" s="3524" t="str">
        <f>'典型户型修正-住宅'!A81</f>
        <v>7-2-301</v>
      </c>
      <c r="D59" s="3524">
        <f>'典型户型修正-住宅'!B81</f>
        <v>81.99</v>
      </c>
      <c r="E59" s="3524" t="s">
        <v>4101</v>
      </c>
      <c r="F59" s="3524">
        <f ca="1">'典型户型修正-住宅'!S81</f>
        <v>283</v>
      </c>
    </row>
    <row r="60" spans="2:6">
      <c r="B60" s="3524">
        <v>58</v>
      </c>
      <c r="C60" s="3524" t="str">
        <f>'典型户型修正-住宅'!A82</f>
        <v>7-2-302</v>
      </c>
      <c r="D60" s="3524">
        <f>'典型户型修正-住宅'!B82</f>
        <v>85.89</v>
      </c>
      <c r="E60" s="3524" t="s">
        <v>4101</v>
      </c>
      <c r="F60" s="3524">
        <f ca="1">'典型户型修正-住宅'!S82</f>
        <v>297</v>
      </c>
    </row>
    <row r="61" spans="2:6">
      <c r="B61" s="3524">
        <v>59</v>
      </c>
      <c r="C61" s="3524" t="str">
        <f>'典型户型修正-住宅'!A83</f>
        <v>7-2-401</v>
      </c>
      <c r="D61" s="3524">
        <f>'典型户型修正-住宅'!B83</f>
        <v>81.99</v>
      </c>
      <c r="E61" s="3524" t="s">
        <v>4101</v>
      </c>
      <c r="F61" s="3524">
        <f ca="1">'典型户型修正-住宅'!S83</f>
        <v>289</v>
      </c>
    </row>
    <row r="62" spans="2:6">
      <c r="B62" s="3524">
        <v>60</v>
      </c>
      <c r="C62" s="3524" t="str">
        <f>'典型户型修正-住宅'!A84</f>
        <v>7-2-402</v>
      </c>
      <c r="D62" s="3524">
        <f>'典型户型修正-住宅'!B84</f>
        <v>85.89</v>
      </c>
      <c r="E62" s="3524" t="s">
        <v>4101</v>
      </c>
      <c r="F62" s="3524">
        <f ca="1">'典型户型修正-住宅'!S84</f>
        <v>303</v>
      </c>
    </row>
    <row r="63" spans="2:6">
      <c r="B63" s="3524">
        <v>61</v>
      </c>
      <c r="C63" s="3524" t="str">
        <f>'典型户型修正-住宅'!A85</f>
        <v>7-2-502</v>
      </c>
      <c r="D63" s="3524">
        <f>'典型户型修正-住宅'!B85</f>
        <v>85.89</v>
      </c>
      <c r="E63" s="3524" t="s">
        <v>4101</v>
      </c>
      <c r="F63" s="3524">
        <f ca="1">'典型户型修正-住宅'!S85</f>
        <v>303</v>
      </c>
    </row>
    <row r="64" spans="2:6">
      <c r="B64" s="3524">
        <v>62</v>
      </c>
      <c r="C64" s="3524" t="str">
        <f>'典型户型修正-住宅'!A86</f>
        <v>7-2-602</v>
      </c>
      <c r="D64" s="3524">
        <f>'典型户型修正-住宅'!B86</f>
        <v>85.89</v>
      </c>
      <c r="E64" s="3524" t="s">
        <v>4101</v>
      </c>
      <c r="F64" s="3524">
        <f ca="1">'典型户型修正-住宅'!S86</f>
        <v>303</v>
      </c>
    </row>
    <row r="65" spans="2:6">
      <c r="B65" s="3524">
        <v>63</v>
      </c>
      <c r="C65" s="3524" t="str">
        <f>'典型户型修正-住宅'!A87</f>
        <v>7-2-702</v>
      </c>
      <c r="D65" s="3524">
        <f>'典型户型修正-住宅'!B87</f>
        <v>85.89</v>
      </c>
      <c r="E65" s="3524" t="s">
        <v>4101</v>
      </c>
      <c r="F65" s="3524">
        <f ca="1">'典型户型修正-住宅'!S87</f>
        <v>309</v>
      </c>
    </row>
    <row r="66" spans="2:6">
      <c r="B66" s="3524">
        <v>64</v>
      </c>
      <c r="C66" s="3524" t="str">
        <f>'典型户型修正-住宅'!A88</f>
        <v>7-2-802</v>
      </c>
      <c r="D66" s="3524">
        <f>'典型户型修正-住宅'!B88</f>
        <v>85.89</v>
      </c>
      <c r="E66" s="3524" t="s">
        <v>4101</v>
      </c>
      <c r="F66" s="3524">
        <f ca="1">'典型户型修正-住宅'!S88</f>
        <v>309</v>
      </c>
    </row>
    <row r="67" spans="2:6">
      <c r="B67" s="3524">
        <v>65</v>
      </c>
      <c r="C67" s="3524" t="str">
        <f>'典型户型修正-住宅'!A89</f>
        <v>7-2-902</v>
      </c>
      <c r="D67" s="3524">
        <f>'典型户型修正-住宅'!B89</f>
        <v>85.89</v>
      </c>
      <c r="E67" s="3524" t="s">
        <v>4101</v>
      </c>
      <c r="F67" s="3524">
        <f ca="1">'典型户型修正-住宅'!S89</f>
        <v>291</v>
      </c>
    </row>
    <row r="68" spans="2:6">
      <c r="B68" s="3524">
        <v>66</v>
      </c>
      <c r="C68" s="3524" t="str">
        <f>'典型户型修正-住宅'!A90</f>
        <v>6-1-201</v>
      </c>
      <c r="D68" s="3524">
        <f>'典型户型修正-住宅'!B90</f>
        <v>87.26</v>
      </c>
      <c r="E68" s="3524" t="s">
        <v>4101</v>
      </c>
      <c r="F68" s="3524">
        <f ca="1">'典型户型修正-住宅'!S90</f>
        <v>302</v>
      </c>
    </row>
    <row r="69" spans="2:6">
      <c r="B69" s="3524">
        <v>67</v>
      </c>
      <c r="C69" s="3524" t="str">
        <f>'典型户型修正-住宅'!A91</f>
        <v>6-1-401</v>
      </c>
      <c r="D69" s="3524">
        <f>'典型户型修正-住宅'!B91</f>
        <v>87.26</v>
      </c>
      <c r="E69" s="3524" t="s">
        <v>4101</v>
      </c>
      <c r="F69" s="3524">
        <f ca="1">'典型户型修正-住宅'!S91</f>
        <v>308</v>
      </c>
    </row>
    <row r="70" spans="2:6">
      <c r="B70" s="3524">
        <v>68</v>
      </c>
      <c r="C70" s="3524" t="str">
        <f>'典型户型修正-住宅'!A92</f>
        <v>6-1-402</v>
      </c>
      <c r="D70" s="3524">
        <f>'典型户型修正-住宅'!B92</f>
        <v>83.29</v>
      </c>
      <c r="E70" s="3524" t="s">
        <v>4101</v>
      </c>
      <c r="F70" s="3524">
        <f ca="1">'典型户型修正-住宅'!S92</f>
        <v>294</v>
      </c>
    </row>
    <row r="71" spans="2:6">
      <c r="B71" s="3524">
        <v>69</v>
      </c>
      <c r="C71" s="3524" t="str">
        <f>'典型户型修正-住宅'!A93</f>
        <v>6-1-501</v>
      </c>
      <c r="D71" s="3524">
        <f>'典型户型修正-住宅'!B93</f>
        <v>87.26</v>
      </c>
      <c r="E71" s="3524" t="s">
        <v>4101</v>
      </c>
      <c r="F71" s="3524">
        <f ca="1">'典型户型修正-住宅'!S93</f>
        <v>308</v>
      </c>
    </row>
    <row r="72" spans="2:6">
      <c r="B72" s="3524">
        <v>70</v>
      </c>
      <c r="C72" s="3524" t="str">
        <f>'典型户型修正-住宅'!A94</f>
        <v>6-1-502</v>
      </c>
      <c r="D72" s="3524">
        <f>'典型户型修正-住宅'!B94</f>
        <v>83.29</v>
      </c>
      <c r="E72" s="3524" t="s">
        <v>4101</v>
      </c>
      <c r="F72" s="3524">
        <f ca="1">'典型户型修正-住宅'!S94</f>
        <v>294</v>
      </c>
    </row>
    <row r="73" spans="2:6">
      <c r="B73" s="3524">
        <v>71</v>
      </c>
      <c r="C73" s="3524" t="str">
        <f>'典型户型修正-住宅'!A95</f>
        <v>6-1-601</v>
      </c>
      <c r="D73" s="3524">
        <f>'典型户型修正-住宅'!B95</f>
        <v>87.26</v>
      </c>
      <c r="E73" s="3524" t="s">
        <v>4101</v>
      </c>
      <c r="F73" s="3524">
        <f ca="1">'典型户型修正-住宅'!S95</f>
        <v>308</v>
      </c>
    </row>
    <row r="74" spans="2:6">
      <c r="B74" s="3524">
        <v>72</v>
      </c>
      <c r="C74" s="3524" t="str">
        <f>'典型户型修正-住宅'!A96</f>
        <v>6-1-701</v>
      </c>
      <c r="D74" s="3524">
        <f>'典型户型修正-住宅'!B96</f>
        <v>87.26</v>
      </c>
      <c r="E74" s="3524" t="s">
        <v>4101</v>
      </c>
      <c r="F74" s="3524">
        <f ca="1">'典型户型修正-住宅'!S96</f>
        <v>314</v>
      </c>
    </row>
    <row r="75" spans="2:6">
      <c r="B75" s="3524">
        <v>73</v>
      </c>
      <c r="C75" s="3524" t="str">
        <f>'典型户型修正-住宅'!A97</f>
        <v>6-1-801</v>
      </c>
      <c r="D75" s="3524">
        <f>'典型户型修正-住宅'!B97</f>
        <v>87.26</v>
      </c>
      <c r="E75" s="3524" t="s">
        <v>4101</v>
      </c>
      <c r="F75" s="3524">
        <f ca="1">'典型户型修正-住宅'!S97</f>
        <v>314</v>
      </c>
    </row>
    <row r="76" spans="2:6">
      <c r="B76" s="3524">
        <v>74</v>
      </c>
      <c r="C76" s="3524" t="str">
        <f>'典型户型修正-住宅'!A98</f>
        <v>6-1-802</v>
      </c>
      <c r="D76" s="3524">
        <f>'典型户型修正-住宅'!B98</f>
        <v>83.29</v>
      </c>
      <c r="E76" s="3524" t="s">
        <v>4101</v>
      </c>
      <c r="F76" s="3524">
        <f ca="1">'典型户型修正-住宅'!S98</f>
        <v>300</v>
      </c>
    </row>
    <row r="77" spans="2:6">
      <c r="B77" s="3524">
        <v>75</v>
      </c>
      <c r="C77" s="3524" t="str">
        <f>'典型户型修正-住宅'!A99</f>
        <v>6-1-901</v>
      </c>
      <c r="D77" s="3524">
        <f>'典型户型修正-住宅'!B99</f>
        <v>87.26</v>
      </c>
      <c r="E77" s="3524" t="s">
        <v>4101</v>
      </c>
      <c r="F77" s="3524">
        <f ca="1">'典型户型修正-住宅'!S99</f>
        <v>314</v>
      </c>
    </row>
    <row r="78" spans="2:6">
      <c r="B78" s="3524">
        <v>76</v>
      </c>
      <c r="C78" s="3524" t="str">
        <f>'典型户型修正-住宅'!A100</f>
        <v>6-1-1001</v>
      </c>
      <c r="D78" s="3524">
        <f>'典型户型修正-住宅'!B100</f>
        <v>87.26</v>
      </c>
      <c r="E78" s="3524" t="s">
        <v>4101</v>
      </c>
      <c r="F78" s="3524">
        <f ca="1">'典型户型修正-住宅'!S100</f>
        <v>295</v>
      </c>
    </row>
    <row r="79" spans="2:6">
      <c r="B79" s="3524">
        <v>77</v>
      </c>
      <c r="C79" s="3524" t="str">
        <f>'典型户型修正-住宅'!A101</f>
        <v>6-1-1002</v>
      </c>
      <c r="D79" s="3524">
        <f>'典型户型修正-住宅'!B101</f>
        <v>83.29</v>
      </c>
      <c r="E79" s="3524" t="s">
        <v>4101</v>
      </c>
      <c r="F79" s="3524">
        <f ca="1">'典型户型修正-住宅'!S101</f>
        <v>282</v>
      </c>
    </row>
    <row r="80" spans="2:6">
      <c r="B80" s="3524">
        <v>78</v>
      </c>
      <c r="C80" s="3524" t="str">
        <f>'典型户型修正-住宅'!A102</f>
        <v>6-2-202</v>
      </c>
      <c r="D80" s="3524">
        <f>'典型户型修正-住宅'!B102</f>
        <v>87.26</v>
      </c>
      <c r="E80" s="3524" t="s">
        <v>4101</v>
      </c>
      <c r="F80" s="3524">
        <f ca="1">'典型户型修正-住宅'!S102</f>
        <v>302</v>
      </c>
    </row>
    <row r="81" spans="2:6">
      <c r="B81" s="3524">
        <v>79</v>
      </c>
      <c r="C81" s="3524" t="str">
        <f>'典型户型修正-住宅'!A103</f>
        <v>6-2-302</v>
      </c>
      <c r="D81" s="3524">
        <f>'典型户型修正-住宅'!B103</f>
        <v>87.26</v>
      </c>
      <c r="E81" s="3524" t="s">
        <v>4101</v>
      </c>
      <c r="F81" s="3524">
        <f ca="1">'典型户型修正-住宅'!S103</f>
        <v>302</v>
      </c>
    </row>
    <row r="82" spans="2:6">
      <c r="B82" s="3524">
        <v>80</v>
      </c>
      <c r="C82" s="3524" t="str">
        <f>'典型户型修正-住宅'!A104</f>
        <v>6-2-402</v>
      </c>
      <c r="D82" s="3524">
        <f>'典型户型修正-住宅'!B104</f>
        <v>87.26</v>
      </c>
      <c r="E82" s="3524" t="s">
        <v>4101</v>
      </c>
      <c r="F82" s="3524">
        <f ca="1">'典型户型修正-住宅'!S104</f>
        <v>308</v>
      </c>
    </row>
    <row r="83" spans="2:6">
      <c r="B83" s="3524">
        <v>81</v>
      </c>
      <c r="C83" s="3524" t="str">
        <f>'典型户型修正-住宅'!A105</f>
        <v>6-2-802</v>
      </c>
      <c r="D83" s="3524">
        <f>'典型户型修正-住宅'!B105</f>
        <v>87.26</v>
      </c>
      <c r="E83" s="3524" t="s">
        <v>4101</v>
      </c>
      <c r="F83" s="3524">
        <f ca="1">'典型户型修正-住宅'!S105</f>
        <v>314</v>
      </c>
    </row>
    <row r="84" spans="2:6">
      <c r="B84" s="3524">
        <v>82</v>
      </c>
      <c r="C84" s="3524" t="str">
        <f>'典型户型修正-住宅'!A106</f>
        <v>3-1-101</v>
      </c>
      <c r="D84" s="3524">
        <f>'典型户型修正-住宅'!B106</f>
        <v>87.15</v>
      </c>
      <c r="E84" s="3524" t="s">
        <v>4101</v>
      </c>
      <c r="F84" s="3524">
        <f ca="1">'典型户型修正-住宅'!S106</f>
        <v>295</v>
      </c>
    </row>
    <row r="85" spans="2:6">
      <c r="B85" s="3524">
        <v>83</v>
      </c>
      <c r="C85" s="3524" t="str">
        <f>'典型户型修正-住宅'!A107</f>
        <v>3-1-102</v>
      </c>
      <c r="D85" s="3524">
        <f>'典型户型修正-住宅'!B107</f>
        <v>73.41</v>
      </c>
      <c r="E85" s="3524" t="s">
        <v>4101</v>
      </c>
      <c r="F85" s="3524">
        <f ca="1">'典型户型修正-住宅'!S107</f>
        <v>251</v>
      </c>
    </row>
    <row r="86" spans="2:6">
      <c r="B86" s="3524">
        <v>84</v>
      </c>
      <c r="C86" s="3524" t="str">
        <f>'典型户型修正-住宅'!A108</f>
        <v>3-1-201</v>
      </c>
      <c r="D86" s="3524">
        <f>'典型户型修正-住宅'!B108</f>
        <v>87.15</v>
      </c>
      <c r="E86" s="3524" t="s">
        <v>4101</v>
      </c>
      <c r="F86" s="3524">
        <f ca="1">'典型户型修正-住宅'!S108</f>
        <v>301</v>
      </c>
    </row>
    <row r="87" spans="2:6">
      <c r="B87" s="3524">
        <v>85</v>
      </c>
      <c r="C87" s="3524" t="str">
        <f>'典型户型修正-住宅'!A109</f>
        <v>3-1-202</v>
      </c>
      <c r="D87" s="3524">
        <f>'典型户型修正-住宅'!B109</f>
        <v>89.82</v>
      </c>
      <c r="E87" s="3524" t="s">
        <v>4101</v>
      </c>
      <c r="F87" s="3524">
        <f ca="1">'典型户型修正-住宅'!S109</f>
        <v>310</v>
      </c>
    </row>
    <row r="88" spans="2:6">
      <c r="B88" s="3524">
        <v>86</v>
      </c>
      <c r="C88" s="3524" t="str">
        <f>'典型户型修正-住宅'!A110</f>
        <v>3-1-301</v>
      </c>
      <c r="D88" s="3524">
        <f>'典型户型修正-住宅'!B110</f>
        <v>87.15</v>
      </c>
      <c r="E88" s="3524" t="s">
        <v>4101</v>
      </c>
      <c r="F88" s="3524">
        <f ca="1">'典型户型修正-住宅'!S110</f>
        <v>301</v>
      </c>
    </row>
    <row r="89" spans="2:6">
      <c r="B89" s="3524">
        <v>87</v>
      </c>
      <c r="C89" s="3524" t="str">
        <f>'典型户型修正-住宅'!A111</f>
        <v>3-1-302</v>
      </c>
      <c r="D89" s="3524">
        <f>'典型户型修正-住宅'!B111</f>
        <v>89.82</v>
      </c>
      <c r="E89" s="3524" t="s">
        <v>4101</v>
      </c>
      <c r="F89" s="3524">
        <f ca="1">'典型户型修正-住宅'!S111</f>
        <v>310</v>
      </c>
    </row>
    <row r="90" spans="2:6">
      <c r="B90" s="3524">
        <v>88</v>
      </c>
      <c r="C90" s="3524" t="str">
        <f>'典型户型修正-住宅'!A112</f>
        <v>3-1-401</v>
      </c>
      <c r="D90" s="3524">
        <f>'典型户型修正-住宅'!B112</f>
        <v>87.15</v>
      </c>
      <c r="E90" s="3524" t="s">
        <v>4101</v>
      </c>
      <c r="F90" s="3524">
        <f ca="1">'典型户型修正-住宅'!S112</f>
        <v>301</v>
      </c>
    </row>
    <row r="91" spans="2:6">
      <c r="B91" s="3524">
        <v>89</v>
      </c>
      <c r="C91" s="3524" t="str">
        <f>'典型户型修正-住宅'!A113</f>
        <v>3-1-402</v>
      </c>
      <c r="D91" s="3524">
        <f>'典型户型修正-住宅'!B113</f>
        <v>89.82</v>
      </c>
      <c r="E91" s="3524" t="s">
        <v>4101</v>
      </c>
      <c r="F91" s="3524">
        <f ca="1">'典型户型修正-住宅'!S113</f>
        <v>310</v>
      </c>
    </row>
    <row r="92" spans="2:6">
      <c r="B92" s="3524">
        <v>90</v>
      </c>
      <c r="C92" s="3524" t="str">
        <f>'典型户型修正-住宅'!A114</f>
        <v>3-1-501</v>
      </c>
      <c r="D92" s="3524">
        <f>'典型户型修正-住宅'!B114</f>
        <v>87.15</v>
      </c>
      <c r="E92" s="3524" t="s">
        <v>4101</v>
      </c>
      <c r="F92" s="3524">
        <f ca="1">'典型户型修正-住宅'!S114</f>
        <v>307</v>
      </c>
    </row>
    <row r="93" spans="2:6">
      <c r="B93" s="3524">
        <v>91</v>
      </c>
      <c r="C93" s="3524" t="str">
        <f>'典型户型修正-住宅'!A115</f>
        <v>3-1-502</v>
      </c>
      <c r="D93" s="3524">
        <f>'典型户型修正-住宅'!B115</f>
        <v>89.82</v>
      </c>
      <c r="E93" s="3524" t="s">
        <v>4101</v>
      </c>
      <c r="F93" s="3524">
        <f ca="1">'典型户型修正-住宅'!S115</f>
        <v>317</v>
      </c>
    </row>
    <row r="94" spans="2:6">
      <c r="B94" s="3524">
        <v>92</v>
      </c>
      <c r="C94" s="3524" t="str">
        <f>'典型户型修正-住宅'!A116</f>
        <v>3-1-601</v>
      </c>
      <c r="D94" s="3524">
        <f>'典型户型修正-住宅'!B116</f>
        <v>87.15</v>
      </c>
      <c r="E94" s="3524" t="s">
        <v>4101</v>
      </c>
      <c r="F94" s="3524">
        <f ca="1">'典型户型修正-住宅'!S116</f>
        <v>307</v>
      </c>
    </row>
    <row r="95" spans="2:6">
      <c r="B95" s="3524">
        <v>93</v>
      </c>
      <c r="C95" s="3524" t="str">
        <f>'典型户型修正-住宅'!A117</f>
        <v>3-1-602</v>
      </c>
      <c r="D95" s="3524">
        <f>'典型户型修正-住宅'!B117</f>
        <v>89.82</v>
      </c>
      <c r="E95" s="3524" t="s">
        <v>4101</v>
      </c>
      <c r="F95" s="3524">
        <f ca="1">'典型户型修正-住宅'!S117</f>
        <v>317</v>
      </c>
    </row>
    <row r="96" spans="2:6">
      <c r="B96" s="3524">
        <v>94</v>
      </c>
      <c r="C96" s="3524" t="str">
        <f>'典型户型修正-住宅'!A118</f>
        <v>3-1-701</v>
      </c>
      <c r="D96" s="3524">
        <f>'典型户型修正-住宅'!B118</f>
        <v>87.15</v>
      </c>
      <c r="E96" s="3524" t="s">
        <v>4101</v>
      </c>
      <c r="F96" s="3524">
        <f ca="1">'典型户型修正-住宅'!S118</f>
        <v>307</v>
      </c>
    </row>
    <row r="97" spans="2:6">
      <c r="B97" s="3524">
        <v>95</v>
      </c>
      <c r="C97" s="3524" t="str">
        <f>'典型户型修正-住宅'!A119</f>
        <v>3-1-702</v>
      </c>
      <c r="D97" s="3524">
        <f>'典型户型修正-住宅'!B119</f>
        <v>89.82</v>
      </c>
      <c r="E97" s="3524" t="s">
        <v>4101</v>
      </c>
      <c r="F97" s="3524">
        <f ca="1">'典型户型修正-住宅'!S119</f>
        <v>317</v>
      </c>
    </row>
    <row r="98" spans="2:6">
      <c r="B98" s="3524">
        <v>96</v>
      </c>
      <c r="C98" s="3524" t="str">
        <f>'典型户型修正-住宅'!A120</f>
        <v>3-1-801</v>
      </c>
      <c r="D98" s="3524">
        <f>'典型户型修正-住宅'!B120</f>
        <v>87.15</v>
      </c>
      <c r="E98" s="3524" t="s">
        <v>4101</v>
      </c>
      <c r="F98" s="3524">
        <f ca="1">'典型户型修正-住宅'!S120</f>
        <v>314</v>
      </c>
    </row>
    <row r="99" spans="2:6">
      <c r="B99" s="3524">
        <v>97</v>
      </c>
      <c r="C99" s="3524" t="str">
        <f>'典型户型修正-住宅'!A121</f>
        <v>3-1-802</v>
      </c>
      <c r="D99" s="3524">
        <f>'典型户型修正-住宅'!B121</f>
        <v>89.82</v>
      </c>
      <c r="E99" s="3524" t="s">
        <v>4101</v>
      </c>
      <c r="F99" s="3524">
        <f ca="1">'典型户型修正-住宅'!S121</f>
        <v>323</v>
      </c>
    </row>
    <row r="100" spans="2:6">
      <c r="B100" s="3524">
        <v>98</v>
      </c>
      <c r="C100" s="3524" t="str">
        <f>'典型户型修正-住宅'!A122</f>
        <v>3-1-901</v>
      </c>
      <c r="D100" s="3524">
        <f>'典型户型修正-住宅'!B122</f>
        <v>87.15</v>
      </c>
      <c r="E100" s="3524" t="s">
        <v>4101</v>
      </c>
      <c r="F100" s="3524">
        <f ca="1">'典型户型修正-住宅'!S122</f>
        <v>314</v>
      </c>
    </row>
    <row r="101" spans="2:6">
      <c r="B101" s="3524">
        <v>99</v>
      </c>
      <c r="C101" s="3524" t="str">
        <f>'典型户型修正-住宅'!A123</f>
        <v>3-1-902</v>
      </c>
      <c r="D101" s="3524">
        <f>'典型户型修正-住宅'!B123</f>
        <v>89.82</v>
      </c>
      <c r="E101" s="3524" t="s">
        <v>4101</v>
      </c>
      <c r="F101" s="3524">
        <f ca="1">'典型户型修正-住宅'!S123</f>
        <v>323</v>
      </c>
    </row>
    <row r="102" spans="2:6">
      <c r="B102" s="3524">
        <v>100</v>
      </c>
      <c r="C102" s="3524" t="str">
        <f>'典型户型修正-住宅'!A124</f>
        <v>3-1-1001</v>
      </c>
      <c r="D102" s="3524">
        <f>'典型户型修正-住宅'!B124</f>
        <v>87.15</v>
      </c>
      <c r="E102" s="3524" t="s">
        <v>4101</v>
      </c>
      <c r="F102" s="3524">
        <f ca="1">'典型户型修正-住宅'!S124</f>
        <v>314</v>
      </c>
    </row>
    <row r="103" spans="2:6">
      <c r="B103" s="3524">
        <v>101</v>
      </c>
      <c r="C103" s="3524" t="str">
        <f>'典型户型修正-住宅'!A125</f>
        <v>3-1-1002</v>
      </c>
      <c r="D103" s="3524">
        <f>'典型户型修正-住宅'!B125</f>
        <v>89.82</v>
      </c>
      <c r="E103" s="3524" t="s">
        <v>4101</v>
      </c>
      <c r="F103" s="3524">
        <f ca="1">'典型户型修正-住宅'!S125</f>
        <v>323</v>
      </c>
    </row>
    <row r="104" spans="2:6">
      <c r="B104" s="3524">
        <v>102</v>
      </c>
      <c r="C104" s="3524" t="str">
        <f>'典型户型修正-住宅'!A126</f>
        <v>3-1-1101</v>
      </c>
      <c r="D104" s="3524">
        <f>'典型户型修正-住宅'!B126</f>
        <v>87.15</v>
      </c>
      <c r="E104" s="3524" t="s">
        <v>4101</v>
      </c>
      <c r="F104" s="3524">
        <f ca="1">'典型户型修正-住宅'!S126</f>
        <v>295</v>
      </c>
    </row>
    <row r="105" spans="2:6">
      <c r="B105" s="3524">
        <v>103</v>
      </c>
      <c r="C105" s="3524" t="str">
        <f>'典型户型修正-住宅'!A127</f>
        <v>3-1-1102</v>
      </c>
      <c r="D105" s="3524">
        <f>'典型户型修正-住宅'!B127</f>
        <v>89.82</v>
      </c>
      <c r="E105" s="3524" t="s">
        <v>4101</v>
      </c>
      <c r="F105" s="3524">
        <f ca="1">'典型户型修正-住宅'!S127</f>
        <v>304</v>
      </c>
    </row>
    <row r="106" spans="2:6">
      <c r="B106" s="3524">
        <v>104</v>
      </c>
      <c r="C106" s="3524" t="str">
        <f>'典型户型修正-住宅'!A128</f>
        <v>3-2-101</v>
      </c>
      <c r="D106" s="3524">
        <f>'典型户型修正-住宅'!B128</f>
        <v>89.82</v>
      </c>
      <c r="E106" s="3524" t="s">
        <v>4101</v>
      </c>
      <c r="F106" s="3524">
        <f ca="1">'典型户型修正-住宅'!S128</f>
        <v>304</v>
      </c>
    </row>
    <row r="107" spans="2:6">
      <c r="B107" s="3524">
        <v>105</v>
      </c>
      <c r="C107" s="3524" t="str">
        <f>'典型户型修正-住宅'!A129</f>
        <v>3-2-102</v>
      </c>
      <c r="D107" s="3524">
        <f>'典型户型修正-住宅'!B129</f>
        <v>73.41</v>
      </c>
      <c r="E107" s="3524" t="s">
        <v>4101</v>
      </c>
      <c r="F107" s="3524">
        <f ca="1">'典型户型修正-住宅'!S129</f>
        <v>251</v>
      </c>
    </row>
    <row r="108" spans="2:6">
      <c r="B108" s="3524">
        <v>106</v>
      </c>
      <c r="C108" s="3524" t="str">
        <f>'典型户型修正-住宅'!A130</f>
        <v>3-2-201</v>
      </c>
      <c r="D108" s="3524">
        <f>'典型户型修正-住宅'!B130</f>
        <v>89.82</v>
      </c>
      <c r="E108" s="3524" t="s">
        <v>4101</v>
      </c>
      <c r="F108" s="3524">
        <f ca="1">'典型户型修正-住宅'!S130</f>
        <v>310</v>
      </c>
    </row>
    <row r="109" spans="2:6">
      <c r="B109" s="3524">
        <v>107</v>
      </c>
      <c r="C109" s="3524" t="str">
        <f>'典型户型修正-住宅'!A131</f>
        <v>3-2-202</v>
      </c>
      <c r="D109" s="3524">
        <f>'典型户型修正-住宅'!B131</f>
        <v>89.82</v>
      </c>
      <c r="E109" s="3524" t="s">
        <v>4101</v>
      </c>
      <c r="F109" s="3524">
        <f ca="1">'典型户型修正-住宅'!S131</f>
        <v>310</v>
      </c>
    </row>
    <row r="110" spans="2:6">
      <c r="B110" s="3524">
        <v>108</v>
      </c>
      <c r="C110" s="3524" t="str">
        <f>'典型户型修正-住宅'!A132</f>
        <v>3-2-301</v>
      </c>
      <c r="D110" s="3524">
        <f>'典型户型修正-住宅'!B132</f>
        <v>89.82</v>
      </c>
      <c r="E110" s="3524" t="s">
        <v>4101</v>
      </c>
      <c r="F110" s="3524">
        <f ca="1">'典型户型修正-住宅'!S132</f>
        <v>310</v>
      </c>
    </row>
    <row r="111" spans="2:6">
      <c r="B111" s="3524">
        <v>109</v>
      </c>
      <c r="C111" s="3524" t="str">
        <f>'典型户型修正-住宅'!A133</f>
        <v>3-2-302</v>
      </c>
      <c r="D111" s="3524">
        <f>'典型户型修正-住宅'!B133</f>
        <v>89.82</v>
      </c>
      <c r="E111" s="3524" t="s">
        <v>4101</v>
      </c>
      <c r="F111" s="3524">
        <f ca="1">'典型户型修正-住宅'!S133</f>
        <v>310</v>
      </c>
    </row>
    <row r="112" spans="2:6">
      <c r="B112" s="3524">
        <v>110</v>
      </c>
      <c r="C112" s="3524" t="str">
        <f>'典型户型修正-住宅'!A134</f>
        <v>3-2-401</v>
      </c>
      <c r="D112" s="3524">
        <f>'典型户型修正-住宅'!B134</f>
        <v>89.82</v>
      </c>
      <c r="E112" s="3524" t="s">
        <v>4101</v>
      </c>
      <c r="F112" s="3524">
        <f ca="1">'典型户型修正-住宅'!S134</f>
        <v>310</v>
      </c>
    </row>
    <row r="113" spans="2:6">
      <c r="B113" s="3524">
        <v>111</v>
      </c>
      <c r="C113" s="3524" t="str">
        <f>'典型户型修正-住宅'!A135</f>
        <v>3-2-402</v>
      </c>
      <c r="D113" s="3524">
        <f>'典型户型修正-住宅'!B135</f>
        <v>89.82</v>
      </c>
      <c r="E113" s="3524" t="s">
        <v>4101</v>
      </c>
      <c r="F113" s="3524">
        <f ca="1">'典型户型修正-住宅'!S135</f>
        <v>310</v>
      </c>
    </row>
    <row r="114" spans="2:6">
      <c r="B114" s="3524">
        <v>112</v>
      </c>
      <c r="C114" s="3524" t="str">
        <f>'典型户型修正-住宅'!A136</f>
        <v>3-2-501</v>
      </c>
      <c r="D114" s="3524">
        <f>'典型户型修正-住宅'!B136</f>
        <v>89.82</v>
      </c>
      <c r="E114" s="3524" t="s">
        <v>4101</v>
      </c>
      <c r="F114" s="3524">
        <f ca="1">'典型户型修正-住宅'!S136</f>
        <v>317</v>
      </c>
    </row>
    <row r="115" spans="2:6">
      <c r="B115" s="3524">
        <v>113</v>
      </c>
      <c r="C115" s="3524" t="str">
        <f>'典型户型修正-住宅'!A137</f>
        <v>3-2-601</v>
      </c>
      <c r="D115" s="3524">
        <f>'典型户型修正-住宅'!B137</f>
        <v>89.82</v>
      </c>
      <c r="E115" s="3524" t="s">
        <v>4101</v>
      </c>
      <c r="F115" s="3524">
        <f ca="1">'典型户型修正-住宅'!S137</f>
        <v>317</v>
      </c>
    </row>
    <row r="116" spans="2:6">
      <c r="B116" s="3524">
        <v>114</v>
      </c>
      <c r="C116" s="3524" t="str">
        <f>'典型户型修正-住宅'!A138</f>
        <v>3-2-602</v>
      </c>
      <c r="D116" s="3524">
        <f>'典型户型修正-住宅'!B138</f>
        <v>89.82</v>
      </c>
      <c r="E116" s="3524" t="s">
        <v>4101</v>
      </c>
      <c r="F116" s="3524">
        <f ca="1">'典型户型修正-住宅'!S138</f>
        <v>317</v>
      </c>
    </row>
    <row r="117" spans="2:6">
      <c r="B117" s="3524">
        <v>115</v>
      </c>
      <c r="C117" s="3524" t="str">
        <f>'典型户型修正-住宅'!A139</f>
        <v>3-2-701</v>
      </c>
      <c r="D117" s="3524">
        <f>'典型户型修正-住宅'!B139</f>
        <v>89.82</v>
      </c>
      <c r="E117" s="3524" t="s">
        <v>4101</v>
      </c>
      <c r="F117" s="3524">
        <f ca="1">'典型户型修正-住宅'!S139</f>
        <v>317</v>
      </c>
    </row>
    <row r="118" spans="2:6">
      <c r="B118" s="3524">
        <v>116</v>
      </c>
      <c r="C118" s="3524" t="str">
        <f>'典型户型修正-住宅'!A140</f>
        <v>3-2-702</v>
      </c>
      <c r="D118" s="3524">
        <f>'典型户型修正-住宅'!B140</f>
        <v>89.82</v>
      </c>
      <c r="E118" s="3524" t="s">
        <v>4101</v>
      </c>
      <c r="F118" s="3524">
        <f ca="1">'典型户型修正-住宅'!S140</f>
        <v>317</v>
      </c>
    </row>
    <row r="119" spans="2:6">
      <c r="B119" s="3524">
        <v>117</v>
      </c>
      <c r="C119" s="3524" t="str">
        <f>'典型户型修正-住宅'!A141</f>
        <v>3-2-801</v>
      </c>
      <c r="D119" s="3524">
        <f>'典型户型修正-住宅'!B141</f>
        <v>89.82</v>
      </c>
      <c r="E119" s="3524" t="s">
        <v>4101</v>
      </c>
      <c r="F119" s="3524">
        <f ca="1">'典型户型修正-住宅'!S141</f>
        <v>323</v>
      </c>
    </row>
    <row r="120" spans="2:6">
      <c r="B120" s="3524">
        <v>118</v>
      </c>
      <c r="C120" s="3524" t="str">
        <f>'典型户型修正-住宅'!A142</f>
        <v>3-2-802</v>
      </c>
      <c r="D120" s="3524">
        <f>'典型户型修正-住宅'!B142</f>
        <v>89.82</v>
      </c>
      <c r="E120" s="3524" t="s">
        <v>4101</v>
      </c>
      <c r="F120" s="3524">
        <f ca="1">'典型户型修正-住宅'!S142</f>
        <v>323</v>
      </c>
    </row>
    <row r="121" spans="2:6">
      <c r="B121" s="3524">
        <v>119</v>
      </c>
      <c r="C121" s="3524" t="str">
        <f>'典型户型修正-住宅'!A143</f>
        <v>3-2-901</v>
      </c>
      <c r="D121" s="3524">
        <f>'典型户型修正-住宅'!B143</f>
        <v>89.82</v>
      </c>
      <c r="E121" s="3524" t="s">
        <v>4101</v>
      </c>
      <c r="F121" s="3524">
        <f ca="1">'典型户型修正-住宅'!S143</f>
        <v>323</v>
      </c>
    </row>
    <row r="122" spans="2:6">
      <c r="B122" s="3524">
        <v>120</v>
      </c>
      <c r="C122" s="3524" t="str">
        <f>'典型户型修正-住宅'!A144</f>
        <v>3-2-902</v>
      </c>
      <c r="D122" s="3524">
        <f>'典型户型修正-住宅'!B144</f>
        <v>89.82</v>
      </c>
      <c r="E122" s="3524" t="s">
        <v>4101</v>
      </c>
      <c r="F122" s="3524">
        <f ca="1">'典型户型修正-住宅'!S144</f>
        <v>323</v>
      </c>
    </row>
    <row r="123" spans="2:6">
      <c r="B123" s="3524">
        <v>121</v>
      </c>
      <c r="C123" s="3524" t="str">
        <f>'典型户型修正-住宅'!A145</f>
        <v>3-2-1001</v>
      </c>
      <c r="D123" s="3524">
        <f>'典型户型修正-住宅'!B145</f>
        <v>89.82</v>
      </c>
      <c r="E123" s="3524" t="s">
        <v>4101</v>
      </c>
      <c r="F123" s="3524">
        <f ca="1">'典型户型修正-住宅'!S145</f>
        <v>323</v>
      </c>
    </row>
    <row r="124" spans="2:6">
      <c r="B124" s="3524">
        <v>122</v>
      </c>
      <c r="C124" s="3524" t="str">
        <f>'典型户型修正-住宅'!A146</f>
        <v>3-2-1002</v>
      </c>
      <c r="D124" s="3524">
        <f>'典型户型修正-住宅'!B146</f>
        <v>89.82</v>
      </c>
      <c r="E124" s="3524" t="s">
        <v>4101</v>
      </c>
      <c r="F124" s="3524">
        <f ca="1">'典型户型修正-住宅'!S146</f>
        <v>323</v>
      </c>
    </row>
    <row r="125" spans="2:6">
      <c r="B125" s="3524">
        <v>123</v>
      </c>
      <c r="C125" s="3524" t="str">
        <f>'典型户型修正-住宅'!A147</f>
        <v>3-2-1102</v>
      </c>
      <c r="D125" s="3524">
        <f>'典型户型修正-住宅'!B147</f>
        <v>89.82</v>
      </c>
      <c r="E125" s="3524" t="s">
        <v>4101</v>
      </c>
      <c r="F125" s="3524">
        <f ca="1">'典型户型修正-住宅'!S147</f>
        <v>304</v>
      </c>
    </row>
    <row r="126" spans="2:6">
      <c r="B126" s="3524">
        <v>124</v>
      </c>
      <c r="C126" s="3524" t="str">
        <f>'典型户型修正-住宅'!A148</f>
        <v>3-3-101</v>
      </c>
      <c r="D126" s="3524">
        <f>'典型户型修正-住宅'!B148</f>
        <v>73.41</v>
      </c>
      <c r="E126" s="3524" t="s">
        <v>4101</v>
      </c>
      <c r="F126" s="3524">
        <f ca="1">'典型户型修正-住宅'!S148</f>
        <v>251</v>
      </c>
    </row>
    <row r="127" spans="2:6">
      <c r="B127" s="3524">
        <v>125</v>
      </c>
      <c r="C127" s="3524" t="str">
        <f>'典型户型修正-住宅'!A149</f>
        <v>3-3-102</v>
      </c>
      <c r="D127" s="3524">
        <f>'典型户型修正-住宅'!B149</f>
        <v>89.82</v>
      </c>
      <c r="E127" s="3524" t="s">
        <v>4101</v>
      </c>
      <c r="F127" s="3524">
        <f ca="1">'典型户型修正-住宅'!S149</f>
        <v>304</v>
      </c>
    </row>
    <row r="128" spans="2:6">
      <c r="B128" s="3524">
        <v>126</v>
      </c>
      <c r="C128" s="3524" t="str">
        <f>'典型户型修正-住宅'!A150</f>
        <v>3-3-201</v>
      </c>
      <c r="D128" s="3524">
        <f>'典型户型修正-住宅'!B150</f>
        <v>89.82</v>
      </c>
      <c r="E128" s="3524" t="s">
        <v>4101</v>
      </c>
      <c r="F128" s="3524">
        <f ca="1">'典型户型修正-住宅'!S150</f>
        <v>310</v>
      </c>
    </row>
    <row r="129" spans="2:6">
      <c r="B129" s="3524">
        <v>127</v>
      </c>
      <c r="C129" s="3524" t="str">
        <f>'典型户型修正-住宅'!A151</f>
        <v>3-3-202</v>
      </c>
      <c r="D129" s="3524">
        <f>'典型户型修正-住宅'!B151</f>
        <v>89.82</v>
      </c>
      <c r="E129" s="3524" t="s">
        <v>4101</v>
      </c>
      <c r="F129" s="3524">
        <f ca="1">'典型户型修正-住宅'!S151</f>
        <v>310</v>
      </c>
    </row>
    <row r="130" spans="2:6">
      <c r="B130" s="3524">
        <v>128</v>
      </c>
      <c r="C130" s="3524" t="str">
        <f>'典型户型修正-住宅'!A152</f>
        <v>3-3-302</v>
      </c>
      <c r="D130" s="3524">
        <f>'典型户型修正-住宅'!B152</f>
        <v>89.82</v>
      </c>
      <c r="E130" s="3524" t="s">
        <v>4101</v>
      </c>
      <c r="F130" s="3524">
        <f ca="1">'典型户型修正-住宅'!S152</f>
        <v>310</v>
      </c>
    </row>
    <row r="131" spans="2:6">
      <c r="B131" s="3524">
        <v>129</v>
      </c>
      <c r="C131" s="3524" t="str">
        <f>'典型户型修正-住宅'!A153</f>
        <v>3-3-401</v>
      </c>
      <c r="D131" s="3524">
        <f>'典型户型修正-住宅'!B153</f>
        <v>89.82</v>
      </c>
      <c r="E131" s="3524" t="s">
        <v>4101</v>
      </c>
      <c r="F131" s="3524">
        <f ca="1">'典型户型修正-住宅'!S153</f>
        <v>310</v>
      </c>
    </row>
    <row r="132" spans="2:6">
      <c r="B132" s="3524">
        <v>130</v>
      </c>
      <c r="C132" s="3524" t="str">
        <f>'典型户型修正-住宅'!A154</f>
        <v>3-3-402</v>
      </c>
      <c r="D132" s="3524">
        <f>'典型户型修正-住宅'!B154</f>
        <v>89.82</v>
      </c>
      <c r="E132" s="3524" t="s">
        <v>4101</v>
      </c>
      <c r="F132" s="3524">
        <f ca="1">'典型户型修正-住宅'!S154</f>
        <v>310</v>
      </c>
    </row>
    <row r="133" spans="2:6">
      <c r="B133" s="3524">
        <v>131</v>
      </c>
      <c r="C133" s="3524" t="str">
        <f>'典型户型修正-住宅'!A155</f>
        <v>3-3-502</v>
      </c>
      <c r="D133" s="3524">
        <f>'典型户型修正-住宅'!B155</f>
        <v>89.82</v>
      </c>
      <c r="E133" s="3524" t="s">
        <v>4101</v>
      </c>
      <c r="F133" s="3524">
        <f ca="1">'典型户型修正-住宅'!S155</f>
        <v>317</v>
      </c>
    </row>
    <row r="134" spans="2:6">
      <c r="B134" s="3524">
        <v>132</v>
      </c>
      <c r="C134" s="3524" t="str">
        <f>'典型户型修正-住宅'!A156</f>
        <v>3-3-601</v>
      </c>
      <c r="D134" s="3524">
        <f>'典型户型修正-住宅'!B156</f>
        <v>89.82</v>
      </c>
      <c r="E134" s="3524" t="s">
        <v>4101</v>
      </c>
      <c r="F134" s="3524">
        <f ca="1">'典型户型修正-住宅'!S156</f>
        <v>317</v>
      </c>
    </row>
    <row r="135" spans="2:6">
      <c r="B135" s="3524">
        <v>133</v>
      </c>
      <c r="C135" s="3524" t="str">
        <f>'典型户型修正-住宅'!A157</f>
        <v>3-3-602</v>
      </c>
      <c r="D135" s="3524">
        <f>'典型户型修正-住宅'!B157</f>
        <v>89.82</v>
      </c>
      <c r="E135" s="3524" t="s">
        <v>4101</v>
      </c>
      <c r="F135" s="3524">
        <f ca="1">'典型户型修正-住宅'!S157</f>
        <v>317</v>
      </c>
    </row>
    <row r="136" spans="2:6">
      <c r="B136" s="3524">
        <v>134</v>
      </c>
      <c r="C136" s="3524" t="str">
        <f>'典型户型修正-住宅'!A158</f>
        <v>3-3-802</v>
      </c>
      <c r="D136" s="3524">
        <f>'典型户型修正-住宅'!B158</f>
        <v>89.82</v>
      </c>
      <c r="E136" s="3524" t="s">
        <v>4101</v>
      </c>
      <c r="F136" s="3524">
        <f ca="1">'典型户型修正-住宅'!S158</f>
        <v>323</v>
      </c>
    </row>
    <row r="137" spans="2:6">
      <c r="B137" s="3524">
        <v>135</v>
      </c>
      <c r="C137" s="3524" t="str">
        <f>'典型户型修正-住宅'!A159</f>
        <v>3-3-1001</v>
      </c>
      <c r="D137" s="3524">
        <f>'典型户型修正-住宅'!B159</f>
        <v>89.82</v>
      </c>
      <c r="E137" s="3524" t="s">
        <v>4101</v>
      </c>
      <c r="F137" s="3524">
        <f ca="1">'典型户型修正-住宅'!S159</f>
        <v>323</v>
      </c>
    </row>
    <row r="138" spans="2:6">
      <c r="B138" s="3524">
        <v>136</v>
      </c>
      <c r="C138" s="3524" t="str">
        <f>'典型户型修正-住宅'!A160</f>
        <v>3-3-1002</v>
      </c>
      <c r="D138" s="3524">
        <f>'典型户型修正-住宅'!B160</f>
        <v>89.82</v>
      </c>
      <c r="E138" s="3524" t="s">
        <v>4101</v>
      </c>
      <c r="F138" s="3524">
        <f ca="1">'典型户型修正-住宅'!S160</f>
        <v>323</v>
      </c>
    </row>
    <row r="139" spans="2:6">
      <c r="B139" s="3524">
        <v>137</v>
      </c>
      <c r="C139" s="3524" t="str">
        <f>'典型户型修正-住宅'!A161</f>
        <v>3-3-1101</v>
      </c>
      <c r="D139" s="3524">
        <f>'典型户型修正-住宅'!B161</f>
        <v>89.82</v>
      </c>
      <c r="E139" s="3524" t="s">
        <v>4101</v>
      </c>
      <c r="F139" s="3524">
        <f ca="1">'典型户型修正-住宅'!S161</f>
        <v>304</v>
      </c>
    </row>
    <row r="140" spans="2:6">
      <c r="B140" s="3524">
        <v>138</v>
      </c>
      <c r="C140" s="3524" t="str">
        <f>'典型户型修正-住宅'!A162</f>
        <v>3-3-1102</v>
      </c>
      <c r="D140" s="3524">
        <f>'典型户型修正-住宅'!B162</f>
        <v>89.82</v>
      </c>
      <c r="E140" s="3524" t="s">
        <v>4101</v>
      </c>
      <c r="F140" s="3524">
        <f ca="1">'典型户型修正-住宅'!S162</f>
        <v>304</v>
      </c>
    </row>
    <row r="141" spans="2:6">
      <c r="B141" s="3524">
        <v>139</v>
      </c>
      <c r="C141" s="3524" t="str">
        <f>'典型户型修正-住宅'!A163</f>
        <v>3-4-101</v>
      </c>
      <c r="D141" s="3524">
        <f>'典型户型修正-住宅'!B163</f>
        <v>73.400000000000006</v>
      </c>
      <c r="E141" s="3524" t="s">
        <v>4101</v>
      </c>
      <c r="F141" s="3524">
        <f ca="1">'典型户型修正-住宅'!S163</f>
        <v>251</v>
      </c>
    </row>
    <row r="142" spans="2:6">
      <c r="B142" s="3524">
        <v>140</v>
      </c>
      <c r="C142" s="3524" t="str">
        <f>'典型户型修正-住宅'!A164</f>
        <v>3-4-102</v>
      </c>
      <c r="D142" s="3524">
        <f>'典型户型修正-住宅'!B164</f>
        <v>174.31</v>
      </c>
      <c r="E142" s="3524" t="s">
        <v>4101</v>
      </c>
      <c r="F142" s="3524">
        <f ca="1">'典型户型修正-住宅'!S164</f>
        <v>591</v>
      </c>
    </row>
    <row r="143" spans="2:6">
      <c r="B143" s="3524">
        <v>141</v>
      </c>
      <c r="C143" s="3524" t="str">
        <f>'典型户型修正-住宅'!A165</f>
        <v>3-4-201</v>
      </c>
      <c r="D143" s="3524">
        <f>'典型户型修正-住宅'!B165</f>
        <v>89.82</v>
      </c>
      <c r="E143" s="3524" t="s">
        <v>4101</v>
      </c>
      <c r="F143" s="3524">
        <f ca="1">'典型户型修正-住宅'!S165</f>
        <v>310</v>
      </c>
    </row>
    <row r="144" spans="2:6">
      <c r="B144" s="3524">
        <v>142</v>
      </c>
      <c r="C144" s="3524" t="str">
        <f>'典型户型修正-住宅'!A166</f>
        <v>3-4-301</v>
      </c>
      <c r="D144" s="3524">
        <f>'典型户型修正-住宅'!B166</f>
        <v>89.82</v>
      </c>
      <c r="E144" s="3524" t="s">
        <v>4101</v>
      </c>
      <c r="F144" s="3524">
        <f ca="1">'典型户型修正-住宅'!S166</f>
        <v>310</v>
      </c>
    </row>
    <row r="145" spans="2:6">
      <c r="B145" s="3524">
        <v>143</v>
      </c>
      <c r="C145" s="3524" t="str">
        <f>'典型户型修正-住宅'!A167</f>
        <v>3-4-302</v>
      </c>
      <c r="D145" s="3524">
        <f>'典型户型修正-住宅'!B167</f>
        <v>87.15</v>
      </c>
      <c r="E145" s="3524" t="s">
        <v>4101</v>
      </c>
      <c r="F145" s="3524">
        <f ca="1">'典型户型修正-住宅'!S167</f>
        <v>301</v>
      </c>
    </row>
    <row r="146" spans="2:6">
      <c r="B146" s="3524">
        <v>144</v>
      </c>
      <c r="C146" s="3524" t="str">
        <f>'典型户型修正-住宅'!A168</f>
        <v>3-4-402</v>
      </c>
      <c r="D146" s="3524">
        <f>'典型户型修正-住宅'!B168</f>
        <v>87.15</v>
      </c>
      <c r="E146" s="3524" t="s">
        <v>4101</v>
      </c>
      <c r="F146" s="3524">
        <f ca="1">'典型户型修正-住宅'!S168</f>
        <v>301</v>
      </c>
    </row>
    <row r="147" spans="2:6">
      <c r="B147" s="3524">
        <v>145</v>
      </c>
      <c r="C147" s="3524" t="str">
        <f>'典型户型修正-住宅'!A169</f>
        <v>3-4-501</v>
      </c>
      <c r="D147" s="3524">
        <f>'典型户型修正-住宅'!B169</f>
        <v>89.82</v>
      </c>
      <c r="E147" s="3524" t="s">
        <v>4101</v>
      </c>
      <c r="F147" s="3524">
        <f ca="1">'典型户型修正-住宅'!S169</f>
        <v>317</v>
      </c>
    </row>
    <row r="148" spans="2:6">
      <c r="B148" s="3524">
        <v>146</v>
      </c>
      <c r="C148" s="3524" t="str">
        <f>'典型户型修正-住宅'!A170</f>
        <v>3-4-502</v>
      </c>
      <c r="D148" s="3524">
        <f>'典型户型修正-住宅'!B170</f>
        <v>87.15</v>
      </c>
      <c r="E148" s="3524" t="s">
        <v>4101</v>
      </c>
      <c r="F148" s="3524">
        <f ca="1">'典型户型修正-住宅'!S170</f>
        <v>307</v>
      </c>
    </row>
    <row r="149" spans="2:6">
      <c r="B149" s="3524">
        <v>147</v>
      </c>
      <c r="C149" s="3524" t="str">
        <f>'典型户型修正-住宅'!A171</f>
        <v>3-4-601</v>
      </c>
      <c r="D149" s="3524">
        <f>'典型户型修正-住宅'!B171</f>
        <v>89.82</v>
      </c>
      <c r="E149" s="3524" t="s">
        <v>4101</v>
      </c>
      <c r="F149" s="3524">
        <f ca="1">'典型户型修正-住宅'!S171</f>
        <v>317</v>
      </c>
    </row>
    <row r="150" spans="2:6">
      <c r="B150" s="3524">
        <v>148</v>
      </c>
      <c r="C150" s="3524" t="str">
        <f>'典型户型修正-住宅'!A172</f>
        <v>3-4-602</v>
      </c>
      <c r="D150" s="3524">
        <f>'典型户型修正-住宅'!B172</f>
        <v>87.15</v>
      </c>
      <c r="E150" s="3524" t="s">
        <v>4101</v>
      </c>
      <c r="F150" s="3524">
        <f ca="1">'典型户型修正-住宅'!S172</f>
        <v>307</v>
      </c>
    </row>
    <row r="151" spans="2:6">
      <c r="B151" s="3524">
        <v>149</v>
      </c>
      <c r="C151" s="3524" t="str">
        <f>'典型户型修正-住宅'!A173</f>
        <v>3-4-701</v>
      </c>
      <c r="D151" s="3524">
        <f>'典型户型修正-住宅'!B173</f>
        <v>89.82</v>
      </c>
      <c r="E151" s="3524" t="s">
        <v>4101</v>
      </c>
      <c r="F151" s="3524">
        <f ca="1">'典型户型修正-住宅'!S173</f>
        <v>317</v>
      </c>
    </row>
    <row r="152" spans="2:6">
      <c r="B152" s="3524">
        <v>150</v>
      </c>
      <c r="C152" s="3524" t="str">
        <f>'典型户型修正-住宅'!A174</f>
        <v>3-4-702</v>
      </c>
      <c r="D152" s="3524">
        <f>'典型户型修正-住宅'!B174</f>
        <v>87.15</v>
      </c>
      <c r="E152" s="3524" t="s">
        <v>4101</v>
      </c>
      <c r="F152" s="3524">
        <f ca="1">'典型户型修正-住宅'!S174</f>
        <v>307</v>
      </c>
    </row>
    <row r="153" spans="2:6">
      <c r="B153" s="3524">
        <v>151</v>
      </c>
      <c r="C153" s="3524" t="str">
        <f>'典型户型修正-住宅'!A175</f>
        <v>3-4-801</v>
      </c>
      <c r="D153" s="3524">
        <f>'典型户型修正-住宅'!B175</f>
        <v>89.82</v>
      </c>
      <c r="E153" s="3524" t="s">
        <v>4101</v>
      </c>
      <c r="F153" s="3524">
        <f ca="1">'典型户型修正-住宅'!S175</f>
        <v>323</v>
      </c>
    </row>
    <row r="154" spans="2:6">
      <c r="B154" s="3524">
        <v>152</v>
      </c>
      <c r="C154" s="3524" t="str">
        <f>'典型户型修正-住宅'!A176</f>
        <v>3-4-802</v>
      </c>
      <c r="D154" s="3524">
        <f>'典型户型修正-住宅'!B176</f>
        <v>87.15</v>
      </c>
      <c r="E154" s="3524" t="s">
        <v>4101</v>
      </c>
      <c r="F154" s="3524">
        <f ca="1">'典型户型修正-住宅'!S176</f>
        <v>314</v>
      </c>
    </row>
    <row r="155" spans="2:6">
      <c r="B155" s="3524">
        <v>153</v>
      </c>
      <c r="C155" s="3524" t="str">
        <f>'典型户型修正-住宅'!A177</f>
        <v>3-4-901</v>
      </c>
      <c r="D155" s="3524">
        <f>'典型户型修正-住宅'!B177</f>
        <v>89.82</v>
      </c>
      <c r="E155" s="3524" t="s">
        <v>4101</v>
      </c>
      <c r="F155" s="3524">
        <f ca="1">'典型户型修正-住宅'!S177</f>
        <v>323</v>
      </c>
    </row>
    <row r="156" spans="2:6">
      <c r="B156" s="3524">
        <v>154</v>
      </c>
      <c r="C156" s="3524" t="str">
        <f>'典型户型修正-住宅'!A178</f>
        <v>3-4-902</v>
      </c>
      <c r="D156" s="3524">
        <f>'典型户型修正-住宅'!B178</f>
        <v>87.15</v>
      </c>
      <c r="E156" s="3524" t="s">
        <v>4101</v>
      </c>
      <c r="F156" s="3524">
        <f ca="1">'典型户型修正-住宅'!S178</f>
        <v>314</v>
      </c>
    </row>
    <row r="157" spans="2:6">
      <c r="B157" s="3524">
        <v>155</v>
      </c>
      <c r="C157" s="3524" t="str">
        <f>'典型户型修正-住宅'!A179</f>
        <v>3-4-1001</v>
      </c>
      <c r="D157" s="3524">
        <f>'典型户型修正-住宅'!B179</f>
        <v>89.82</v>
      </c>
      <c r="E157" s="3524" t="s">
        <v>4101</v>
      </c>
      <c r="F157" s="3524">
        <f ca="1">'典型户型修正-住宅'!S179</f>
        <v>323</v>
      </c>
    </row>
    <row r="158" spans="2:6">
      <c r="B158" s="3524">
        <v>156</v>
      </c>
      <c r="C158" s="3524" t="str">
        <f>'典型户型修正-住宅'!A180</f>
        <v>3-4-1101</v>
      </c>
      <c r="D158" s="3524">
        <f>'典型户型修正-住宅'!B180</f>
        <v>89.82</v>
      </c>
      <c r="E158" s="3524" t="s">
        <v>4101</v>
      </c>
      <c r="F158" s="3524">
        <f ca="1">'典型户型修正-住宅'!S180</f>
        <v>304</v>
      </c>
    </row>
    <row r="159" spans="2:6">
      <c r="B159" s="3524">
        <v>157</v>
      </c>
      <c r="C159" s="3524" t="str">
        <f>'典型户型修正-住宅'!A181</f>
        <v>3-4-1102</v>
      </c>
      <c r="D159" s="3524">
        <f>'典型户型修正-住宅'!B181</f>
        <v>87.15</v>
      </c>
      <c r="E159" s="3524" t="s">
        <v>4101</v>
      </c>
      <c r="F159" s="3524">
        <f ca="1">'典型户型修正-住宅'!S181</f>
        <v>295</v>
      </c>
    </row>
    <row r="160" spans="2:6">
      <c r="B160" s="3524">
        <v>158</v>
      </c>
      <c r="C160" s="3524" t="str">
        <f>'典型户型修正-住宅'!A182</f>
        <v>19-1-501</v>
      </c>
      <c r="D160" s="3524">
        <f>'典型户型修正-住宅'!B182</f>
        <v>77.38</v>
      </c>
      <c r="E160" s="3524" t="s">
        <v>4101</v>
      </c>
      <c r="F160" s="3524">
        <f ca="1">'典型户型修正-住宅'!S182</f>
        <v>265</v>
      </c>
    </row>
    <row r="161" spans="2:6">
      <c r="B161" s="3524">
        <v>159</v>
      </c>
      <c r="C161" s="3524" t="str">
        <f>'典型户型修正-住宅'!A183</f>
        <v>19-2-501</v>
      </c>
      <c r="D161" s="3524">
        <f>'典型户型修正-住宅'!B183</f>
        <v>76.819999999999993</v>
      </c>
      <c r="E161" s="3524" t="s">
        <v>4101</v>
      </c>
      <c r="F161" s="3524">
        <f ca="1">'典型户型修正-住宅'!S183</f>
        <v>279</v>
      </c>
    </row>
    <row r="162" spans="2:6">
      <c r="B162" s="3524">
        <v>160</v>
      </c>
      <c r="C162" s="3524" t="str">
        <f>'典型户型修正-住宅'!A184</f>
        <v>19-2-502</v>
      </c>
      <c r="D162" s="3524">
        <f>'典型户型修正-住宅'!B184</f>
        <v>76.819999999999993</v>
      </c>
      <c r="E162" s="3524" t="s">
        <v>4101</v>
      </c>
      <c r="F162" s="3524">
        <f ca="1">'典型户型修正-住宅'!S184</f>
        <v>279</v>
      </c>
    </row>
    <row r="163" spans="2:6">
      <c r="B163" s="3524">
        <v>161</v>
      </c>
      <c r="C163" s="3524" t="str">
        <f>'典型户型修正-住宅'!A185</f>
        <v>14-1-101</v>
      </c>
      <c r="D163" s="3524">
        <f>'典型户型修正-住宅'!B185</f>
        <v>77.47</v>
      </c>
      <c r="E163" s="3524" t="s">
        <v>4101</v>
      </c>
      <c r="F163" s="3524">
        <f ca="1">'典型户型修正-住宅'!S185</f>
        <v>265</v>
      </c>
    </row>
    <row r="164" spans="2:6">
      <c r="B164" s="3524">
        <v>162</v>
      </c>
      <c r="C164" s="3524" t="str">
        <f>'典型户型修正-住宅'!A186</f>
        <v>14-2-501</v>
      </c>
      <c r="D164" s="3524">
        <f>'典型户型修正-住宅'!B186</f>
        <v>76.91</v>
      </c>
      <c r="E164" s="3524" t="s">
        <v>4101</v>
      </c>
      <c r="F164" s="3524">
        <f ca="1">'典型户型修正-住宅'!S186</f>
        <v>279</v>
      </c>
    </row>
    <row r="165" spans="2:6">
      <c r="B165" s="3524">
        <v>163</v>
      </c>
      <c r="C165" s="3524" t="str">
        <f>'典型户型修正-住宅'!A187</f>
        <v>14-2-502</v>
      </c>
      <c r="D165" s="3524">
        <f>'典型户型修正-住宅'!B187</f>
        <v>76.91</v>
      </c>
      <c r="E165" s="3524" t="s">
        <v>4101</v>
      </c>
      <c r="F165" s="3524">
        <f ca="1">'典型户型修正-住宅'!S187</f>
        <v>279</v>
      </c>
    </row>
    <row r="166" spans="2:6">
      <c r="B166" s="3525" t="s">
        <v>4096</v>
      </c>
      <c r="C166" s="3525" t="s">
        <v>4097</v>
      </c>
      <c r="D166" s="3525">
        <f>SUM(D3:D165)</f>
        <v>14328.91999999998</v>
      </c>
      <c r="E166" s="3525"/>
      <c r="F166" s="3525">
        <f ca="1">SUM(F3:F165)</f>
        <v>50053</v>
      </c>
    </row>
    <row r="167" spans="2:6">
      <c r="B167" s="3524">
        <v>1</v>
      </c>
      <c r="C167" s="3524" t="str">
        <f>'典型户型修正-车库'!A24</f>
        <v>B1002</v>
      </c>
      <c r="D167" s="3524">
        <f>'典型户型修正-车库'!B24</f>
        <v>29.05</v>
      </c>
      <c r="E167" s="3524" t="s">
        <v>4102</v>
      </c>
      <c r="F167" s="3524">
        <f ca="1">'典型户型修正-车库'!S24</f>
        <v>12</v>
      </c>
    </row>
    <row r="168" spans="2:6">
      <c r="B168" s="3524">
        <v>2</v>
      </c>
      <c r="C168" s="3524" t="str">
        <f>'典型户型修正-车库'!A25</f>
        <v>B1011</v>
      </c>
      <c r="D168" s="3524">
        <f>'典型户型修正-车库'!B25</f>
        <v>29.05</v>
      </c>
      <c r="E168" s="3524" t="s">
        <v>4102</v>
      </c>
      <c r="F168" s="3524">
        <f ca="1">'典型户型修正-车库'!S25</f>
        <v>12</v>
      </c>
    </row>
    <row r="169" spans="2:6">
      <c r="B169" s="3524">
        <v>3</v>
      </c>
      <c r="C169" s="3524" t="str">
        <f>'典型户型修正-车库'!A26</f>
        <v>B1012</v>
      </c>
      <c r="D169" s="3524">
        <f>'典型户型修正-车库'!B26</f>
        <v>29.05</v>
      </c>
      <c r="E169" s="3524" t="s">
        <v>4102</v>
      </c>
      <c r="F169" s="3524">
        <f ca="1">'典型户型修正-车库'!S26</f>
        <v>12</v>
      </c>
    </row>
    <row r="170" spans="2:6">
      <c r="B170" s="3524">
        <v>4</v>
      </c>
      <c r="C170" s="3524" t="str">
        <f>'典型户型修正-车库'!A27</f>
        <v>B1015</v>
      </c>
      <c r="D170" s="3524">
        <f>'典型户型修正-车库'!B27</f>
        <v>29.05</v>
      </c>
      <c r="E170" s="3524" t="s">
        <v>4102</v>
      </c>
      <c r="F170" s="3524">
        <f ca="1">'典型户型修正-车库'!S27</f>
        <v>12</v>
      </c>
    </row>
    <row r="171" spans="2:6">
      <c r="B171" s="3524">
        <v>5</v>
      </c>
      <c r="C171" s="3524" t="str">
        <f>'典型户型修正-车库'!A28</f>
        <v>B1017</v>
      </c>
      <c r="D171" s="3524">
        <f>'典型户型修正-车库'!B28</f>
        <v>29.05</v>
      </c>
      <c r="E171" s="3524" t="s">
        <v>4102</v>
      </c>
      <c r="F171" s="3524">
        <f ca="1">'典型户型修正-车库'!S28</f>
        <v>12</v>
      </c>
    </row>
    <row r="172" spans="2:6">
      <c r="B172" s="3524">
        <v>6</v>
      </c>
      <c r="C172" s="3524" t="str">
        <f>'典型户型修正-车库'!A29</f>
        <v>B1020</v>
      </c>
      <c r="D172" s="3524">
        <f>'典型户型修正-车库'!B29</f>
        <v>29.05</v>
      </c>
      <c r="E172" s="3524" t="s">
        <v>4102</v>
      </c>
      <c r="F172" s="3524">
        <f ca="1">'典型户型修正-车库'!S29</f>
        <v>12</v>
      </c>
    </row>
    <row r="173" spans="2:6">
      <c r="B173" s="3524">
        <v>7</v>
      </c>
      <c r="C173" s="3524" t="str">
        <f>'典型户型修正-车库'!A30</f>
        <v>B1026</v>
      </c>
      <c r="D173" s="3524">
        <f>'典型户型修正-车库'!B30</f>
        <v>29.05</v>
      </c>
      <c r="E173" s="3524" t="s">
        <v>4102</v>
      </c>
      <c r="F173" s="3524">
        <f ca="1">'典型户型修正-车库'!S30</f>
        <v>12</v>
      </c>
    </row>
    <row r="174" spans="2:6">
      <c r="B174" s="3524">
        <v>8</v>
      </c>
      <c r="C174" s="3524" t="str">
        <f>'典型户型修正-车库'!A31</f>
        <v>B1029</v>
      </c>
      <c r="D174" s="3524">
        <f>'典型户型修正-车库'!B31</f>
        <v>29.05</v>
      </c>
      <c r="E174" s="3524" t="s">
        <v>4102</v>
      </c>
      <c r="F174" s="3524">
        <f ca="1">'典型户型修正-车库'!S31</f>
        <v>12</v>
      </c>
    </row>
    <row r="175" spans="2:6">
      <c r="B175" s="3524">
        <v>9</v>
      </c>
      <c r="C175" s="3524" t="str">
        <f>'典型户型修正-车库'!A32</f>
        <v>B1033</v>
      </c>
      <c r="D175" s="3524">
        <f>'典型户型修正-车库'!B32</f>
        <v>29.05</v>
      </c>
      <c r="E175" s="3524" t="s">
        <v>4102</v>
      </c>
      <c r="F175" s="3524">
        <f ca="1">'典型户型修正-车库'!S32</f>
        <v>12</v>
      </c>
    </row>
    <row r="176" spans="2:6">
      <c r="B176" s="3524">
        <v>10</v>
      </c>
      <c r="C176" s="3524" t="str">
        <f>'典型户型修正-车库'!A33</f>
        <v>B1034</v>
      </c>
      <c r="D176" s="3524">
        <f>'典型户型修正-车库'!B33</f>
        <v>29.05</v>
      </c>
      <c r="E176" s="3524" t="s">
        <v>4102</v>
      </c>
      <c r="F176" s="3524">
        <f ca="1">'典型户型修正-车库'!S33</f>
        <v>12</v>
      </c>
    </row>
    <row r="177" spans="2:6">
      <c r="B177" s="3524">
        <v>11</v>
      </c>
      <c r="C177" s="3524" t="str">
        <f>'典型户型修正-车库'!A34</f>
        <v>B1038</v>
      </c>
      <c r="D177" s="3524">
        <f>'典型户型修正-车库'!B34</f>
        <v>29.05</v>
      </c>
      <c r="E177" s="3524" t="s">
        <v>4102</v>
      </c>
      <c r="F177" s="3524">
        <f ca="1">'典型户型修正-车库'!S34</f>
        <v>12</v>
      </c>
    </row>
    <row r="178" spans="2:6">
      <c r="B178" s="3524">
        <v>12</v>
      </c>
      <c r="C178" s="3524" t="str">
        <f>'典型户型修正-车库'!A35</f>
        <v>B1039</v>
      </c>
      <c r="D178" s="3524">
        <f>'典型户型修正-车库'!B35</f>
        <v>29.05</v>
      </c>
      <c r="E178" s="3524" t="s">
        <v>4102</v>
      </c>
      <c r="F178" s="3524">
        <f ca="1">'典型户型修正-车库'!S35</f>
        <v>12</v>
      </c>
    </row>
    <row r="179" spans="2:6">
      <c r="B179" s="3524">
        <v>13</v>
      </c>
      <c r="C179" s="3524" t="str">
        <f>'典型户型修正-车库'!A36</f>
        <v>B1040</v>
      </c>
      <c r="D179" s="3524">
        <f>'典型户型修正-车库'!B36</f>
        <v>29.05</v>
      </c>
      <c r="E179" s="3524" t="s">
        <v>4102</v>
      </c>
      <c r="F179" s="3524">
        <f ca="1">'典型户型修正-车库'!S36</f>
        <v>12</v>
      </c>
    </row>
    <row r="180" spans="2:6">
      <c r="B180" s="3524">
        <v>14</v>
      </c>
      <c r="C180" s="3524" t="str">
        <f>'典型户型修正-车库'!A37</f>
        <v>B1043</v>
      </c>
      <c r="D180" s="3524">
        <f>'典型户型修正-车库'!B37</f>
        <v>29.05</v>
      </c>
      <c r="E180" s="3524" t="s">
        <v>4102</v>
      </c>
      <c r="F180" s="3524">
        <f ca="1">'典型户型修正-车库'!S37</f>
        <v>12</v>
      </c>
    </row>
    <row r="181" spans="2:6">
      <c r="B181" s="3524">
        <v>15</v>
      </c>
      <c r="C181" s="3524" t="str">
        <f>'典型户型修正-车库'!A38</f>
        <v>B1045</v>
      </c>
      <c r="D181" s="3524">
        <f>'典型户型修正-车库'!B38</f>
        <v>29.05</v>
      </c>
      <c r="E181" s="3524" t="s">
        <v>4102</v>
      </c>
      <c r="F181" s="3524">
        <f ca="1">'典型户型修正-车库'!S38</f>
        <v>12</v>
      </c>
    </row>
    <row r="182" spans="2:6">
      <c r="B182" s="3524">
        <v>16</v>
      </c>
      <c r="C182" s="3524" t="str">
        <f>'典型户型修正-车库'!A39</f>
        <v>B1046</v>
      </c>
      <c r="D182" s="3524">
        <f>'典型户型修正-车库'!B39</f>
        <v>29.05</v>
      </c>
      <c r="E182" s="3524" t="s">
        <v>4102</v>
      </c>
      <c r="F182" s="3524">
        <f ca="1">'典型户型修正-车库'!S39</f>
        <v>12</v>
      </c>
    </row>
    <row r="183" spans="2:6">
      <c r="B183" s="3524">
        <v>17</v>
      </c>
      <c r="C183" s="3524" t="str">
        <f>'典型户型修正-车库'!A40</f>
        <v>B1048</v>
      </c>
      <c r="D183" s="3524">
        <f>'典型户型修正-车库'!B40</f>
        <v>29.05</v>
      </c>
      <c r="E183" s="3524" t="s">
        <v>4102</v>
      </c>
      <c r="F183" s="3524">
        <f ca="1">'典型户型修正-车库'!S40</f>
        <v>12</v>
      </c>
    </row>
    <row r="184" spans="2:6">
      <c r="B184" s="3524">
        <v>18</v>
      </c>
      <c r="C184" s="3524" t="str">
        <f>'典型户型修正-车库'!A41</f>
        <v>B1049</v>
      </c>
      <c r="D184" s="3524">
        <f>'典型户型修正-车库'!B41</f>
        <v>29.05</v>
      </c>
      <c r="E184" s="3524" t="s">
        <v>4102</v>
      </c>
      <c r="F184" s="3524">
        <f ca="1">'典型户型修正-车库'!S41</f>
        <v>12</v>
      </c>
    </row>
    <row r="185" spans="2:6">
      <c r="B185" s="3524">
        <v>19</v>
      </c>
      <c r="C185" s="3524" t="str">
        <f>'典型户型修正-车库'!A42</f>
        <v>B1052</v>
      </c>
      <c r="D185" s="3524">
        <f>'典型户型修正-车库'!B42</f>
        <v>29.05</v>
      </c>
      <c r="E185" s="3524" t="s">
        <v>4102</v>
      </c>
      <c r="F185" s="3524">
        <f ca="1">'典型户型修正-车库'!S42</f>
        <v>12</v>
      </c>
    </row>
    <row r="186" spans="2:6">
      <c r="B186" s="3524">
        <v>20</v>
      </c>
      <c r="C186" s="3524" t="str">
        <f>'典型户型修正-车库'!A43</f>
        <v>B1054</v>
      </c>
      <c r="D186" s="3524">
        <f>'典型户型修正-车库'!B43</f>
        <v>29.05</v>
      </c>
      <c r="E186" s="3524" t="s">
        <v>4102</v>
      </c>
      <c r="F186" s="3524">
        <f ca="1">'典型户型修正-车库'!S43</f>
        <v>12</v>
      </c>
    </row>
    <row r="187" spans="2:6">
      <c r="B187" s="3524">
        <v>21</v>
      </c>
      <c r="C187" s="3524" t="str">
        <f>'典型户型修正-车库'!A44</f>
        <v>B1055</v>
      </c>
      <c r="D187" s="3524">
        <f>'典型户型修正-车库'!B44</f>
        <v>29.05</v>
      </c>
      <c r="E187" s="3524" t="s">
        <v>4102</v>
      </c>
      <c r="F187" s="3524">
        <f ca="1">'典型户型修正-车库'!S44</f>
        <v>12</v>
      </c>
    </row>
    <row r="188" spans="2:6">
      <c r="B188" s="3524">
        <v>22</v>
      </c>
      <c r="C188" s="3524" t="str">
        <f>'典型户型修正-车库'!A45</f>
        <v>B1057</v>
      </c>
      <c r="D188" s="3524">
        <f>'典型户型修正-车库'!B45</f>
        <v>29.05</v>
      </c>
      <c r="E188" s="3524" t="s">
        <v>4102</v>
      </c>
      <c r="F188" s="3524">
        <f ca="1">'典型户型修正-车库'!S45</f>
        <v>12</v>
      </c>
    </row>
    <row r="189" spans="2:6">
      <c r="B189" s="3524">
        <v>23</v>
      </c>
      <c r="C189" s="3524" t="str">
        <f>'典型户型修正-车库'!A46</f>
        <v>B1058</v>
      </c>
      <c r="D189" s="3524">
        <f>'典型户型修正-车库'!B46</f>
        <v>29.05</v>
      </c>
      <c r="E189" s="3524" t="s">
        <v>4102</v>
      </c>
      <c r="F189" s="3524">
        <f ca="1">'典型户型修正-车库'!S46</f>
        <v>12</v>
      </c>
    </row>
    <row r="190" spans="2:6">
      <c r="B190" s="3524">
        <v>24</v>
      </c>
      <c r="C190" s="3524" t="str">
        <f>'典型户型修正-车库'!A47</f>
        <v>B1060</v>
      </c>
      <c r="D190" s="3524">
        <f>'典型户型修正-车库'!B47</f>
        <v>29.05</v>
      </c>
      <c r="E190" s="3524" t="s">
        <v>4102</v>
      </c>
      <c r="F190" s="3524">
        <f ca="1">'典型户型修正-车库'!S47</f>
        <v>12</v>
      </c>
    </row>
    <row r="191" spans="2:6">
      <c r="B191" s="3524">
        <v>25</v>
      </c>
      <c r="C191" s="3524" t="str">
        <f>'典型户型修正-车库'!A48</f>
        <v>B1061</v>
      </c>
      <c r="D191" s="3524">
        <f>'典型户型修正-车库'!B48</f>
        <v>29.05</v>
      </c>
      <c r="E191" s="3524" t="s">
        <v>4102</v>
      </c>
      <c r="F191" s="3524">
        <f ca="1">'典型户型修正-车库'!S48</f>
        <v>12</v>
      </c>
    </row>
    <row r="192" spans="2:6">
      <c r="B192" s="3524">
        <v>26</v>
      </c>
      <c r="C192" s="3524" t="str">
        <f>'典型户型修正-车库'!A49</f>
        <v>B1062</v>
      </c>
      <c r="D192" s="3524">
        <f>'典型户型修正-车库'!B49</f>
        <v>29.05</v>
      </c>
      <c r="E192" s="3524" t="s">
        <v>4102</v>
      </c>
      <c r="F192" s="3524">
        <f ca="1">'典型户型修正-车库'!S49</f>
        <v>12</v>
      </c>
    </row>
    <row r="193" spans="2:6">
      <c r="B193" s="3524">
        <v>27</v>
      </c>
      <c r="C193" s="3524" t="str">
        <f>'典型户型修正-车库'!A50</f>
        <v>B1063</v>
      </c>
      <c r="D193" s="3524">
        <f>'典型户型修正-车库'!B50</f>
        <v>29.05</v>
      </c>
      <c r="E193" s="3524" t="s">
        <v>4102</v>
      </c>
      <c r="F193" s="3524">
        <f ca="1">'典型户型修正-车库'!S50</f>
        <v>12</v>
      </c>
    </row>
    <row r="194" spans="2:6">
      <c r="B194" s="3524">
        <v>28</v>
      </c>
      <c r="C194" s="3524" t="str">
        <f>'典型户型修正-车库'!A51</f>
        <v>B1064</v>
      </c>
      <c r="D194" s="3524">
        <f>'典型户型修正-车库'!B51</f>
        <v>29.05</v>
      </c>
      <c r="E194" s="3524" t="s">
        <v>4102</v>
      </c>
      <c r="F194" s="3524">
        <f ca="1">'典型户型修正-车库'!S51</f>
        <v>12</v>
      </c>
    </row>
    <row r="195" spans="2:6">
      <c r="B195" s="3524">
        <v>29</v>
      </c>
      <c r="C195" s="3524" t="str">
        <f>'典型户型修正-车库'!A52</f>
        <v>B1067</v>
      </c>
      <c r="D195" s="3524">
        <f>'典型户型修正-车库'!B52</f>
        <v>29.05</v>
      </c>
      <c r="E195" s="3524" t="s">
        <v>4102</v>
      </c>
      <c r="F195" s="3524">
        <f ca="1">'典型户型修正-车库'!S52</f>
        <v>12</v>
      </c>
    </row>
    <row r="196" spans="2:6">
      <c r="B196" s="3524">
        <v>30</v>
      </c>
      <c r="C196" s="3524" t="str">
        <f>'典型户型修正-车库'!A53</f>
        <v>B1068</v>
      </c>
      <c r="D196" s="3524">
        <f>'典型户型修正-车库'!B53</f>
        <v>29.05</v>
      </c>
      <c r="E196" s="3524" t="s">
        <v>4102</v>
      </c>
      <c r="F196" s="3524">
        <f ca="1">'典型户型修正-车库'!S53</f>
        <v>12</v>
      </c>
    </row>
    <row r="197" spans="2:6">
      <c r="B197" s="3524">
        <v>31</v>
      </c>
      <c r="C197" s="3524" t="str">
        <f>'典型户型修正-车库'!A54</f>
        <v>B1069</v>
      </c>
      <c r="D197" s="3524">
        <f>'典型户型修正-车库'!B54</f>
        <v>29.05</v>
      </c>
      <c r="E197" s="3524" t="s">
        <v>4102</v>
      </c>
      <c r="F197" s="3524">
        <f ca="1">'典型户型修正-车库'!S54</f>
        <v>12</v>
      </c>
    </row>
    <row r="198" spans="2:6">
      <c r="B198" s="3524">
        <v>32</v>
      </c>
      <c r="C198" s="3524" t="str">
        <f>'典型户型修正-车库'!A55</f>
        <v>B1070</v>
      </c>
      <c r="D198" s="3524">
        <f>'典型户型修正-车库'!B55</f>
        <v>29.05</v>
      </c>
      <c r="E198" s="3524" t="s">
        <v>4102</v>
      </c>
      <c r="F198" s="3524">
        <f ca="1">'典型户型修正-车库'!S55</f>
        <v>12</v>
      </c>
    </row>
    <row r="199" spans="2:6">
      <c r="B199" s="3524">
        <v>33</v>
      </c>
      <c r="C199" s="3524" t="str">
        <f>'典型户型修正-车库'!A56</f>
        <v>B1071</v>
      </c>
      <c r="D199" s="3524">
        <f>'典型户型修正-车库'!B56</f>
        <v>29.05</v>
      </c>
      <c r="E199" s="3524" t="s">
        <v>4102</v>
      </c>
      <c r="F199" s="3524">
        <f ca="1">'典型户型修正-车库'!S56</f>
        <v>12</v>
      </c>
    </row>
    <row r="200" spans="2:6">
      <c r="B200" s="3524">
        <v>34</v>
      </c>
      <c r="C200" s="3524" t="str">
        <f>'典型户型修正-车库'!A57</f>
        <v>B1072</v>
      </c>
      <c r="D200" s="3524">
        <f>'典型户型修正-车库'!B57</f>
        <v>29.05</v>
      </c>
      <c r="E200" s="3524" t="s">
        <v>4102</v>
      </c>
      <c r="F200" s="3524">
        <f ca="1">'典型户型修正-车库'!S57</f>
        <v>12</v>
      </c>
    </row>
    <row r="201" spans="2:6">
      <c r="B201" s="3524">
        <v>35</v>
      </c>
      <c r="C201" s="3524" t="str">
        <f>'典型户型修正-车库'!A58</f>
        <v>B1073</v>
      </c>
      <c r="D201" s="3524">
        <f>'典型户型修正-车库'!B58</f>
        <v>29.05</v>
      </c>
      <c r="E201" s="3524" t="s">
        <v>4102</v>
      </c>
      <c r="F201" s="3524">
        <f ca="1">'典型户型修正-车库'!S58</f>
        <v>12</v>
      </c>
    </row>
    <row r="202" spans="2:6">
      <c r="B202" s="3524">
        <v>36</v>
      </c>
      <c r="C202" s="3524" t="str">
        <f>'典型户型修正-车库'!A59</f>
        <v>B1074</v>
      </c>
      <c r="D202" s="3524">
        <f>'典型户型修正-车库'!B59</f>
        <v>29.05</v>
      </c>
      <c r="E202" s="3524" t="s">
        <v>4102</v>
      </c>
      <c r="F202" s="3524">
        <f ca="1">'典型户型修正-车库'!S59</f>
        <v>12</v>
      </c>
    </row>
    <row r="203" spans="2:6">
      <c r="B203" s="3524">
        <v>37</v>
      </c>
      <c r="C203" s="3524" t="str">
        <f>'典型户型修正-车库'!A60</f>
        <v>B1075</v>
      </c>
      <c r="D203" s="3524">
        <f>'典型户型修正-车库'!B60</f>
        <v>29.05</v>
      </c>
      <c r="E203" s="3524" t="s">
        <v>4102</v>
      </c>
      <c r="F203" s="3524">
        <f ca="1">'典型户型修正-车库'!S60</f>
        <v>12</v>
      </c>
    </row>
    <row r="204" spans="2:6">
      <c r="B204" s="3524">
        <v>38</v>
      </c>
      <c r="C204" s="3524" t="str">
        <f>'典型户型修正-车库'!A61</f>
        <v>B1076</v>
      </c>
      <c r="D204" s="3524">
        <f>'典型户型修正-车库'!B61</f>
        <v>29.05</v>
      </c>
      <c r="E204" s="3524" t="s">
        <v>4102</v>
      </c>
      <c r="F204" s="3524">
        <f ca="1">'典型户型修正-车库'!S61</f>
        <v>12</v>
      </c>
    </row>
    <row r="205" spans="2:6">
      <c r="B205" s="3524">
        <v>39</v>
      </c>
      <c r="C205" s="3524" t="str">
        <f>'典型户型修正-车库'!A62</f>
        <v>B1077</v>
      </c>
      <c r="D205" s="3524">
        <f>'典型户型修正-车库'!B62</f>
        <v>29.05</v>
      </c>
      <c r="E205" s="3524" t="s">
        <v>4102</v>
      </c>
      <c r="F205" s="3524">
        <f ca="1">'典型户型修正-车库'!S62</f>
        <v>12</v>
      </c>
    </row>
    <row r="206" spans="2:6">
      <c r="B206" s="3524">
        <v>40</v>
      </c>
      <c r="C206" s="3524" t="str">
        <f>'典型户型修正-车库'!A63</f>
        <v>B1078</v>
      </c>
      <c r="D206" s="3524">
        <f>'典型户型修正-车库'!B63</f>
        <v>29.05</v>
      </c>
      <c r="E206" s="3524" t="s">
        <v>4102</v>
      </c>
      <c r="F206" s="3524">
        <f ca="1">'典型户型修正-车库'!S63</f>
        <v>12</v>
      </c>
    </row>
    <row r="207" spans="2:6">
      <c r="B207" s="3524">
        <v>41</v>
      </c>
      <c r="C207" s="3524" t="str">
        <f>'典型户型修正-车库'!A64</f>
        <v>B1079</v>
      </c>
      <c r="D207" s="3524">
        <f>'典型户型修正-车库'!B64</f>
        <v>29.05</v>
      </c>
      <c r="E207" s="3524" t="s">
        <v>4102</v>
      </c>
      <c r="F207" s="3524">
        <f ca="1">'典型户型修正-车库'!S64</f>
        <v>12</v>
      </c>
    </row>
    <row r="208" spans="2:6">
      <c r="B208" s="3524">
        <v>42</v>
      </c>
      <c r="C208" s="3524" t="str">
        <f>'典型户型修正-车库'!A65</f>
        <v>B1082</v>
      </c>
      <c r="D208" s="3524">
        <f>'典型户型修正-车库'!B65</f>
        <v>29.05</v>
      </c>
      <c r="E208" s="3524" t="s">
        <v>4102</v>
      </c>
      <c r="F208" s="3524">
        <f ca="1">'典型户型修正-车库'!S65</f>
        <v>12</v>
      </c>
    </row>
    <row r="209" spans="2:6">
      <c r="B209" s="3524">
        <v>43</v>
      </c>
      <c r="C209" s="3524" t="str">
        <f>'典型户型修正-车库'!A66</f>
        <v>B1084</v>
      </c>
      <c r="D209" s="3524">
        <f>'典型户型修正-车库'!B66</f>
        <v>29.05</v>
      </c>
      <c r="E209" s="3524" t="s">
        <v>4102</v>
      </c>
      <c r="F209" s="3524">
        <f ca="1">'典型户型修正-车库'!S66</f>
        <v>12</v>
      </c>
    </row>
    <row r="210" spans="2:6">
      <c r="B210" s="3524">
        <v>44</v>
      </c>
      <c r="C210" s="3524" t="str">
        <f>'典型户型修正-车库'!A67</f>
        <v>B1085</v>
      </c>
      <c r="D210" s="3524">
        <f>'典型户型修正-车库'!B67</f>
        <v>29.05</v>
      </c>
      <c r="E210" s="3524" t="s">
        <v>4102</v>
      </c>
      <c r="F210" s="3524">
        <f ca="1">'典型户型修正-车库'!S67</f>
        <v>12</v>
      </c>
    </row>
    <row r="211" spans="2:6">
      <c r="B211" s="3524">
        <v>45</v>
      </c>
      <c r="C211" s="3524" t="str">
        <f>'典型户型修正-车库'!A68</f>
        <v>B1088</v>
      </c>
      <c r="D211" s="3524">
        <f>'典型户型修正-车库'!B68</f>
        <v>29.05</v>
      </c>
      <c r="E211" s="3524" t="s">
        <v>4102</v>
      </c>
      <c r="F211" s="3524">
        <f ca="1">'典型户型修正-车库'!S68</f>
        <v>12</v>
      </c>
    </row>
    <row r="212" spans="2:6">
      <c r="B212" s="3524">
        <v>46</v>
      </c>
      <c r="C212" s="3524" t="str">
        <f>'典型户型修正-车库'!A69</f>
        <v>B1091</v>
      </c>
      <c r="D212" s="3524">
        <f>'典型户型修正-车库'!B69</f>
        <v>29.05</v>
      </c>
      <c r="E212" s="3524" t="s">
        <v>4102</v>
      </c>
      <c r="F212" s="3524">
        <f ca="1">'典型户型修正-车库'!S69</f>
        <v>12</v>
      </c>
    </row>
    <row r="213" spans="2:6">
      <c r="B213" s="3524">
        <v>47</v>
      </c>
      <c r="C213" s="3524" t="str">
        <f>'典型户型修正-车库'!A70</f>
        <v>B1093</v>
      </c>
      <c r="D213" s="3524">
        <f>'典型户型修正-车库'!B70</f>
        <v>29.05</v>
      </c>
      <c r="E213" s="3524" t="s">
        <v>4102</v>
      </c>
      <c r="F213" s="3524">
        <f ca="1">'典型户型修正-车库'!S70</f>
        <v>12</v>
      </c>
    </row>
    <row r="214" spans="2:6">
      <c r="B214" s="3524">
        <v>48</v>
      </c>
      <c r="C214" s="3524" t="str">
        <f>'典型户型修正-车库'!A71</f>
        <v>B1094</v>
      </c>
      <c r="D214" s="3524">
        <f>'典型户型修正-车库'!B71</f>
        <v>29.05</v>
      </c>
      <c r="E214" s="3524" t="s">
        <v>4102</v>
      </c>
      <c r="F214" s="3524">
        <f ca="1">'典型户型修正-车库'!S71</f>
        <v>12</v>
      </c>
    </row>
    <row r="215" spans="2:6">
      <c r="B215" s="3524">
        <v>49</v>
      </c>
      <c r="C215" s="3524" t="str">
        <f>'典型户型修正-车库'!A72</f>
        <v>B1096</v>
      </c>
      <c r="D215" s="3524">
        <f>'典型户型修正-车库'!B72</f>
        <v>44.78</v>
      </c>
      <c r="E215" s="3524" t="s">
        <v>4102</v>
      </c>
      <c r="F215" s="3524">
        <f ca="1">'典型户型修正-车库'!S72</f>
        <v>16</v>
      </c>
    </row>
    <row r="216" spans="2:6">
      <c r="B216" s="3524">
        <v>50</v>
      </c>
      <c r="C216" s="3524" t="str">
        <f>'典型户型修正-车库'!A73</f>
        <v>B1098</v>
      </c>
      <c r="D216" s="3524">
        <f>'典型户型修正-车库'!B73</f>
        <v>29.05</v>
      </c>
      <c r="E216" s="3524" t="s">
        <v>4102</v>
      </c>
      <c r="F216" s="3524">
        <f ca="1">'典型户型修正-车库'!S73</f>
        <v>12</v>
      </c>
    </row>
    <row r="217" spans="2:6">
      <c r="B217" s="3524">
        <v>51</v>
      </c>
      <c r="C217" s="3524" t="str">
        <f>'典型户型修正-车库'!A74</f>
        <v>B1101</v>
      </c>
      <c r="D217" s="3524">
        <f>'典型户型修正-车库'!B74</f>
        <v>21.6</v>
      </c>
      <c r="E217" s="3524" t="s">
        <v>4102</v>
      </c>
      <c r="F217" s="3524">
        <f ca="1">'典型户型修正-车库'!S74</f>
        <v>9</v>
      </c>
    </row>
    <row r="218" spans="2:6">
      <c r="B218" s="3524">
        <v>52</v>
      </c>
      <c r="C218" s="3524" t="str">
        <f>'典型户型修正-车库'!A75</f>
        <v>B1102</v>
      </c>
      <c r="D218" s="3524">
        <f>'典型户型修正-车库'!B75</f>
        <v>21.6</v>
      </c>
      <c r="E218" s="3524" t="s">
        <v>4102</v>
      </c>
      <c r="F218" s="3524">
        <f ca="1">'典型户型修正-车库'!S75</f>
        <v>9</v>
      </c>
    </row>
    <row r="219" spans="2:6">
      <c r="B219" s="3524">
        <v>53</v>
      </c>
      <c r="C219" s="3524" t="str">
        <f>'典型户型修正-车库'!A76</f>
        <v>B1103</v>
      </c>
      <c r="D219" s="3524">
        <f>'典型户型修正-车库'!B76</f>
        <v>21.6</v>
      </c>
      <c r="E219" s="3524" t="s">
        <v>4102</v>
      </c>
      <c r="F219" s="3524">
        <f ca="1">'典型户型修正-车库'!S76</f>
        <v>9</v>
      </c>
    </row>
    <row r="220" spans="2:6">
      <c r="B220" s="3524">
        <v>54</v>
      </c>
      <c r="C220" s="3524" t="str">
        <f>'典型户型修正-车库'!A77</f>
        <v>B1104</v>
      </c>
      <c r="D220" s="3524">
        <f>'典型户型修正-车库'!B77</f>
        <v>29.05</v>
      </c>
      <c r="E220" s="3524" t="s">
        <v>4102</v>
      </c>
      <c r="F220" s="3524">
        <f ca="1">'典型户型修正-车库'!S77</f>
        <v>12</v>
      </c>
    </row>
    <row r="221" spans="2:6">
      <c r="B221" s="3524">
        <v>55</v>
      </c>
      <c r="C221" s="3524" t="str">
        <f>'典型户型修正-车库'!A78</f>
        <v>B1108</v>
      </c>
      <c r="D221" s="3524">
        <f>'典型户型修正-车库'!B78</f>
        <v>29.05</v>
      </c>
      <c r="E221" s="3524" t="s">
        <v>4102</v>
      </c>
      <c r="F221" s="3524">
        <f ca="1">'典型户型修正-车库'!S78</f>
        <v>12</v>
      </c>
    </row>
    <row r="222" spans="2:6">
      <c r="B222" s="3524">
        <v>56</v>
      </c>
      <c r="C222" s="3524" t="str">
        <f>'典型户型修正-车库'!A79</f>
        <v>B1110</v>
      </c>
      <c r="D222" s="3524">
        <f>'典型户型修正-车库'!B79</f>
        <v>29.05</v>
      </c>
      <c r="E222" s="3524" t="s">
        <v>4102</v>
      </c>
      <c r="F222" s="3524">
        <f ca="1">'典型户型修正-车库'!S79</f>
        <v>12</v>
      </c>
    </row>
    <row r="223" spans="2:6">
      <c r="B223" s="3524">
        <v>57</v>
      </c>
      <c r="C223" s="3524" t="str">
        <f>'典型户型修正-车库'!A80</f>
        <v>B1111</v>
      </c>
      <c r="D223" s="3524">
        <f>'典型户型修正-车库'!B80</f>
        <v>29.05</v>
      </c>
      <c r="E223" s="3524" t="s">
        <v>4102</v>
      </c>
      <c r="F223" s="3524">
        <f ca="1">'典型户型修正-车库'!S80</f>
        <v>12</v>
      </c>
    </row>
    <row r="224" spans="2:6">
      <c r="B224" s="3524">
        <v>58</v>
      </c>
      <c r="C224" s="3524" t="str">
        <f>'典型户型修正-车库'!A81</f>
        <v>B1112</v>
      </c>
      <c r="D224" s="3524">
        <f>'典型户型修正-车库'!B81</f>
        <v>29.05</v>
      </c>
      <c r="E224" s="3524" t="s">
        <v>4102</v>
      </c>
      <c r="F224" s="3524">
        <f ca="1">'典型户型修正-车库'!S81</f>
        <v>12</v>
      </c>
    </row>
    <row r="225" spans="2:6">
      <c r="B225" s="3524">
        <v>59</v>
      </c>
      <c r="C225" s="3524" t="str">
        <f>'典型户型修正-车库'!A82</f>
        <v>B1113</v>
      </c>
      <c r="D225" s="3524">
        <f>'典型户型修正-车库'!B82</f>
        <v>29.05</v>
      </c>
      <c r="E225" s="3524" t="s">
        <v>4102</v>
      </c>
      <c r="F225" s="3524">
        <f ca="1">'典型户型修正-车库'!S82</f>
        <v>12</v>
      </c>
    </row>
    <row r="226" spans="2:6">
      <c r="B226" s="3524">
        <v>60</v>
      </c>
      <c r="C226" s="3524" t="str">
        <f>'典型户型修正-车库'!A83</f>
        <v>B1114</v>
      </c>
      <c r="D226" s="3524">
        <f>'典型户型修正-车库'!B83</f>
        <v>29.05</v>
      </c>
      <c r="E226" s="3524" t="s">
        <v>4102</v>
      </c>
      <c r="F226" s="3524">
        <f ca="1">'典型户型修正-车库'!S83</f>
        <v>12</v>
      </c>
    </row>
    <row r="227" spans="2:6">
      <c r="B227" s="3524">
        <v>61</v>
      </c>
      <c r="C227" s="3524" t="str">
        <f>'典型户型修正-车库'!A84</f>
        <v>B1115</v>
      </c>
      <c r="D227" s="3524">
        <f>'典型户型修正-车库'!B84</f>
        <v>29.05</v>
      </c>
      <c r="E227" s="3524" t="s">
        <v>4102</v>
      </c>
      <c r="F227" s="3524">
        <f ca="1">'典型户型修正-车库'!S84</f>
        <v>12</v>
      </c>
    </row>
    <row r="228" spans="2:6">
      <c r="B228" s="3524">
        <v>62</v>
      </c>
      <c r="C228" s="3524" t="str">
        <f>'典型户型修正-车库'!A85</f>
        <v>B1116</v>
      </c>
      <c r="D228" s="3524">
        <f>'典型户型修正-车库'!B85</f>
        <v>29.05</v>
      </c>
      <c r="E228" s="3524" t="s">
        <v>4102</v>
      </c>
      <c r="F228" s="3524">
        <f ca="1">'典型户型修正-车库'!S85</f>
        <v>12</v>
      </c>
    </row>
    <row r="229" spans="2:6">
      <c r="B229" s="3524">
        <v>63</v>
      </c>
      <c r="C229" s="3524" t="str">
        <f>'典型户型修正-车库'!A86</f>
        <v>B1118</v>
      </c>
      <c r="D229" s="3524">
        <f>'典型户型修正-车库'!B86</f>
        <v>29.05</v>
      </c>
      <c r="E229" s="3524" t="s">
        <v>4102</v>
      </c>
      <c r="F229" s="3524">
        <f ca="1">'典型户型修正-车库'!S86</f>
        <v>12</v>
      </c>
    </row>
    <row r="230" spans="2:6">
      <c r="B230" s="3524">
        <v>64</v>
      </c>
      <c r="C230" s="3524" t="str">
        <f>'典型户型修正-车库'!A87</f>
        <v>B1120</v>
      </c>
      <c r="D230" s="3524">
        <f>'典型户型修正-车库'!B87</f>
        <v>29.05</v>
      </c>
      <c r="E230" s="3524" t="s">
        <v>4102</v>
      </c>
      <c r="F230" s="3524">
        <f ca="1">'典型户型修正-车库'!S87</f>
        <v>12</v>
      </c>
    </row>
    <row r="231" spans="2:6">
      <c r="B231" s="3524">
        <v>65</v>
      </c>
      <c r="C231" s="3524" t="str">
        <f>'典型户型修正-车库'!A88</f>
        <v>B1121</v>
      </c>
      <c r="D231" s="3524">
        <f>'典型户型修正-车库'!B88</f>
        <v>50.65</v>
      </c>
      <c r="E231" s="3524" t="s">
        <v>4102</v>
      </c>
      <c r="F231" s="3524">
        <f ca="1">'典型户型修正-车库'!S88</f>
        <v>17</v>
      </c>
    </row>
    <row r="232" spans="2:6">
      <c r="B232" s="3524">
        <v>66</v>
      </c>
      <c r="C232" s="3524" t="str">
        <f>'典型户型修正-车库'!A89</f>
        <v>B1122</v>
      </c>
      <c r="D232" s="3524">
        <f>'典型户型修正-车库'!B89</f>
        <v>50.65</v>
      </c>
      <c r="E232" s="3524" t="s">
        <v>4102</v>
      </c>
      <c r="F232" s="3524">
        <f ca="1">'典型户型修正-车库'!S89</f>
        <v>17</v>
      </c>
    </row>
    <row r="233" spans="2:6">
      <c r="B233" s="3524">
        <v>67</v>
      </c>
      <c r="C233" s="3524" t="str">
        <f>'典型户型修正-车库'!A90</f>
        <v>B1123</v>
      </c>
      <c r="D233" s="3524">
        <f>'典型户型修正-车库'!B90</f>
        <v>29.05</v>
      </c>
      <c r="E233" s="3524" t="s">
        <v>4102</v>
      </c>
      <c r="F233" s="3524">
        <f ca="1">'典型户型修正-车库'!S90</f>
        <v>12</v>
      </c>
    </row>
    <row r="234" spans="2:6">
      <c r="B234" s="3524">
        <v>68</v>
      </c>
      <c r="C234" s="3524" t="str">
        <f>'典型户型修正-车库'!A91</f>
        <v>B1126</v>
      </c>
      <c r="D234" s="3524">
        <f>'典型户型修正-车库'!B91</f>
        <v>29.05</v>
      </c>
      <c r="E234" s="3524" t="s">
        <v>4102</v>
      </c>
      <c r="F234" s="3524">
        <f ca="1">'典型户型修正-车库'!S91</f>
        <v>12</v>
      </c>
    </row>
    <row r="235" spans="2:6">
      <c r="B235" s="3524">
        <v>69</v>
      </c>
      <c r="C235" s="3524" t="str">
        <f>'典型户型修正-车库'!A92</f>
        <v>B1130</v>
      </c>
      <c r="D235" s="3524">
        <f>'典型户型修正-车库'!B92</f>
        <v>44.78</v>
      </c>
      <c r="E235" s="3524" t="s">
        <v>4102</v>
      </c>
      <c r="F235" s="3524">
        <f ca="1">'典型户型修正-车库'!S92</f>
        <v>16</v>
      </c>
    </row>
    <row r="236" spans="2:6">
      <c r="B236" s="3524">
        <v>70</v>
      </c>
      <c r="C236" s="3524" t="str">
        <f>'典型户型修正-车库'!A93</f>
        <v>B1131</v>
      </c>
      <c r="D236" s="3524">
        <f>'典型户型修正-车库'!B93</f>
        <v>29.05</v>
      </c>
      <c r="E236" s="3524" t="s">
        <v>4102</v>
      </c>
      <c r="F236" s="3524">
        <f ca="1">'典型户型修正-车库'!S93</f>
        <v>12</v>
      </c>
    </row>
    <row r="237" spans="2:6">
      <c r="B237" s="3524">
        <v>71</v>
      </c>
      <c r="C237" s="3524" t="str">
        <f>'典型户型修正-车库'!A94</f>
        <v>B1133</v>
      </c>
      <c r="D237" s="3524">
        <f>'典型户型修正-车库'!B94</f>
        <v>44.78</v>
      </c>
      <c r="E237" s="3524" t="s">
        <v>4102</v>
      </c>
      <c r="F237" s="3524">
        <f ca="1">'典型户型修正-车库'!S94</f>
        <v>16</v>
      </c>
    </row>
    <row r="238" spans="2:6">
      <c r="B238" s="3524">
        <v>72</v>
      </c>
      <c r="C238" s="3524" t="str">
        <f>'典型户型修正-车库'!A95</f>
        <v>B1134</v>
      </c>
      <c r="D238" s="3524">
        <f>'典型户型修正-车库'!B95</f>
        <v>29.05</v>
      </c>
      <c r="E238" s="3524" t="s">
        <v>4102</v>
      </c>
      <c r="F238" s="3524">
        <f ca="1">'典型户型修正-车库'!S95</f>
        <v>12</v>
      </c>
    </row>
    <row r="239" spans="2:6">
      <c r="B239" s="3524">
        <v>73</v>
      </c>
      <c r="C239" s="3524" t="str">
        <f>'典型户型修正-车库'!A96</f>
        <v>B1143</v>
      </c>
      <c r="D239" s="3524">
        <f>'典型户型修正-车库'!B96</f>
        <v>29.05</v>
      </c>
      <c r="E239" s="3524" t="s">
        <v>4102</v>
      </c>
      <c r="F239" s="3524">
        <f ca="1">'典型户型修正-车库'!S96</f>
        <v>12</v>
      </c>
    </row>
    <row r="240" spans="2:6">
      <c r="B240" s="3524">
        <v>74</v>
      </c>
      <c r="C240" s="3524" t="str">
        <f>'典型户型修正-车库'!A97</f>
        <v>B1148</v>
      </c>
      <c r="D240" s="3524">
        <f>'典型户型修正-车库'!B97</f>
        <v>29.05</v>
      </c>
      <c r="E240" s="3524" t="s">
        <v>4102</v>
      </c>
      <c r="F240" s="3524">
        <f ca="1">'典型户型修正-车库'!S97</f>
        <v>12</v>
      </c>
    </row>
    <row r="241" spans="2:6">
      <c r="B241" s="3524">
        <v>75</v>
      </c>
      <c r="C241" s="3524" t="str">
        <f>'典型户型修正-车库'!A98</f>
        <v>B1152</v>
      </c>
      <c r="D241" s="3524">
        <f>'典型户型修正-车库'!B98</f>
        <v>21.6</v>
      </c>
      <c r="E241" s="3524" t="s">
        <v>4102</v>
      </c>
      <c r="F241" s="3524">
        <f ca="1">'典型户型修正-车库'!S98</f>
        <v>9</v>
      </c>
    </row>
    <row r="242" spans="2:6">
      <c r="B242" s="3524">
        <v>76</v>
      </c>
      <c r="C242" s="3524" t="str">
        <f>'典型户型修正-车库'!A99</f>
        <v>B1155</v>
      </c>
      <c r="D242" s="3524">
        <f>'典型户型修正-车库'!B99</f>
        <v>29.05</v>
      </c>
      <c r="E242" s="3524" t="s">
        <v>4102</v>
      </c>
      <c r="F242" s="3524">
        <f ca="1">'典型户型修正-车库'!S99</f>
        <v>12</v>
      </c>
    </row>
    <row r="243" spans="2:6">
      <c r="B243" s="3524">
        <v>77</v>
      </c>
      <c r="C243" s="3524" t="str">
        <f>'典型户型修正-车库'!A100</f>
        <v>B1156</v>
      </c>
      <c r="D243" s="3524">
        <f>'典型户型修正-车库'!B100</f>
        <v>44.78</v>
      </c>
      <c r="E243" s="3524" t="s">
        <v>4102</v>
      </c>
      <c r="F243" s="3524">
        <f ca="1">'典型户型修正-车库'!S100</f>
        <v>16</v>
      </c>
    </row>
    <row r="244" spans="2:6">
      <c r="B244" s="3524">
        <v>78</v>
      </c>
      <c r="C244" s="3524" t="str">
        <f>'典型户型修正-车库'!A101</f>
        <v>B1157</v>
      </c>
      <c r="D244" s="3524">
        <f>'典型户型修正-车库'!B101</f>
        <v>21.6</v>
      </c>
      <c r="E244" s="3524" t="s">
        <v>4102</v>
      </c>
      <c r="F244" s="3524">
        <f ca="1">'典型户型修正-车库'!S101</f>
        <v>9</v>
      </c>
    </row>
    <row r="245" spans="2:6">
      <c r="B245" s="3524">
        <v>79</v>
      </c>
      <c r="C245" s="3524" t="str">
        <f>'典型户型修正-车库'!A102</f>
        <v>B1158</v>
      </c>
      <c r="D245" s="3524">
        <f>'典型户型修正-车库'!B102</f>
        <v>50.65</v>
      </c>
      <c r="E245" s="3524" t="s">
        <v>4102</v>
      </c>
      <c r="F245" s="3524">
        <f ca="1">'典型户型修正-车库'!S102</f>
        <v>17</v>
      </c>
    </row>
    <row r="246" spans="2:6">
      <c r="B246" s="3525" t="s">
        <v>4096</v>
      </c>
      <c r="C246" s="3525" t="s">
        <v>4098</v>
      </c>
      <c r="D246" s="3525">
        <f>SUM(D167:D245)</f>
        <v>2385.4199999999992</v>
      </c>
      <c r="E246" s="3525" t="s">
        <v>4097</v>
      </c>
      <c r="F246" s="3525">
        <f ca="1">SUM(F167:F245)</f>
        <v>964</v>
      </c>
    </row>
    <row r="247" spans="2:6">
      <c r="B247" s="3525" t="s">
        <v>4099</v>
      </c>
      <c r="C247" s="3525" t="s">
        <v>4097</v>
      </c>
      <c r="D247" s="3525">
        <f>D166+D246</f>
        <v>16714.339999999978</v>
      </c>
      <c r="E247" s="3525" t="s">
        <v>4097</v>
      </c>
      <c r="F247" s="3525">
        <f ca="1">F166+F246</f>
        <v>51017</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49" t="s">
        <v>946</v>
      </c>
      <c r="B1" s="3549"/>
      <c r="C1" s="3549"/>
      <c r="D1" s="3549"/>
    </row>
    <row r="2" spans="1:4" ht="18">
      <c r="A2" s="3550" t="s">
        <v>930</v>
      </c>
      <c r="B2" s="3550"/>
      <c r="C2" s="3550"/>
      <c r="D2" s="3550"/>
    </row>
    <row r="3" spans="1:4" ht="18.75">
      <c r="A3" s="1506" t="s">
        <v>931</v>
      </c>
      <c r="B3" s="1506" t="s">
        <v>932</v>
      </c>
      <c r="C3" s="1506" t="s">
        <v>933</v>
      </c>
      <c r="D3" s="1506" t="s">
        <v>934</v>
      </c>
    </row>
    <row r="4" spans="1:4" ht="56.25" customHeight="1">
      <c r="A4" s="1507" t="str">
        <f>项目基本情况!B4</f>
        <v>郑燚</v>
      </c>
      <c r="B4" s="1508">
        <f ca="1">项目基本情况!C4</f>
        <v>1120070131</v>
      </c>
      <c r="C4" s="1509"/>
      <c r="D4" s="1510" t="s">
        <v>935</v>
      </c>
    </row>
    <row r="5" spans="1:4" ht="56.25" customHeight="1">
      <c r="A5" s="1507" t="str">
        <f>项目基本情况!D4</f>
        <v>崔锴</v>
      </c>
      <c r="B5" s="1508">
        <f ca="1">项目基本情况!E4</f>
        <v>1120100036</v>
      </c>
      <c r="C5" s="1511"/>
      <c r="D5" s="1510" t="s">
        <v>935</v>
      </c>
    </row>
    <row r="6" spans="1:4" ht="18">
      <c r="A6" s="3550" t="s">
        <v>936</v>
      </c>
      <c r="B6" s="3550"/>
      <c r="C6" s="3550"/>
      <c r="D6" s="3550"/>
    </row>
    <row r="7" spans="1:4" ht="18.75">
      <c r="A7" s="1506" t="s">
        <v>931</v>
      </c>
      <c r="B7" s="1508" t="s">
        <v>937</v>
      </c>
      <c r="C7" s="1506" t="s">
        <v>933</v>
      </c>
      <c r="D7" s="1506" t="s">
        <v>934</v>
      </c>
    </row>
    <row r="8" spans="1:4" ht="56.25" customHeight="1">
      <c r="A8" s="1512" t="s">
        <v>390</v>
      </c>
      <c r="B8" s="1512" t="s">
        <v>0</v>
      </c>
      <c r="C8" s="1509"/>
      <c r="D8" s="1510" t="s">
        <v>935</v>
      </c>
    </row>
    <row r="9" spans="1:4">
      <c r="A9" s="674"/>
      <c r="B9" s="674"/>
      <c r="C9" s="674"/>
      <c r="D9" s="674"/>
    </row>
    <row r="10" spans="1:4" ht="18.75">
      <c r="A10" s="1513" t="s">
        <v>938</v>
      </c>
      <c r="B10" s="674"/>
      <c r="C10" s="674"/>
      <c r="D10" s="674"/>
    </row>
    <row r="11" spans="1:4" ht="30" customHeight="1">
      <c r="A11" s="3551" t="s">
        <v>939</v>
      </c>
      <c r="B11" s="3552"/>
      <c r="C11" s="3552"/>
      <c r="D11" s="3552"/>
    </row>
    <row r="12" spans="1:4" ht="15.75">
      <c r="A12" s="35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3"/>
      <c r="C12" s="3553"/>
      <c r="D12" s="3553"/>
    </row>
    <row r="13" spans="1:4" ht="30" customHeight="1">
      <c r="A13" s="35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3"/>
      <c r="C13" s="3553"/>
      <c r="D13" s="3553"/>
    </row>
    <row r="14" spans="1:4" ht="15.75" customHeight="1">
      <c r="A14" s="3552" t="str">
        <f>IF(项目基本情况!B8="抵押","4.本次评估估价师所知悉的法定优先受偿款情况说明如下：","——")</f>
        <v>4.本次评估估价师所知悉的法定优先受偿款情况说明如下：</v>
      </c>
      <c r="B14" s="3553"/>
      <c r="C14" s="3553"/>
      <c r="D14" s="3553"/>
    </row>
    <row r="15" spans="1:4" ht="42" customHeight="1">
      <c r="A15" s="35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2"/>
      <c r="C15" s="3552"/>
      <c r="D15" s="3552"/>
    </row>
    <row r="16" spans="1:4" ht="30" customHeight="1">
      <c r="A16" s="3555" t="s">
        <v>940</v>
      </c>
      <c r="B16" s="3555"/>
      <c r="C16" s="3555"/>
      <c r="D16" s="3555"/>
    </row>
    <row r="17" spans="1:4" ht="144" customHeight="1">
      <c r="A17" s="3555" t="s">
        <v>941</v>
      </c>
      <c r="B17" s="3555"/>
      <c r="C17" s="3555"/>
      <c r="D17" s="3555"/>
    </row>
    <row r="18" spans="1:4" ht="15.75" customHeight="1">
      <c r="A18" s="3552" t="str">
        <f>IF(项目基本情况!B8="抵押",'结果表-住宅基准'!K120,"——")</f>
        <v>故，本次评估不存在估价师知悉的法定优先受偿款</v>
      </c>
      <c r="B18" s="3552"/>
      <c r="C18" s="3552"/>
      <c r="D18" s="3552"/>
    </row>
    <row r="19" spans="1:4" ht="46.5" customHeight="1">
      <c r="A19" s="35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2"/>
      <c r="C19" s="3552"/>
      <c r="D19" s="3552"/>
    </row>
    <row r="20" spans="1:4" ht="57.75" customHeight="1">
      <c r="A20" s="3552" t="str">
        <f>IF('结果表-住宅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2"/>
      <c r="C20" s="3552"/>
      <c r="D20" s="3552"/>
    </row>
    <row r="21" spans="1:4" ht="57.75" customHeight="1">
      <c r="A21" s="3556" t="str">
        <f>IF('结果表-住宅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6"/>
      <c r="C21" s="3556"/>
      <c r="D21" s="3556"/>
    </row>
    <row r="22" spans="1:4" ht="18.75" customHeight="1">
      <c r="A22" s="3557" t="s">
        <v>942</v>
      </c>
      <c r="B22" s="3557"/>
      <c r="C22" s="3557"/>
      <c r="D22" s="3557"/>
    </row>
    <row r="23" spans="1:4">
      <c r="A23" s="1514"/>
      <c r="B23" s="1486"/>
      <c r="C23" s="1486"/>
      <c r="D23" s="1486"/>
    </row>
    <row r="24" spans="1:4">
      <c r="A24" s="1514"/>
      <c r="B24" s="1486"/>
      <c r="C24" s="1486"/>
      <c r="D24" s="1486"/>
    </row>
    <row r="25" spans="1:4" ht="18.75">
      <c r="A25" s="1515" t="s">
        <v>943</v>
      </c>
    </row>
    <row r="26" spans="1:4" ht="18">
      <c r="A26" s="1484"/>
    </row>
    <row r="27" spans="1:4" ht="18.75">
      <c r="A27" s="1484" t="s">
        <v>944</v>
      </c>
    </row>
    <row r="30" spans="1:4" ht="18.75">
      <c r="D30" s="1515" t="s">
        <v>945</v>
      </c>
    </row>
    <row r="31" spans="1:4" ht="13.5" customHeight="1">
      <c r="C31" s="3554">
        <v>42551</v>
      </c>
      <c r="D31" s="35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947</v>
      </c>
    </row>
    <row r="3" spans="1:7">
      <c r="A3" s="1520" t="s">
        <v>55</v>
      </c>
      <c r="B3" s="1504" t="s">
        <v>948</v>
      </c>
      <c r="G3" s="1521"/>
    </row>
    <row r="4" spans="1:7">
      <c r="G4" s="1521"/>
    </row>
    <row r="5" spans="1:7">
      <c r="A5" s="1523" t="s">
        <v>46</v>
      </c>
      <c r="B5" s="1504" t="s">
        <v>949</v>
      </c>
      <c r="G5" s="1521"/>
    </row>
    <row r="6" spans="1:7">
      <c r="G6" s="1521"/>
    </row>
    <row r="7" spans="1:7">
      <c r="A7" s="1524" t="s">
        <v>108</v>
      </c>
      <c r="B7" s="1504" t="s">
        <v>950</v>
      </c>
      <c r="G7" s="1521"/>
    </row>
    <row r="8" spans="1:7">
      <c r="G8" s="1521"/>
    </row>
    <row r="9" spans="1:7">
      <c r="A9" s="1525" t="s">
        <v>47</v>
      </c>
      <c r="B9" s="1504" t="s">
        <v>951</v>
      </c>
    </row>
    <row r="11" spans="1:7">
      <c r="A11" s="1526" t="s">
        <v>48</v>
      </c>
      <c r="B11" s="1527" t="s">
        <v>45</v>
      </c>
    </row>
    <row r="13" spans="1:7">
      <c r="A13" s="1528" t="s">
        <v>952</v>
      </c>
    </row>
    <row r="15" spans="1:7" ht="13.5">
      <c r="A15" s="3563" t="s">
        <v>953</v>
      </c>
      <c r="B15" s="3558" t="s">
        <v>109</v>
      </c>
      <c r="C15" s="3559"/>
    </row>
    <row r="16" spans="1:7" ht="13.5">
      <c r="A16" s="3564"/>
      <c r="B16" s="3558" t="s">
        <v>42</v>
      </c>
      <c r="C16" s="3559"/>
    </row>
    <row r="17" spans="1:3" ht="13.5">
      <c r="A17" s="3564"/>
      <c r="B17" s="3561" t="s">
        <v>954</v>
      </c>
      <c r="C17" s="1529" t="s">
        <v>953</v>
      </c>
    </row>
    <row r="18" spans="1:3" ht="13.5">
      <c r="A18" s="3564"/>
      <c r="B18" s="3561"/>
      <c r="C18" s="1529" t="s">
        <v>955</v>
      </c>
    </row>
    <row r="19" spans="1:3" ht="13.5">
      <c r="A19" s="3564"/>
      <c r="B19" s="3561"/>
      <c r="C19" s="1529" t="s">
        <v>956</v>
      </c>
    </row>
    <row r="20" spans="1:3" ht="13.5">
      <c r="A20" s="3565"/>
      <c r="B20" s="3560" t="s">
        <v>957</v>
      </c>
      <c r="C20" s="3559"/>
    </row>
    <row r="21" spans="1:3" ht="13.5">
      <c r="A21" s="1530" t="s">
        <v>958</v>
      </c>
      <c r="B21" s="1531"/>
      <c r="C21" s="1532"/>
    </row>
    <row r="22" spans="1:3" ht="13.5">
      <c r="A22" s="3562" t="s">
        <v>959</v>
      </c>
      <c r="B22" s="3560" t="s">
        <v>960</v>
      </c>
      <c r="C22" s="3559"/>
    </row>
    <row r="23" spans="1:3" ht="13.5">
      <c r="A23" s="3562"/>
      <c r="B23" s="3560" t="s">
        <v>961</v>
      </c>
      <c r="C23" s="3559"/>
    </row>
    <row r="24" spans="1:3" ht="13.5">
      <c r="A24" s="3562"/>
      <c r="B24" s="3560" t="s">
        <v>962</v>
      </c>
      <c r="C24" s="3559"/>
    </row>
    <row r="25" spans="1:3" ht="13.5">
      <c r="A25" s="3562"/>
      <c r="B25" s="3561" t="s">
        <v>963</v>
      </c>
      <c r="C25" s="1529" t="s">
        <v>964</v>
      </c>
    </row>
    <row r="26" spans="1:3" ht="13.5">
      <c r="A26" s="3562"/>
      <c r="B26" s="3561"/>
      <c r="C26" s="1529" t="s">
        <v>965</v>
      </c>
    </row>
    <row r="27" spans="1:3" ht="13.5">
      <c r="A27" s="3562"/>
      <c r="B27" s="3561"/>
      <c r="C27" s="1529" t="s">
        <v>966</v>
      </c>
    </row>
    <row r="28" spans="1:3" ht="13.5">
      <c r="A28" s="3562"/>
      <c r="B28" s="3561"/>
      <c r="C28" s="1529" t="s">
        <v>967</v>
      </c>
    </row>
    <row r="29" spans="1:3" ht="13.5">
      <c r="A29" s="3562"/>
      <c r="B29" s="3561"/>
      <c r="C29" s="1529" t="s">
        <v>968</v>
      </c>
    </row>
    <row r="30" spans="1:3" ht="13.5">
      <c r="A30" s="3562"/>
      <c r="B30" s="3561"/>
      <c r="C30" s="1529" t="s">
        <v>969</v>
      </c>
    </row>
    <row r="31" spans="1:3" ht="13.5">
      <c r="A31" s="3562"/>
      <c r="B31" s="3561"/>
      <c r="C31" s="1529" t="s">
        <v>970</v>
      </c>
    </row>
    <row r="32" spans="1:3" ht="13.5">
      <c r="A32" s="3562"/>
      <c r="B32" s="3561"/>
      <c r="C32" s="1529" t="s">
        <v>971</v>
      </c>
    </row>
    <row r="33" spans="1:3" ht="13.5">
      <c r="A33" s="3562"/>
      <c r="B33" s="3561"/>
      <c r="C33" s="1529" t="s">
        <v>972</v>
      </c>
    </row>
    <row r="34" spans="1:3">
      <c r="A34" s="1533" t="s">
        <v>49</v>
      </c>
    </row>
    <row r="37" spans="1:3">
      <c r="A37" s="1533" t="s">
        <v>973</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2135</v>
      </c>
      <c r="B2" s="2334">
        <f ca="1">TODAY()</f>
        <v>45231</v>
      </c>
      <c r="C2" s="2335" t="s">
        <v>2136</v>
      </c>
      <c r="D2" s="2335"/>
      <c r="E2" s="2335"/>
      <c r="F2" s="2331"/>
      <c r="G2" s="2331"/>
      <c r="H2" s="2331"/>
    </row>
    <row r="3" spans="1:8" ht="24" customHeight="1">
      <c r="A3" s="2336" t="s">
        <v>2137</v>
      </c>
      <c r="B3" s="2337" t="s">
        <v>2138</v>
      </c>
      <c r="C3" s="2337" t="s">
        <v>2139</v>
      </c>
      <c r="D3" s="2338" t="s">
        <v>2140</v>
      </c>
      <c r="E3" s="2339" t="s">
        <v>2141</v>
      </c>
      <c r="F3" s="1301" t="s">
        <v>2142</v>
      </c>
      <c r="G3" s="2337" t="s">
        <v>2139</v>
      </c>
      <c r="H3" s="2338" t="s">
        <v>2143</v>
      </c>
    </row>
    <row r="4" spans="1:8" ht="24" customHeight="1">
      <c r="A4" s="1301" t="s">
        <v>2144</v>
      </c>
      <c r="B4" s="1301">
        <f ca="1">IF(C4&lt;B2,"已过期",1119970066)</f>
        <v>1119970066</v>
      </c>
      <c r="C4" s="2340">
        <v>45937</v>
      </c>
      <c r="D4" s="2341" t="str">
        <f ca="1">A4&amp;"（注册号："&amp;B4&amp;"）"</f>
        <v>梁津（注册号：1119970066）</v>
      </c>
      <c r="E4" s="2342" t="s">
        <v>2144</v>
      </c>
      <c r="F4" s="1301">
        <f ca="1">IF(G4&lt;B2,"已过期",96010014)</f>
        <v>96010014</v>
      </c>
      <c r="G4" s="2343">
        <v>47118</v>
      </c>
      <c r="H4" s="2344" t="str">
        <f ca="1">E4&amp;"（注册号："&amp;F4&amp;"）"</f>
        <v>梁津（注册号：96010014）</v>
      </c>
    </row>
    <row r="5" spans="1:8" ht="24" customHeight="1">
      <c r="A5" s="1301" t="s">
        <v>2145</v>
      </c>
      <c r="B5" s="1301">
        <f ca="1">IF(C5&lt;B2,"已过期",1119970111)</f>
        <v>1119970111</v>
      </c>
      <c r="C5" s="2340">
        <v>45937</v>
      </c>
      <c r="D5" s="2341" t="str">
        <f t="shared" ref="D5:D15" ca="1" si="0">A5&amp;"（注册号："&amp;B5&amp;"）"</f>
        <v>叶凌（注册号：1119970111）</v>
      </c>
      <c r="E5" s="2342" t="s">
        <v>2145</v>
      </c>
      <c r="F5" s="1301">
        <f ca="1">IF(G5&lt;B2,"已过期",94010078)</f>
        <v>94010078</v>
      </c>
      <c r="G5" s="2343">
        <v>46387</v>
      </c>
      <c r="H5" s="2344" t="str">
        <f t="shared" ref="H5:H16" ca="1" si="1">E5&amp;"（注册号："&amp;F5&amp;"）"</f>
        <v>叶凌（注册号：94010078）</v>
      </c>
    </row>
    <row r="6" spans="1:8" ht="24" customHeight="1">
      <c r="A6" s="1301" t="s">
        <v>2146</v>
      </c>
      <c r="B6" s="1301">
        <f ca="1">IF(C6&lt;B2,"已过期",1120050019)</f>
        <v>1120050019</v>
      </c>
      <c r="C6" s="2340">
        <v>45410</v>
      </c>
      <c r="D6" s="2341" t="str">
        <f t="shared" ca="1" si="0"/>
        <v>王鹏（注册号：1120050019）</v>
      </c>
      <c r="E6" s="2342" t="s">
        <v>2146</v>
      </c>
      <c r="F6" s="1301">
        <f ca="1">IF(G6&lt;B2,"已过期",2002110030)</f>
        <v>2002110030</v>
      </c>
      <c r="G6" s="2343">
        <v>46387</v>
      </c>
      <c r="H6" s="2344" t="str">
        <f t="shared" ca="1" si="1"/>
        <v>王鹏（注册号：2002110030）</v>
      </c>
    </row>
    <row r="7" spans="1:8" ht="24" customHeight="1">
      <c r="A7" s="1301" t="s">
        <v>2147</v>
      </c>
      <c r="B7" s="1301">
        <f ca="1">IF(C7&lt;B2,"已过期",1120000080)</f>
        <v>1120000080</v>
      </c>
      <c r="C7" s="2340">
        <v>45937</v>
      </c>
      <c r="D7" s="2341" t="str">
        <f t="shared" ca="1" si="0"/>
        <v>欧红伟（注册号：1120000080）</v>
      </c>
      <c r="E7" s="2342" t="s">
        <v>2147</v>
      </c>
      <c r="F7" s="1301">
        <f ca="1">IF(G7&lt;B2,"已过期",2000110082)</f>
        <v>2000110082</v>
      </c>
      <c r="G7" s="2343">
        <v>46387</v>
      </c>
      <c r="H7" s="2344" t="str">
        <f t="shared" ca="1" si="1"/>
        <v>欧红伟（注册号：2000110082）</v>
      </c>
    </row>
    <row r="8" spans="1:8" ht="24" customHeight="1">
      <c r="A8" s="1301" t="s">
        <v>2148</v>
      </c>
      <c r="B8" s="1301">
        <f ca="1">IF(C8&lt;B2,"已过期",1419970001)</f>
        <v>1419970001</v>
      </c>
      <c r="C8" s="2340">
        <v>45937</v>
      </c>
      <c r="D8" s="2341" t="str">
        <f t="shared" ca="1" si="0"/>
        <v>吴薇（注册号：1419970001）</v>
      </c>
      <c r="E8" s="2342" t="s">
        <v>2148</v>
      </c>
      <c r="F8" s="1301">
        <f ca="1">IF(G8&lt;B2,"已过期",2002110125)</f>
        <v>2002110125</v>
      </c>
      <c r="G8" s="2343">
        <v>47118</v>
      </c>
      <c r="H8" s="2344" t="str">
        <f t="shared" ca="1" si="1"/>
        <v>吴薇（注册号：2002110125）</v>
      </c>
    </row>
    <row r="9" spans="1:8" ht="24" customHeight="1">
      <c r="A9" s="1301" t="s">
        <v>2149</v>
      </c>
      <c r="B9" s="1301">
        <f ca="1">IF(C9&lt;B2,"已过期",1120060040)</f>
        <v>1120060040</v>
      </c>
      <c r="C9" s="2345">
        <v>45592</v>
      </c>
      <c r="D9" s="2341" t="str">
        <f t="shared" ca="1" si="0"/>
        <v>陈颖（注册号：1120060040）</v>
      </c>
      <c r="E9" s="2342" t="s">
        <v>2149</v>
      </c>
      <c r="F9" s="1301">
        <f ca="1">IF(G9&lt;B2,"已过期",2004110096)</f>
        <v>2004110096</v>
      </c>
      <c r="G9" s="2343">
        <v>47118</v>
      </c>
      <c r="H9" s="2344" t="str">
        <f t="shared" ca="1" si="1"/>
        <v>陈颖（注册号：2004110096）</v>
      </c>
    </row>
    <row r="10" spans="1:8" ht="24" customHeight="1">
      <c r="A10" s="1301" t="s">
        <v>2150</v>
      </c>
      <c r="B10" s="1301">
        <f ca="1">IF(C10&lt;B2,"已过期",1120100036)</f>
        <v>1120100036</v>
      </c>
      <c r="C10" s="2345">
        <v>45752</v>
      </c>
      <c r="D10" s="2341" t="str">
        <f t="shared" ca="1" si="0"/>
        <v>崔锴（注册号：1120100036）</v>
      </c>
      <c r="E10" s="2342" t="s">
        <v>2150</v>
      </c>
      <c r="F10" s="1301">
        <f ca="1">IF(G10&lt;B2,"已过期",2010110070)</f>
        <v>2010110070</v>
      </c>
      <c r="G10" s="2343">
        <v>47907</v>
      </c>
      <c r="H10" s="2344" t="str">
        <f t="shared" ca="1" si="1"/>
        <v>崔锴（注册号：2010110070）</v>
      </c>
    </row>
    <row r="11" spans="1:8" ht="24" customHeight="1">
      <c r="A11" s="1301" t="s">
        <v>2151</v>
      </c>
      <c r="B11" s="1301">
        <f ca="1">IF(C11&lt;B2,"已过期",1120070131)</f>
        <v>1120070131</v>
      </c>
      <c r="C11" s="2340">
        <v>45937</v>
      </c>
      <c r="D11" s="2341" t="str">
        <f t="shared" ca="1" si="0"/>
        <v>郑燚（注册号：1120070131）</v>
      </c>
      <c r="E11" s="2342" t="s">
        <v>2151</v>
      </c>
      <c r="F11" s="1301">
        <f ca="1">IF(G11&lt;B2,"已过期",2014110011)</f>
        <v>2014110011</v>
      </c>
      <c r="G11" s="2343">
        <v>49302</v>
      </c>
      <c r="H11" s="2344" t="str">
        <f t="shared" ca="1" si="1"/>
        <v>郑燚（注册号：2014110011）</v>
      </c>
    </row>
    <row r="12" spans="1:8" ht="24" customHeight="1">
      <c r="A12" s="1301" t="s">
        <v>2152</v>
      </c>
      <c r="B12" s="1301">
        <f ca="1">IF(C12&lt;B2,"已过期",1120040230)</f>
        <v>1120040230</v>
      </c>
      <c r="C12" s="2345">
        <v>45937</v>
      </c>
      <c r="D12" s="2341" t="str">
        <f t="shared" ca="1" si="0"/>
        <v>苏海（注册号：1120040230）</v>
      </c>
      <c r="E12" s="2342" t="s">
        <v>2152</v>
      </c>
      <c r="F12" s="1301">
        <f ca="1">IF(G12&lt;B2,"已过期",98030020)</f>
        <v>98030020</v>
      </c>
      <c r="G12" s="2343">
        <v>47118</v>
      </c>
      <c r="H12" s="2344" t="str">
        <f t="shared" ca="1" si="1"/>
        <v>苏海（注册号：98030020）</v>
      </c>
    </row>
    <row r="13" spans="1:8" ht="24" customHeight="1">
      <c r="A13" s="1301" t="s">
        <v>2153</v>
      </c>
      <c r="B13" s="1301">
        <f ca="1">IF(C13&lt;B2,"已过期",1120020033)</f>
        <v>1120020033</v>
      </c>
      <c r="C13" s="2340">
        <v>45375</v>
      </c>
      <c r="D13" s="2341" t="str">
        <f t="shared" ca="1" si="0"/>
        <v>刘敬东（注册号：1120020033）</v>
      </c>
      <c r="E13" s="2342" t="s">
        <v>2153</v>
      </c>
      <c r="F13" s="1301">
        <f ca="1">IF(G13&lt;B2,"已过期",2000110137)</f>
        <v>2000110137</v>
      </c>
      <c r="G13" s="2343">
        <v>46387</v>
      </c>
      <c r="H13" s="2344" t="str">
        <f t="shared" ca="1" si="1"/>
        <v>刘敬东（注册号：2000110137）</v>
      </c>
    </row>
    <row r="14" spans="1:8" ht="24" customHeight="1">
      <c r="A14" s="1301" t="s">
        <v>2154</v>
      </c>
      <c r="B14" s="1301" t="str">
        <f ca="1">IF(C14&lt;B2,"已过期",1119980106)</f>
        <v>已过期</v>
      </c>
      <c r="C14" s="2345">
        <v>44969</v>
      </c>
      <c r="D14" s="2341" t="str">
        <f t="shared" ca="1" si="0"/>
        <v>刘俊财（注册号：已过期）</v>
      </c>
      <c r="E14" s="2342" t="s">
        <v>2154</v>
      </c>
      <c r="F14" s="1301">
        <f ca="1">IF(G14&lt;B2,"已过期",96010063)</f>
        <v>96010063</v>
      </c>
      <c r="G14" s="2343">
        <v>47483</v>
      </c>
      <c r="H14" s="2344" t="str">
        <f t="shared" ca="1" si="1"/>
        <v>刘俊财（注册号：96010063）</v>
      </c>
    </row>
    <row r="15" spans="1:8" ht="24" customHeight="1">
      <c r="A15" s="1301" t="s">
        <v>2437</v>
      </c>
      <c r="B15" s="1301">
        <v>1120210056</v>
      </c>
      <c r="C15" s="2345">
        <v>45410</v>
      </c>
      <c r="D15" s="2341" t="str">
        <f t="shared" si="0"/>
        <v>宁小鳗（注册号：1120210056）</v>
      </c>
      <c r="E15" s="2342" t="s">
        <v>2155</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66" t="s">
        <v>2156</v>
      </c>
      <c r="B17" s="3566"/>
      <c r="C17" s="3566"/>
      <c r="D17" s="3566"/>
      <c r="E17" s="3566"/>
      <c r="F17" s="3566"/>
      <c r="G17" s="3566"/>
      <c r="H17" s="3566"/>
    </row>
    <row r="18" spans="1:8" ht="24" customHeight="1">
      <c r="A18" s="3567" t="s">
        <v>2157</v>
      </c>
      <c r="B18" s="3567"/>
      <c r="C18" s="3567"/>
      <c r="D18" s="2338"/>
      <c r="E18" s="3568" t="s">
        <v>2158</v>
      </c>
      <c r="F18" s="3567"/>
      <c r="G18" s="3567"/>
    </row>
    <row r="19" spans="1:8" s="2349" customFormat="1" ht="24" customHeight="1">
      <c r="A19" s="2348" t="s">
        <v>2159</v>
      </c>
      <c r="B19" s="2337" t="s">
        <v>2160</v>
      </c>
      <c r="C19" s="2337" t="s">
        <v>2139</v>
      </c>
      <c r="D19" s="2338"/>
      <c r="E19" s="2342" t="s">
        <v>2159</v>
      </c>
      <c r="F19" s="2337" t="s">
        <v>2160</v>
      </c>
      <c r="G19" s="2337" t="s">
        <v>2139</v>
      </c>
    </row>
    <row r="20" spans="1:8" s="2349" customFormat="1" ht="24" customHeight="1">
      <c r="A20" s="2350" t="s">
        <v>2161</v>
      </c>
      <c r="B20" s="2350" t="s">
        <v>2162</v>
      </c>
      <c r="C20" s="2343">
        <v>45898</v>
      </c>
      <c r="D20" s="2351"/>
      <c r="E20" s="2352" t="s">
        <v>2163</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309" priority="53">
      <formula>AND($C4-TODAY()&lt;30,TODAY()&lt;$C4)</formula>
    </cfRule>
  </conditionalFormatting>
  <conditionalFormatting sqref="C20:D20">
    <cfRule type="expression" dxfId="308" priority="52">
      <formula>AND($C20-TODAY()&lt;30,TODAY()&lt;$C20)</formula>
    </cfRule>
  </conditionalFormatting>
  <conditionalFormatting sqref="C20:D20 G4 C4:D5 C13:D13">
    <cfRule type="cellIs" dxfId="307" priority="54" stopIfTrue="1" operator="lessThan">
      <formula>$B$2</formula>
    </cfRule>
  </conditionalFormatting>
  <conditionalFormatting sqref="G5 G7 G9">
    <cfRule type="cellIs" dxfId="306" priority="51" stopIfTrue="1" operator="lessThan">
      <formula>$B$2</formula>
    </cfRule>
  </conditionalFormatting>
  <conditionalFormatting sqref="C6:D6 D14 D16">
    <cfRule type="expression" dxfId="305" priority="49">
      <formula>AND($C6-TODAY()&lt;30,TODAY()&lt;$C6)</formula>
    </cfRule>
  </conditionalFormatting>
  <conditionalFormatting sqref="G6 G8 G10 C6:D6 D7:D12 D14 D16">
    <cfRule type="cellIs" dxfId="304" priority="50" stopIfTrue="1" operator="lessThan">
      <formula>$B$2</formula>
    </cfRule>
  </conditionalFormatting>
  <conditionalFormatting sqref="D12">
    <cfRule type="expression" dxfId="303" priority="47">
      <formula>AND($C12-TODAY()&lt;30,TODAY()&lt;$C12)</formula>
    </cfRule>
  </conditionalFormatting>
  <conditionalFormatting sqref="D12">
    <cfRule type="cellIs" dxfId="302" priority="48" stopIfTrue="1" operator="lessThan">
      <formula>$B$2</formula>
    </cfRule>
  </conditionalFormatting>
  <conditionalFormatting sqref="C13:D13">
    <cfRule type="expression" dxfId="301" priority="45">
      <formula>AND($C13-TODAY()&lt;30,TODAY()&lt;$C13)</formula>
    </cfRule>
  </conditionalFormatting>
  <conditionalFormatting sqref="C13:D13">
    <cfRule type="cellIs" dxfId="300" priority="46" stopIfTrue="1" operator="lessThan">
      <formula>$B$2</formula>
    </cfRule>
  </conditionalFormatting>
  <conditionalFormatting sqref="D14">
    <cfRule type="expression" dxfId="299" priority="43">
      <formula>AND($C14-TODAY()&lt;30,TODAY()&lt;$C14)</formula>
    </cfRule>
  </conditionalFormatting>
  <conditionalFormatting sqref="D14">
    <cfRule type="cellIs" dxfId="298" priority="44" stopIfTrue="1" operator="lessThan">
      <formula>$B$2</formula>
    </cfRule>
  </conditionalFormatting>
  <conditionalFormatting sqref="G13">
    <cfRule type="cellIs" dxfId="297" priority="42" stopIfTrue="1" operator="lessThan">
      <formula>$B$2</formula>
    </cfRule>
  </conditionalFormatting>
  <conditionalFormatting sqref="B4:B11 F4:F11 B13 F13:F14">
    <cfRule type="cellIs" dxfId="296" priority="41" stopIfTrue="1" operator="equal">
      <formula>"已过期"</formula>
    </cfRule>
  </conditionalFormatting>
  <conditionalFormatting sqref="C7">
    <cfRule type="cellIs" dxfId="295" priority="38" stopIfTrue="1" operator="lessThan">
      <formula>$B$2</formula>
    </cfRule>
  </conditionalFormatting>
  <conditionalFormatting sqref="C7">
    <cfRule type="expression" dxfId="294" priority="37">
      <formula>AND($C7-TODAY()&lt;30,TODAY()&lt;$C7)</formula>
    </cfRule>
  </conditionalFormatting>
  <conditionalFormatting sqref="C8">
    <cfRule type="expression" dxfId="293" priority="35">
      <formula>AND($C8-TODAY()&lt;30,TODAY()&lt;$C8)</formula>
    </cfRule>
  </conditionalFormatting>
  <conditionalFormatting sqref="C8">
    <cfRule type="cellIs" dxfId="292" priority="36" stopIfTrue="1" operator="lessThan">
      <formula>$B$2</formula>
    </cfRule>
  </conditionalFormatting>
  <conditionalFormatting sqref="C11">
    <cfRule type="expression" dxfId="291" priority="33">
      <formula>AND($C11-TODAY()&lt;30,TODAY()&lt;$C11)</formula>
    </cfRule>
  </conditionalFormatting>
  <conditionalFormatting sqref="C11">
    <cfRule type="cellIs" dxfId="290" priority="34" stopIfTrue="1" operator="lessThan">
      <formula>$B$2</formula>
    </cfRule>
  </conditionalFormatting>
  <conditionalFormatting sqref="A16:C16">
    <cfRule type="cellIs" dxfId="289" priority="32" stopIfTrue="1" operator="equal">
      <formula>"已过期"</formula>
    </cfRule>
  </conditionalFormatting>
  <conditionalFormatting sqref="E16:G16">
    <cfRule type="cellIs" dxfId="288" priority="31" stopIfTrue="1" operator="equal">
      <formula>"已过期"</formula>
    </cfRule>
  </conditionalFormatting>
  <conditionalFormatting sqref="G11">
    <cfRule type="cellIs" dxfId="287" priority="30" stopIfTrue="1" operator="lessThan">
      <formula>$B$2</formula>
    </cfRule>
  </conditionalFormatting>
  <conditionalFormatting sqref="F12">
    <cfRule type="cellIs" dxfId="286" priority="29" stopIfTrue="1" operator="equal">
      <formula>"已过期"</formula>
    </cfRule>
  </conditionalFormatting>
  <conditionalFormatting sqref="G12">
    <cfRule type="cellIs" dxfId="285" priority="28" stopIfTrue="1" operator="lessThan">
      <formula>$B$2</formula>
    </cfRule>
  </conditionalFormatting>
  <conditionalFormatting sqref="C12">
    <cfRule type="cellIs" dxfId="284" priority="27" stopIfTrue="1" operator="lessThan">
      <formula>$B$2</formula>
    </cfRule>
  </conditionalFormatting>
  <conditionalFormatting sqref="C12">
    <cfRule type="expression" dxfId="283" priority="25">
      <formula>AND($C12-TODAY()&lt;30,TODAY()&lt;$C12)</formula>
    </cfRule>
  </conditionalFormatting>
  <conditionalFormatting sqref="C12">
    <cfRule type="cellIs" dxfId="282" priority="26" stopIfTrue="1" operator="lessThan">
      <formula>$B$2</formula>
    </cfRule>
  </conditionalFormatting>
  <conditionalFormatting sqref="B12">
    <cfRule type="cellIs" dxfId="281" priority="24" stopIfTrue="1" operator="equal">
      <formula>"已过期"</formula>
    </cfRule>
  </conditionalFormatting>
  <conditionalFormatting sqref="C9:C10">
    <cfRule type="expression" dxfId="280" priority="22">
      <formula>AND($C9-TODAY()&lt;30,TODAY()&lt;$C9)</formula>
    </cfRule>
  </conditionalFormatting>
  <conditionalFormatting sqref="C9:C10">
    <cfRule type="cellIs" dxfId="279" priority="23" stopIfTrue="1" operator="lessThan">
      <formula>$B$2</formula>
    </cfRule>
  </conditionalFormatting>
  <conditionalFormatting sqref="G21">
    <cfRule type="expression" dxfId="278" priority="20" stopIfTrue="1">
      <formula>AND(#REF!-TODAY()&lt;30,TODAY()&lt;#REF!)</formula>
    </cfRule>
  </conditionalFormatting>
  <conditionalFormatting sqref="G21">
    <cfRule type="cellIs" dxfId="277" priority="21" stopIfTrue="1" operator="lessThan">
      <formula>$B$2</formula>
    </cfRule>
  </conditionalFormatting>
  <conditionalFormatting sqref="C14">
    <cfRule type="expression" dxfId="276" priority="18">
      <formula>AND($C14-TODAY()&lt;30,TODAY()&lt;$C14)</formula>
    </cfRule>
  </conditionalFormatting>
  <conditionalFormatting sqref="C14">
    <cfRule type="cellIs" dxfId="275" priority="19" stopIfTrue="1" operator="lessThan">
      <formula>$B$2</formula>
    </cfRule>
  </conditionalFormatting>
  <conditionalFormatting sqref="C14">
    <cfRule type="expression" dxfId="274" priority="16">
      <formula>AND($C14-TODAY()&lt;30,TODAY()&lt;$C14)</formula>
    </cfRule>
  </conditionalFormatting>
  <conditionalFormatting sqref="C14">
    <cfRule type="cellIs" dxfId="273" priority="17" stopIfTrue="1" operator="lessThan">
      <formula>$B$2</formula>
    </cfRule>
  </conditionalFormatting>
  <conditionalFormatting sqref="B14">
    <cfRule type="cellIs" dxfId="272" priority="15" stopIfTrue="1" operator="equal">
      <formula>"已过期"</formula>
    </cfRule>
  </conditionalFormatting>
  <conditionalFormatting sqref="G14">
    <cfRule type="cellIs" dxfId="271" priority="14" stopIfTrue="1" operator="lessThan">
      <formula>$B$2</formula>
    </cfRule>
  </conditionalFormatting>
  <conditionalFormatting sqref="D15">
    <cfRule type="expression" dxfId="270" priority="12">
      <formula>AND($C15-TODAY()&lt;30,TODAY()&lt;$C15)</formula>
    </cfRule>
  </conditionalFormatting>
  <conditionalFormatting sqref="D15">
    <cfRule type="cellIs" dxfId="269" priority="13" stopIfTrue="1" operator="lessThan">
      <formula>$B$2</formula>
    </cfRule>
  </conditionalFormatting>
  <conditionalFormatting sqref="D15">
    <cfRule type="expression" dxfId="268" priority="10">
      <formula>AND($C15-TODAY()&lt;30,TODAY()&lt;$C15)</formula>
    </cfRule>
  </conditionalFormatting>
  <conditionalFormatting sqref="D15">
    <cfRule type="cellIs" dxfId="267" priority="11" stopIfTrue="1" operator="lessThan">
      <formula>$B$2</formula>
    </cfRule>
  </conditionalFormatting>
  <conditionalFormatting sqref="F15">
    <cfRule type="cellIs" dxfId="266" priority="9" stopIfTrue="1" operator="equal">
      <formula>"已过期"</formula>
    </cfRule>
  </conditionalFormatting>
  <conditionalFormatting sqref="C15">
    <cfRule type="expression" dxfId="265" priority="7">
      <formula>AND($C15-TODAY()&lt;30,TODAY()&lt;$C15)</formula>
    </cfRule>
  </conditionalFormatting>
  <conditionalFormatting sqref="C15">
    <cfRule type="cellIs" dxfId="264" priority="8" stopIfTrue="1" operator="lessThan">
      <formula>$B$2</formula>
    </cfRule>
  </conditionalFormatting>
  <conditionalFormatting sqref="C15">
    <cfRule type="expression" dxfId="263" priority="5">
      <formula>AND($C15-TODAY()&lt;30,TODAY()&lt;$C15)</formula>
    </cfRule>
  </conditionalFormatting>
  <conditionalFormatting sqref="C15">
    <cfRule type="cellIs" dxfId="262" priority="6" stopIfTrue="1" operator="lessThan">
      <formula>$B$2</formula>
    </cfRule>
  </conditionalFormatting>
  <conditionalFormatting sqref="B15">
    <cfRule type="cellIs" dxfId="261" priority="4" stopIfTrue="1" operator="equal">
      <formula>"已过期"</formula>
    </cfRule>
  </conditionalFormatting>
  <conditionalFormatting sqref="G15">
    <cfRule type="cellIs" dxfId="260" priority="3" stopIfTrue="1" operator="lessThan">
      <formula>$B$2</formula>
    </cfRule>
  </conditionalFormatting>
  <conditionalFormatting sqref="G20">
    <cfRule type="expression" dxfId="259" priority="1" stopIfTrue="1">
      <formula>AND(#REF!-TODAY()&lt;30,TODAY()&lt;#REF!)</formula>
    </cfRule>
  </conditionalFormatting>
  <conditionalFormatting sqref="G20">
    <cfRule type="cellIs" dxfId="25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160</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二期房号清单</vt:lpstr>
      <vt:lpstr>二期车位清单</vt:lpstr>
      <vt:lpstr>数据-取费表</vt:lpstr>
      <vt:lpstr>估价对象房地状况</vt:lpstr>
      <vt:lpstr>系统读取表</vt:lpstr>
      <vt:lpstr>结果表-住宅基准</vt:lpstr>
      <vt:lpstr>比较法-住宅</vt:lpstr>
      <vt:lpstr>成本法</vt:lpstr>
      <vt:lpstr>住宅</vt:lpstr>
      <vt:lpstr>成本法 (元)</vt:lpstr>
      <vt:lpstr>假设开发法</vt:lpstr>
      <vt:lpstr>土地比较法-住宅、综合</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结果表车库!Print_Area</vt:lpstr>
      <vt:lpstr>'结果表-住宅基准'!Print_Area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2023-11-01T11:13:47Z</dcterms:modified>
</cp:coreProperties>
</file>