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30" windowWidth="11310" windowHeight="10230" tabRatio="899" firstSheet="22"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9" i="31" l="1"/>
  <c r="Y8" i="31"/>
  <c r="Y7" i="31"/>
  <c r="Z9" i="31"/>
  <c r="Z8" i="31"/>
  <c r="Z7" i="31"/>
  <c r="Q60" i="85" l="1"/>
  <c r="R57" i="85"/>
  <c r="I88" i="80" l="1"/>
  <c r="E81" i="85" l="1"/>
  <c r="C88" i="80" s="1"/>
  <c r="C4" i="31" l="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Q129" i="88" s="1"/>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D5" i="89" s="1"/>
  <c r="B27" i="88"/>
  <c r="D6" i="89" s="1"/>
  <c r="B29" i="88"/>
  <c r="D7" i="89" s="1"/>
  <c r="B30" i="88"/>
  <c r="D8" i="89" s="1"/>
  <c r="B31" i="88"/>
  <c r="D9" i="89" s="1"/>
  <c r="B32" i="88"/>
  <c r="D10" i="89" s="1"/>
  <c r="B33" i="88"/>
  <c r="D11" i="89" s="1"/>
  <c r="B34" i="88"/>
  <c r="D12" i="89" s="1"/>
  <c r="B35" i="88"/>
  <c r="D13" i="89" s="1"/>
  <c r="B36" i="88"/>
  <c r="D14" i="89" s="1"/>
  <c r="B37" i="88"/>
  <c r="D15" i="89" s="1"/>
  <c r="B38" i="88"/>
  <c r="D16" i="89" s="1"/>
  <c r="B39" i="88"/>
  <c r="D17" i="89" s="1"/>
  <c r="B40" i="88"/>
  <c r="D18" i="89" s="1"/>
  <c r="B41" i="88"/>
  <c r="D19" i="89" s="1"/>
  <c r="B42" i="88"/>
  <c r="D20" i="89" s="1"/>
  <c r="B43" i="88"/>
  <c r="D21" i="89" s="1"/>
  <c r="B44" i="88"/>
  <c r="D22" i="89" s="1"/>
  <c r="B45" i="88"/>
  <c r="D23" i="89" s="1"/>
  <c r="B46" i="88"/>
  <c r="D24" i="89" s="1"/>
  <c r="B47" i="88"/>
  <c r="D25" i="89" s="1"/>
  <c r="B48" i="88"/>
  <c r="D26" i="89" s="1"/>
  <c r="B49" i="88"/>
  <c r="D27" i="89" s="1"/>
  <c r="B50" i="88"/>
  <c r="D28" i="89" s="1"/>
  <c r="B51" i="88"/>
  <c r="D29" i="89" s="1"/>
  <c r="B52" i="88"/>
  <c r="D30" i="89" s="1"/>
  <c r="B53" i="88"/>
  <c r="D31" i="89" s="1"/>
  <c r="B54" i="88"/>
  <c r="D32" i="89" s="1"/>
  <c r="B55" i="88"/>
  <c r="D33" i="89" s="1"/>
  <c r="B56" i="88"/>
  <c r="D34" i="89" s="1"/>
  <c r="B57" i="88"/>
  <c r="D35" i="89" s="1"/>
  <c r="B58" i="88"/>
  <c r="D36" i="89" s="1"/>
  <c r="B59" i="88"/>
  <c r="D37" i="89" s="1"/>
  <c r="B60" i="88"/>
  <c r="D38" i="89" s="1"/>
  <c r="B61" i="88"/>
  <c r="D39" i="89" s="1"/>
  <c r="B62" i="88"/>
  <c r="D40" i="89" s="1"/>
  <c r="B63" i="88"/>
  <c r="D41" i="89" s="1"/>
  <c r="B64" i="88"/>
  <c r="D42" i="89" s="1"/>
  <c r="B65" i="88"/>
  <c r="D43" i="89" s="1"/>
  <c r="B66" i="88"/>
  <c r="D44" i="89" s="1"/>
  <c r="B67" i="88"/>
  <c r="D45" i="89" s="1"/>
  <c r="B68" i="88"/>
  <c r="D46" i="89" s="1"/>
  <c r="B69" i="88"/>
  <c r="D47" i="89" s="1"/>
  <c r="B70" i="88"/>
  <c r="D48" i="89" s="1"/>
  <c r="B71" i="88"/>
  <c r="D49" i="89" s="1"/>
  <c r="B72" i="88"/>
  <c r="D50" i="89" s="1"/>
  <c r="B73" i="88"/>
  <c r="D51" i="89" s="1"/>
  <c r="B74" i="88"/>
  <c r="D52" i="89" s="1"/>
  <c r="B75" i="88"/>
  <c r="D53" i="89" s="1"/>
  <c r="B76" i="88"/>
  <c r="D54" i="89" s="1"/>
  <c r="B77" i="88"/>
  <c r="D55" i="89" s="1"/>
  <c r="B78" i="88"/>
  <c r="D56" i="89" s="1"/>
  <c r="B79" i="88"/>
  <c r="D57" i="89" s="1"/>
  <c r="B80" i="88"/>
  <c r="D58" i="89" s="1"/>
  <c r="B81" i="88"/>
  <c r="D59" i="89" s="1"/>
  <c r="B82" i="88"/>
  <c r="D60" i="89" s="1"/>
  <c r="B83" i="88"/>
  <c r="D61" i="89" s="1"/>
  <c r="B84" i="88"/>
  <c r="D62" i="89" s="1"/>
  <c r="B85" i="88"/>
  <c r="D63" i="89" s="1"/>
  <c r="B86" i="88"/>
  <c r="D64" i="89" s="1"/>
  <c r="B87" i="88"/>
  <c r="D65" i="89" s="1"/>
  <c r="B88" i="88"/>
  <c r="D66" i="89" s="1"/>
  <c r="B89" i="88"/>
  <c r="D67" i="89" s="1"/>
  <c r="B90" i="88"/>
  <c r="D68" i="89" s="1"/>
  <c r="B91" i="88"/>
  <c r="D69" i="89" s="1"/>
  <c r="B92" i="88"/>
  <c r="D70" i="89" s="1"/>
  <c r="B93" i="88"/>
  <c r="D71" i="89" s="1"/>
  <c r="B94" i="88"/>
  <c r="D72" i="89" s="1"/>
  <c r="B95" i="88"/>
  <c r="D73" i="89" s="1"/>
  <c r="B96" i="88"/>
  <c r="D74" i="89" s="1"/>
  <c r="B97" i="88"/>
  <c r="D75" i="89" s="1"/>
  <c r="B98" i="88"/>
  <c r="D76" i="89" s="1"/>
  <c r="B99" i="88"/>
  <c r="D77" i="89" s="1"/>
  <c r="B100" i="88"/>
  <c r="D78" i="89" s="1"/>
  <c r="B101" i="88"/>
  <c r="D79" i="89" s="1"/>
  <c r="B102" i="88"/>
  <c r="D80" i="89" s="1"/>
  <c r="B103" i="88"/>
  <c r="D81" i="89" s="1"/>
  <c r="B104" i="88"/>
  <c r="D82" i="89" s="1"/>
  <c r="B105" i="88"/>
  <c r="D83" i="89" s="1"/>
  <c r="B106" i="88"/>
  <c r="D84" i="89" s="1"/>
  <c r="B107" i="88"/>
  <c r="D85" i="89" s="1"/>
  <c r="B108" i="88"/>
  <c r="D86" i="89" s="1"/>
  <c r="B109" i="88"/>
  <c r="D87" i="89" s="1"/>
  <c r="B110" i="88"/>
  <c r="D88" i="89" s="1"/>
  <c r="B111" i="88"/>
  <c r="D89" i="89" s="1"/>
  <c r="B112" i="88"/>
  <c r="D90" i="89" s="1"/>
  <c r="B113" i="88"/>
  <c r="D91" i="89" s="1"/>
  <c r="B114" i="88"/>
  <c r="D92" i="89" s="1"/>
  <c r="B115" i="88"/>
  <c r="D93" i="89" s="1"/>
  <c r="B116" i="88"/>
  <c r="D94" i="89" s="1"/>
  <c r="B117" i="88"/>
  <c r="D95" i="89" s="1"/>
  <c r="B118" i="88"/>
  <c r="D96" i="89" s="1"/>
  <c r="B119" i="88"/>
  <c r="D97" i="89" s="1"/>
  <c r="B120" i="88"/>
  <c r="D98" i="89" s="1"/>
  <c r="B121" i="88"/>
  <c r="D99" i="89" s="1"/>
  <c r="B122" i="88"/>
  <c r="D100" i="89" s="1"/>
  <c r="B123" i="88"/>
  <c r="D101" i="89" s="1"/>
  <c r="B124" i="88"/>
  <c r="D102" i="89" s="1"/>
  <c r="B125" i="88"/>
  <c r="D103" i="89" s="1"/>
  <c r="B126" i="88"/>
  <c r="D104" i="89" s="1"/>
  <c r="B127" i="88"/>
  <c r="D105" i="89" s="1"/>
  <c r="B128" i="88"/>
  <c r="D106" i="89" s="1"/>
  <c r="B129" i="88"/>
  <c r="D107" i="89" s="1"/>
  <c r="B130" i="88"/>
  <c r="D108" i="89" s="1"/>
  <c r="B131" i="88"/>
  <c r="D109" i="89" s="1"/>
  <c r="B132" i="88"/>
  <c r="D110" i="89" s="1"/>
  <c r="B133" i="88"/>
  <c r="D111" i="89" s="1"/>
  <c r="B134" i="88"/>
  <c r="D112" i="89" s="1"/>
  <c r="B135" i="88"/>
  <c r="D113" i="89" s="1"/>
  <c r="B136" i="88"/>
  <c r="D114" i="89" s="1"/>
  <c r="B137" i="88"/>
  <c r="D115" i="89" s="1"/>
  <c r="B138" i="88"/>
  <c r="D116" i="89" s="1"/>
  <c r="B139" i="88"/>
  <c r="D117" i="89" s="1"/>
  <c r="B140" i="88"/>
  <c r="D118" i="89" s="1"/>
  <c r="B141" i="88"/>
  <c r="D119" i="89" s="1"/>
  <c r="B142" i="88"/>
  <c r="D120" i="89" s="1"/>
  <c r="B143" i="88"/>
  <c r="D121" i="89" s="1"/>
  <c r="B144" i="88"/>
  <c r="D122" i="89" s="1"/>
  <c r="B145" i="88"/>
  <c r="D123" i="89" s="1"/>
  <c r="B146" i="88"/>
  <c r="D124" i="89" s="1"/>
  <c r="B147" i="88"/>
  <c r="D125" i="89" s="1"/>
  <c r="B148" i="88"/>
  <c r="D126" i="89" s="1"/>
  <c r="B149" i="88"/>
  <c r="D127" i="89" s="1"/>
  <c r="B150" i="88"/>
  <c r="D128" i="89" s="1"/>
  <c r="B151" i="88"/>
  <c r="D129" i="89" s="1"/>
  <c r="B152" i="88"/>
  <c r="D130" i="89" s="1"/>
  <c r="B153" i="88"/>
  <c r="D131" i="89" s="1"/>
  <c r="B154" i="88"/>
  <c r="D132" i="89" s="1"/>
  <c r="B155" i="88"/>
  <c r="D133" i="89" s="1"/>
  <c r="B156" i="88"/>
  <c r="D134" i="89" s="1"/>
  <c r="B157" i="88"/>
  <c r="D135" i="89" s="1"/>
  <c r="B158" i="88"/>
  <c r="D136" i="89" s="1"/>
  <c r="B159" i="88"/>
  <c r="D137" i="89" s="1"/>
  <c r="B160" i="88"/>
  <c r="D138" i="89" s="1"/>
  <c r="B161" i="88"/>
  <c r="D139" i="89" s="1"/>
  <c r="B162" i="88"/>
  <c r="D140" i="89" s="1"/>
  <c r="B163" i="88"/>
  <c r="D141" i="89" s="1"/>
  <c r="B164" i="88"/>
  <c r="D142" i="89" s="1"/>
  <c r="B165" i="88"/>
  <c r="D143" i="89" s="1"/>
  <c r="B166" i="88"/>
  <c r="D144" i="89" s="1"/>
  <c r="B167" i="88"/>
  <c r="D145" i="89" s="1"/>
  <c r="B168" i="88"/>
  <c r="D146" i="89" s="1"/>
  <c r="B169" i="88"/>
  <c r="D147" i="89" s="1"/>
  <c r="B170" i="88"/>
  <c r="D148" i="89" s="1"/>
  <c r="B171" i="88"/>
  <c r="D149" i="89" s="1"/>
  <c r="B172" i="88"/>
  <c r="D150" i="89" s="1"/>
  <c r="B173" i="88"/>
  <c r="D151" i="89" s="1"/>
  <c r="B174" i="88"/>
  <c r="D152" i="89" s="1"/>
  <c r="B175" i="88"/>
  <c r="D153" i="89" s="1"/>
  <c r="B176" i="88"/>
  <c r="D154" i="89" s="1"/>
  <c r="B177" i="88"/>
  <c r="D155" i="89" s="1"/>
  <c r="B178" i="88"/>
  <c r="D156" i="89" s="1"/>
  <c r="B179" i="88"/>
  <c r="D157" i="89" s="1"/>
  <c r="B180" i="88"/>
  <c r="D158" i="89" s="1"/>
  <c r="B181" i="88"/>
  <c r="D159" i="89" s="1"/>
  <c r="B182" i="88"/>
  <c r="D160" i="89" s="1"/>
  <c r="B183" i="88"/>
  <c r="D161" i="89" s="1"/>
  <c r="B184" i="88"/>
  <c r="D162" i="89" s="1"/>
  <c r="B185" i="88"/>
  <c r="D163" i="89" s="1"/>
  <c r="B186" i="88"/>
  <c r="D164" i="89" s="1"/>
  <c r="B187" i="88"/>
  <c r="D165" i="89" s="1"/>
  <c r="A26" i="88"/>
  <c r="C5" i="89" s="1"/>
  <c r="A27" i="88"/>
  <c r="C6" i="89" s="1"/>
  <c r="A29" i="88"/>
  <c r="C7" i="89" s="1"/>
  <c r="A30" i="88"/>
  <c r="C8" i="89" s="1"/>
  <c r="A31" i="88"/>
  <c r="C9" i="89" s="1"/>
  <c r="A32" i="88"/>
  <c r="C10" i="89" s="1"/>
  <c r="A33" i="88"/>
  <c r="C11" i="89" s="1"/>
  <c r="A34" i="88"/>
  <c r="C12" i="89" s="1"/>
  <c r="A35" i="88"/>
  <c r="C13" i="89" s="1"/>
  <c r="A36" i="88"/>
  <c r="C14" i="89" s="1"/>
  <c r="A37" i="88"/>
  <c r="C15" i="89" s="1"/>
  <c r="A38" i="88"/>
  <c r="C16" i="89" s="1"/>
  <c r="A39" i="88"/>
  <c r="C17" i="89" s="1"/>
  <c r="A40" i="88"/>
  <c r="C18" i="89" s="1"/>
  <c r="A41" i="88"/>
  <c r="C19" i="89" s="1"/>
  <c r="A42" i="88"/>
  <c r="C20" i="89" s="1"/>
  <c r="A43" i="88"/>
  <c r="C21" i="89" s="1"/>
  <c r="A44" i="88"/>
  <c r="C22" i="89" s="1"/>
  <c r="A45" i="88"/>
  <c r="C23" i="89" s="1"/>
  <c r="A46" i="88"/>
  <c r="C24" i="89" s="1"/>
  <c r="A47" i="88"/>
  <c r="C25" i="89" s="1"/>
  <c r="A48" i="88"/>
  <c r="C26" i="89" s="1"/>
  <c r="A49" i="88"/>
  <c r="C27" i="89" s="1"/>
  <c r="A50" i="88"/>
  <c r="C28" i="89" s="1"/>
  <c r="A51" i="88"/>
  <c r="C29" i="89" s="1"/>
  <c r="A52" i="88"/>
  <c r="C30" i="89" s="1"/>
  <c r="A53" i="88"/>
  <c r="C31" i="89" s="1"/>
  <c r="A54" i="88"/>
  <c r="C32" i="89" s="1"/>
  <c r="A55" i="88"/>
  <c r="C33" i="89" s="1"/>
  <c r="A56" i="88"/>
  <c r="C34" i="89" s="1"/>
  <c r="A57" i="88"/>
  <c r="C35" i="89" s="1"/>
  <c r="A58" i="88"/>
  <c r="C36" i="89" s="1"/>
  <c r="A59" i="88"/>
  <c r="C37" i="89" s="1"/>
  <c r="A60" i="88"/>
  <c r="C38" i="89" s="1"/>
  <c r="A61" i="88"/>
  <c r="C39" i="89" s="1"/>
  <c r="A62" i="88"/>
  <c r="C40" i="89" s="1"/>
  <c r="A63" i="88"/>
  <c r="C41" i="89" s="1"/>
  <c r="A64" i="88"/>
  <c r="C42" i="89" s="1"/>
  <c r="A65" i="88"/>
  <c r="C43" i="89" s="1"/>
  <c r="A66" i="88"/>
  <c r="C44" i="89" s="1"/>
  <c r="A67" i="88"/>
  <c r="C45" i="89" s="1"/>
  <c r="A68" i="88"/>
  <c r="C46" i="89" s="1"/>
  <c r="A69" i="88"/>
  <c r="C47" i="89" s="1"/>
  <c r="A70" i="88"/>
  <c r="C48" i="89" s="1"/>
  <c r="A71" i="88"/>
  <c r="C49" i="89" s="1"/>
  <c r="A72" i="88"/>
  <c r="C50" i="89" s="1"/>
  <c r="A73" i="88"/>
  <c r="C51" i="89" s="1"/>
  <c r="A74" i="88"/>
  <c r="C52" i="89" s="1"/>
  <c r="A75" i="88"/>
  <c r="C53" i="89" s="1"/>
  <c r="A76" i="88"/>
  <c r="C54" i="89" s="1"/>
  <c r="A77" i="88"/>
  <c r="C55" i="89" s="1"/>
  <c r="A78" i="88"/>
  <c r="C56" i="89" s="1"/>
  <c r="A79" i="88"/>
  <c r="C57" i="89" s="1"/>
  <c r="A80" i="88"/>
  <c r="C58" i="89" s="1"/>
  <c r="A81" i="88"/>
  <c r="C59" i="89" s="1"/>
  <c r="A82" i="88"/>
  <c r="C60" i="89" s="1"/>
  <c r="A83" i="88"/>
  <c r="C61" i="89" s="1"/>
  <c r="A84" i="88"/>
  <c r="C62" i="89" s="1"/>
  <c r="A85" i="88"/>
  <c r="C63" i="89" s="1"/>
  <c r="A86" i="88"/>
  <c r="C64" i="89" s="1"/>
  <c r="A87" i="88"/>
  <c r="C65" i="89" s="1"/>
  <c r="A88" i="88"/>
  <c r="C66" i="89" s="1"/>
  <c r="A89" i="88"/>
  <c r="C67" i="89" s="1"/>
  <c r="A90" i="88"/>
  <c r="C68" i="89" s="1"/>
  <c r="A91" i="88"/>
  <c r="C69" i="89" s="1"/>
  <c r="A92" i="88"/>
  <c r="C70" i="89" s="1"/>
  <c r="A93" i="88"/>
  <c r="C71" i="89" s="1"/>
  <c r="A94" i="88"/>
  <c r="C72" i="89" s="1"/>
  <c r="A95" i="88"/>
  <c r="C73" i="89" s="1"/>
  <c r="A96" i="88"/>
  <c r="C74" i="89" s="1"/>
  <c r="A97" i="88"/>
  <c r="C75" i="89" s="1"/>
  <c r="A98" i="88"/>
  <c r="C76" i="89" s="1"/>
  <c r="A99" i="88"/>
  <c r="C77" i="89" s="1"/>
  <c r="A100" i="88"/>
  <c r="C78" i="89" s="1"/>
  <c r="A101" i="88"/>
  <c r="C79" i="89" s="1"/>
  <c r="A102" i="88"/>
  <c r="C80" i="89" s="1"/>
  <c r="A103" i="88"/>
  <c r="C81" i="89" s="1"/>
  <c r="A104" i="88"/>
  <c r="C82" i="89" s="1"/>
  <c r="A105" i="88"/>
  <c r="C83" i="89" s="1"/>
  <c r="A106" i="88"/>
  <c r="C84" i="89" s="1"/>
  <c r="A107" i="88"/>
  <c r="C85" i="89" s="1"/>
  <c r="A108" i="88"/>
  <c r="C86" i="89" s="1"/>
  <c r="A109" i="88"/>
  <c r="C87" i="89" s="1"/>
  <c r="A110" i="88"/>
  <c r="C88" i="89" s="1"/>
  <c r="A111" i="88"/>
  <c r="C89" i="89" s="1"/>
  <c r="A112" i="88"/>
  <c r="C90" i="89" s="1"/>
  <c r="A113" i="88"/>
  <c r="C91" i="89" s="1"/>
  <c r="A114" i="88"/>
  <c r="C92" i="89" s="1"/>
  <c r="A115" i="88"/>
  <c r="C93" i="89" s="1"/>
  <c r="A116" i="88"/>
  <c r="C94" i="89" s="1"/>
  <c r="A117" i="88"/>
  <c r="C95" i="89" s="1"/>
  <c r="A118" i="88"/>
  <c r="C96" i="89" s="1"/>
  <c r="A119" i="88"/>
  <c r="C97" i="89" s="1"/>
  <c r="A120" i="88"/>
  <c r="C98" i="89" s="1"/>
  <c r="A121" i="88"/>
  <c r="C99" i="89" s="1"/>
  <c r="A122" i="88"/>
  <c r="C100" i="89" s="1"/>
  <c r="A123" i="88"/>
  <c r="C101" i="89" s="1"/>
  <c r="A124" i="88"/>
  <c r="C102" i="89" s="1"/>
  <c r="A125" i="88"/>
  <c r="C103" i="89" s="1"/>
  <c r="A126" i="88"/>
  <c r="C104" i="89" s="1"/>
  <c r="A127" i="88"/>
  <c r="C105" i="89" s="1"/>
  <c r="A128" i="88"/>
  <c r="C106" i="89" s="1"/>
  <c r="A129" i="88"/>
  <c r="C107" i="89" s="1"/>
  <c r="A130" i="88"/>
  <c r="C108" i="89" s="1"/>
  <c r="A131" i="88"/>
  <c r="C109" i="89" s="1"/>
  <c r="A132" i="88"/>
  <c r="C110" i="89" s="1"/>
  <c r="A133" i="88"/>
  <c r="C111" i="89" s="1"/>
  <c r="A134" i="88"/>
  <c r="C112" i="89" s="1"/>
  <c r="A135" i="88"/>
  <c r="C113" i="89" s="1"/>
  <c r="A136" i="88"/>
  <c r="C114" i="89" s="1"/>
  <c r="A137" i="88"/>
  <c r="C115" i="89" s="1"/>
  <c r="A138" i="88"/>
  <c r="C116" i="89" s="1"/>
  <c r="A139" i="88"/>
  <c r="C117" i="89" s="1"/>
  <c r="A140" i="88"/>
  <c r="C118" i="89" s="1"/>
  <c r="A141" i="88"/>
  <c r="C119" i="89" s="1"/>
  <c r="A142" i="88"/>
  <c r="C120" i="89" s="1"/>
  <c r="A143" i="88"/>
  <c r="C121" i="89" s="1"/>
  <c r="A144" i="88"/>
  <c r="C122" i="89" s="1"/>
  <c r="A145" i="88"/>
  <c r="C123" i="89" s="1"/>
  <c r="A146" i="88"/>
  <c r="C124" i="89" s="1"/>
  <c r="A147" i="88"/>
  <c r="C125" i="89" s="1"/>
  <c r="A148" i="88"/>
  <c r="C126" i="89" s="1"/>
  <c r="A149" i="88"/>
  <c r="C127" i="89" s="1"/>
  <c r="A150" i="88"/>
  <c r="C128" i="89" s="1"/>
  <c r="A151" i="88"/>
  <c r="C129" i="89" s="1"/>
  <c r="A152" i="88"/>
  <c r="C130" i="89" s="1"/>
  <c r="A153" i="88"/>
  <c r="C131" i="89" s="1"/>
  <c r="A154" i="88"/>
  <c r="C132" i="89" s="1"/>
  <c r="A155" i="88"/>
  <c r="C133" i="89" s="1"/>
  <c r="A156" i="88"/>
  <c r="C134" i="89" s="1"/>
  <c r="A157" i="88"/>
  <c r="C135" i="89" s="1"/>
  <c r="A158" i="88"/>
  <c r="C136" i="89" s="1"/>
  <c r="A159" i="88"/>
  <c r="C137" i="89" s="1"/>
  <c r="A160" i="88"/>
  <c r="C138" i="89" s="1"/>
  <c r="A161" i="88"/>
  <c r="C139" i="89" s="1"/>
  <c r="A162" i="88"/>
  <c r="C140" i="89" s="1"/>
  <c r="A163" i="88"/>
  <c r="C141" i="89" s="1"/>
  <c r="A164" i="88"/>
  <c r="C142" i="89" s="1"/>
  <c r="A165" i="88"/>
  <c r="C143" i="89" s="1"/>
  <c r="A166" i="88"/>
  <c r="C144" i="89" s="1"/>
  <c r="A167" i="88"/>
  <c r="C145" i="89" s="1"/>
  <c r="A168" i="88"/>
  <c r="C146" i="89" s="1"/>
  <c r="A169" i="88"/>
  <c r="C147" i="89" s="1"/>
  <c r="A170" i="88"/>
  <c r="C148" i="89" s="1"/>
  <c r="A171" i="88"/>
  <c r="C149" i="89" s="1"/>
  <c r="A172" i="88"/>
  <c r="C150" i="89" s="1"/>
  <c r="A173" i="88"/>
  <c r="C151" i="89" s="1"/>
  <c r="A174" i="88"/>
  <c r="C152" i="89" s="1"/>
  <c r="A175" i="88"/>
  <c r="C153" i="89" s="1"/>
  <c r="A176" i="88"/>
  <c r="C154" i="89" s="1"/>
  <c r="A177" i="88"/>
  <c r="C155" i="89" s="1"/>
  <c r="A178" i="88"/>
  <c r="C156" i="89" s="1"/>
  <c r="A179" i="88"/>
  <c r="C157" i="89" s="1"/>
  <c r="A180" i="88"/>
  <c r="C158" i="89" s="1"/>
  <c r="A181" i="88"/>
  <c r="C159" i="89" s="1"/>
  <c r="A182" i="88"/>
  <c r="C160" i="89" s="1"/>
  <c r="A183" i="88"/>
  <c r="C161" i="89" s="1"/>
  <c r="A184" i="88"/>
  <c r="C162" i="89" s="1"/>
  <c r="A185" i="88"/>
  <c r="C163" i="89" s="1"/>
  <c r="A186" i="88"/>
  <c r="C164" i="89" s="1"/>
  <c r="A187" i="88"/>
  <c r="C165" i="89" s="1"/>
  <c r="B25" i="88"/>
  <c r="D4" i="89" s="1"/>
  <c r="A25" i="88"/>
  <c r="C4" i="89" s="1"/>
  <c r="B24" i="88"/>
  <c r="A24" i="88"/>
  <c r="C3" i="89" s="1"/>
  <c r="D18" i="88"/>
  <c r="E18" i="88"/>
  <c r="C18" i="88"/>
  <c r="D17" i="88"/>
  <c r="E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T65" i="83"/>
  <c r="T64" i="83"/>
  <c r="B26" i="31"/>
  <c r="D169" i="89" s="1"/>
  <c r="B27" i="31"/>
  <c r="D170" i="89" s="1"/>
  <c r="B28" i="31"/>
  <c r="D171" i="89" s="1"/>
  <c r="B29" i="31"/>
  <c r="D172" i="89" s="1"/>
  <c r="B30" i="31"/>
  <c r="D173" i="89" s="1"/>
  <c r="B31" i="31"/>
  <c r="D174" i="89" s="1"/>
  <c r="B32" i="31"/>
  <c r="D175" i="89" s="1"/>
  <c r="B33" i="31"/>
  <c r="D176" i="89" s="1"/>
  <c r="B34" i="31"/>
  <c r="D177" i="89" s="1"/>
  <c r="B35" i="31"/>
  <c r="D178" i="89" s="1"/>
  <c r="B36" i="31"/>
  <c r="D179" i="89" s="1"/>
  <c r="B37" i="31"/>
  <c r="D180" i="89" s="1"/>
  <c r="B38" i="31"/>
  <c r="D181" i="89" s="1"/>
  <c r="B39" i="31"/>
  <c r="D182" i="89" s="1"/>
  <c r="B40" i="31"/>
  <c r="D183" i="89" s="1"/>
  <c r="B41" i="31"/>
  <c r="D184" i="89" s="1"/>
  <c r="B42" i="31"/>
  <c r="D185" i="89" s="1"/>
  <c r="B43" i="31"/>
  <c r="D186" i="89" s="1"/>
  <c r="B44" i="31"/>
  <c r="D187" i="89" s="1"/>
  <c r="B45" i="31"/>
  <c r="D188" i="89" s="1"/>
  <c r="B46" i="31"/>
  <c r="D189" i="89" s="1"/>
  <c r="B47" i="31"/>
  <c r="D190" i="89" s="1"/>
  <c r="B48" i="31"/>
  <c r="D191" i="89" s="1"/>
  <c r="B49" i="31"/>
  <c r="D192" i="89" s="1"/>
  <c r="B50" i="31"/>
  <c r="D193" i="89" s="1"/>
  <c r="B51" i="31"/>
  <c r="D194" i="89" s="1"/>
  <c r="B52" i="31"/>
  <c r="D195" i="89" s="1"/>
  <c r="B53" i="31"/>
  <c r="D196" i="89" s="1"/>
  <c r="B54" i="31"/>
  <c r="D197" i="89" s="1"/>
  <c r="B55" i="31"/>
  <c r="D198" i="89" s="1"/>
  <c r="B56" i="31"/>
  <c r="D199" i="89" s="1"/>
  <c r="B57" i="31"/>
  <c r="D200" i="89" s="1"/>
  <c r="B58" i="31"/>
  <c r="D201" i="89" s="1"/>
  <c r="B59" i="31"/>
  <c r="D202" i="89" s="1"/>
  <c r="B60" i="31"/>
  <c r="D203" i="89" s="1"/>
  <c r="B61" i="31"/>
  <c r="D204" i="89" s="1"/>
  <c r="B62" i="31"/>
  <c r="D205" i="89" s="1"/>
  <c r="B63" i="31"/>
  <c r="D206" i="89" s="1"/>
  <c r="B64" i="31"/>
  <c r="D207" i="89" s="1"/>
  <c r="B65" i="31"/>
  <c r="D208" i="89" s="1"/>
  <c r="B66" i="31"/>
  <c r="D209" i="89" s="1"/>
  <c r="B67" i="31"/>
  <c r="D210" i="89" s="1"/>
  <c r="B68" i="31"/>
  <c r="D211" i="89" s="1"/>
  <c r="B69" i="31"/>
  <c r="D212" i="89" s="1"/>
  <c r="B70" i="31"/>
  <c r="D213" i="89" s="1"/>
  <c r="B71" i="31"/>
  <c r="D214" i="89" s="1"/>
  <c r="B72" i="31"/>
  <c r="D215" i="89" s="1"/>
  <c r="B73" i="31"/>
  <c r="D216" i="89" s="1"/>
  <c r="B74" i="31"/>
  <c r="D217" i="89" s="1"/>
  <c r="B75" i="31"/>
  <c r="D218" i="89" s="1"/>
  <c r="B76" i="31"/>
  <c r="D219" i="89" s="1"/>
  <c r="B77" i="31"/>
  <c r="D220" i="89" s="1"/>
  <c r="B78" i="31"/>
  <c r="D221" i="89" s="1"/>
  <c r="B79" i="31"/>
  <c r="D222" i="89" s="1"/>
  <c r="B80" i="31"/>
  <c r="D223" i="89" s="1"/>
  <c r="B81" i="31"/>
  <c r="D224" i="89" s="1"/>
  <c r="B82" i="31"/>
  <c r="D225" i="89" s="1"/>
  <c r="B83" i="31"/>
  <c r="D226" i="89" s="1"/>
  <c r="B84" i="31"/>
  <c r="D227" i="89" s="1"/>
  <c r="B85" i="31"/>
  <c r="D228" i="89" s="1"/>
  <c r="B86" i="31"/>
  <c r="D229" i="89" s="1"/>
  <c r="B87" i="31"/>
  <c r="D230" i="89" s="1"/>
  <c r="B88" i="31"/>
  <c r="D231" i="89" s="1"/>
  <c r="B89" i="31"/>
  <c r="D232" i="89" s="1"/>
  <c r="B90" i="31"/>
  <c r="D233" i="89" s="1"/>
  <c r="B91" i="31"/>
  <c r="D234" i="89" s="1"/>
  <c r="B92" i="31"/>
  <c r="D235" i="89" s="1"/>
  <c r="B93" i="31"/>
  <c r="D236" i="89" s="1"/>
  <c r="B94" i="31"/>
  <c r="D237" i="89" s="1"/>
  <c r="B95" i="31"/>
  <c r="D238" i="89" s="1"/>
  <c r="B96" i="31"/>
  <c r="D239" i="89" s="1"/>
  <c r="B97" i="31"/>
  <c r="D240" i="89" s="1"/>
  <c r="B98" i="31"/>
  <c r="D241" i="89" s="1"/>
  <c r="B99" i="31"/>
  <c r="D242" i="89" s="1"/>
  <c r="B100" i="31"/>
  <c r="D243" i="89" s="1"/>
  <c r="B101" i="31"/>
  <c r="D244" i="89" s="1"/>
  <c r="B102" i="31"/>
  <c r="D245" i="89" s="1"/>
  <c r="A26" i="31"/>
  <c r="C169" i="89" s="1"/>
  <c r="A27" i="31"/>
  <c r="C170" i="89" s="1"/>
  <c r="A28" i="31"/>
  <c r="C171" i="89" s="1"/>
  <c r="A29" i="31"/>
  <c r="C172" i="89" s="1"/>
  <c r="A30" i="31"/>
  <c r="C173" i="89" s="1"/>
  <c r="A31" i="31"/>
  <c r="C174" i="89" s="1"/>
  <c r="A32" i="31"/>
  <c r="C175" i="89" s="1"/>
  <c r="A33" i="31"/>
  <c r="C176" i="89" s="1"/>
  <c r="A34" i="31"/>
  <c r="C177" i="89" s="1"/>
  <c r="A35" i="31"/>
  <c r="C178" i="89" s="1"/>
  <c r="A36" i="31"/>
  <c r="C179" i="89" s="1"/>
  <c r="A37" i="31"/>
  <c r="C180" i="89" s="1"/>
  <c r="A38" i="31"/>
  <c r="C181" i="89" s="1"/>
  <c r="A39" i="31"/>
  <c r="C182" i="89" s="1"/>
  <c r="A40" i="31"/>
  <c r="C183" i="89" s="1"/>
  <c r="A41" i="31"/>
  <c r="C184" i="89" s="1"/>
  <c r="A42" i="31"/>
  <c r="C185" i="89" s="1"/>
  <c r="A43" i="31"/>
  <c r="C186" i="89" s="1"/>
  <c r="A44" i="31"/>
  <c r="C187" i="89" s="1"/>
  <c r="A45" i="31"/>
  <c r="C188" i="89" s="1"/>
  <c r="A46" i="31"/>
  <c r="C189" i="89" s="1"/>
  <c r="A47" i="31"/>
  <c r="C190" i="89" s="1"/>
  <c r="A48" i="31"/>
  <c r="C191" i="89" s="1"/>
  <c r="A49" i="31"/>
  <c r="C192" i="89" s="1"/>
  <c r="A50" i="31"/>
  <c r="C193" i="89" s="1"/>
  <c r="A51" i="31"/>
  <c r="C194" i="89" s="1"/>
  <c r="A52" i="31"/>
  <c r="C195" i="89" s="1"/>
  <c r="A53" i="31"/>
  <c r="C196" i="89" s="1"/>
  <c r="A54" i="31"/>
  <c r="C197" i="89" s="1"/>
  <c r="A55" i="31"/>
  <c r="C198" i="89" s="1"/>
  <c r="A56" i="31"/>
  <c r="C199" i="89" s="1"/>
  <c r="A57" i="31"/>
  <c r="C200" i="89" s="1"/>
  <c r="A58" i="31"/>
  <c r="C201" i="89" s="1"/>
  <c r="A59" i="31"/>
  <c r="C202" i="89" s="1"/>
  <c r="A60" i="31"/>
  <c r="C203" i="89" s="1"/>
  <c r="A61" i="31"/>
  <c r="C204" i="89" s="1"/>
  <c r="A62" i="31"/>
  <c r="C205" i="89" s="1"/>
  <c r="A63" i="31"/>
  <c r="C206" i="89" s="1"/>
  <c r="A64" i="31"/>
  <c r="C207" i="89" s="1"/>
  <c r="A65" i="31"/>
  <c r="C208" i="89" s="1"/>
  <c r="A66" i="31"/>
  <c r="C209" i="89" s="1"/>
  <c r="A67" i="31"/>
  <c r="C210" i="89" s="1"/>
  <c r="A68" i="31"/>
  <c r="C211" i="89" s="1"/>
  <c r="A69" i="31"/>
  <c r="C212" i="89" s="1"/>
  <c r="A70" i="31"/>
  <c r="C213" i="89" s="1"/>
  <c r="A71" i="31"/>
  <c r="C214" i="89" s="1"/>
  <c r="A72" i="31"/>
  <c r="C215" i="89" s="1"/>
  <c r="A73" i="31"/>
  <c r="C216" i="89" s="1"/>
  <c r="A74" i="31"/>
  <c r="C217" i="89" s="1"/>
  <c r="A75" i="31"/>
  <c r="C218" i="89" s="1"/>
  <c r="A76" i="31"/>
  <c r="C219" i="89" s="1"/>
  <c r="A77" i="31"/>
  <c r="C220" i="89" s="1"/>
  <c r="A78" i="31"/>
  <c r="C221" i="89" s="1"/>
  <c r="A79" i="31"/>
  <c r="C222" i="89" s="1"/>
  <c r="A80" i="31"/>
  <c r="C223" i="89" s="1"/>
  <c r="A81" i="31"/>
  <c r="C224" i="89" s="1"/>
  <c r="A82" i="31"/>
  <c r="C225" i="89" s="1"/>
  <c r="A83" i="31"/>
  <c r="C226" i="89" s="1"/>
  <c r="A84" i="31"/>
  <c r="C227" i="89" s="1"/>
  <c r="A85" i="31"/>
  <c r="C228" i="89" s="1"/>
  <c r="A86" i="31"/>
  <c r="C229" i="89" s="1"/>
  <c r="A87" i="31"/>
  <c r="C230" i="89" s="1"/>
  <c r="A88" i="31"/>
  <c r="C231" i="89" s="1"/>
  <c r="A89" i="31"/>
  <c r="C232" i="89" s="1"/>
  <c r="A90" i="31"/>
  <c r="C233" i="89" s="1"/>
  <c r="A91" i="31"/>
  <c r="C234" i="89" s="1"/>
  <c r="A92" i="31"/>
  <c r="C235" i="89" s="1"/>
  <c r="A93" i="31"/>
  <c r="C236" i="89" s="1"/>
  <c r="A94" i="31"/>
  <c r="C237" i="89" s="1"/>
  <c r="A95" i="31"/>
  <c r="C238" i="89" s="1"/>
  <c r="A96" i="31"/>
  <c r="C239" i="89" s="1"/>
  <c r="A97" i="31"/>
  <c r="C240" i="89" s="1"/>
  <c r="A98" i="31"/>
  <c r="C241" i="89" s="1"/>
  <c r="A99" i="31"/>
  <c r="C242" i="89" s="1"/>
  <c r="A100" i="31"/>
  <c r="C243" i="89" s="1"/>
  <c r="A101" i="31"/>
  <c r="C244" i="89" s="1"/>
  <c r="A102" i="31"/>
  <c r="C245" i="89" s="1"/>
  <c r="B25" i="31"/>
  <c r="D168" i="89" s="1"/>
  <c r="A25" i="31"/>
  <c r="C168" i="89" s="1"/>
  <c r="B24" i="31"/>
  <c r="D167" i="89" s="1"/>
  <c r="D246" i="89" s="1"/>
  <c r="A24" i="31"/>
  <c r="C167"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D3" i="89"/>
  <c r="D166" i="89" s="1"/>
  <c r="D247"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G20" i="6"/>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9" i="31"/>
  <c r="S215" i="31"/>
  <c r="S211" i="31"/>
  <c r="S207" i="31"/>
  <c r="S203" i="31"/>
  <c r="S199" i="31"/>
  <c r="S195" i="31"/>
  <c r="S191" i="31"/>
  <c r="S487" i="31"/>
  <c r="S471" i="31"/>
  <c r="S444" i="31"/>
  <c r="S442" i="31"/>
  <c r="S440" i="31"/>
  <c r="S438" i="31"/>
  <c r="S436" i="31"/>
  <c r="S434" i="31"/>
  <c r="S432" i="31"/>
  <c r="S430" i="31"/>
  <c r="S504" i="31"/>
  <c r="S500"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6" i="31"/>
  <c r="S518" i="31"/>
  <c r="S520" i="31"/>
  <c r="S522"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10" i="76"/>
  <c r="E2" i="69"/>
  <c r="M9" i="15"/>
  <c r="F26" i="67"/>
  <c r="AO13" i="1"/>
  <c r="B10" i="76"/>
  <c r="B8" i="76"/>
  <c r="F16" i="67"/>
  <c r="M24" i="67"/>
  <c r="F43" i="15"/>
  <c r="F16" i="15"/>
  <c r="F4" i="73"/>
  <c r="B7" i="76"/>
  <c r="M23" i="67"/>
  <c r="M24" i="15"/>
  <c r="E13" i="76"/>
  <c r="F3" i="73"/>
  <c r="M6" i="15"/>
  <c r="F9" i="15"/>
  <c r="E11" i="76"/>
  <c r="E9" i="76"/>
  <c r="F36" i="67"/>
  <c r="E8" i="76"/>
  <c r="B12" i="76"/>
  <c r="J15" i="15"/>
  <c r="F5" i="73"/>
  <c r="M22" i="67"/>
  <c r="D7" i="73"/>
  <c r="E7" i="76"/>
  <c r="F37" i="15"/>
  <c r="F13" i="67"/>
  <c r="F6" i="73"/>
  <c r="F7" i="73"/>
  <c r="D6" i="73"/>
  <c r="B13" i="76"/>
  <c r="B11" i="76"/>
  <c r="F20" i="31"/>
  <c r="E2" i="68"/>
  <c r="D4" i="73"/>
  <c r="D5" i="73"/>
  <c r="E12" i="76"/>
  <c r="D3" i="73"/>
  <c r="B9" i="76"/>
  <c r="H69" i="43" l="1"/>
  <c r="AB31" i="35"/>
  <c r="W46" i="2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F37" i="67"/>
  <c r="F7" i="67"/>
  <c r="L48" i="15"/>
  <c r="G1" i="73"/>
  <c r="M28" i="67"/>
  <c r="M9" i="67"/>
  <c r="F36" i="15"/>
  <c r="M22" i="15"/>
  <c r="F42" i="15"/>
  <c r="L48" i="67"/>
  <c r="M6" i="67"/>
  <c r="J15" i="67"/>
  <c r="C76" i="67"/>
  <c r="F40" i="15"/>
  <c r="M26" i="67"/>
  <c r="F38" i="15"/>
  <c r="F9" i="67"/>
  <c r="F43" i="67"/>
  <c r="C36" i="69"/>
  <c r="F6" i="15"/>
  <c r="L47" i="67"/>
  <c r="F13" i="15"/>
  <c r="M26" i="15"/>
  <c r="F42" i="67"/>
  <c r="F8" i="67"/>
  <c r="M29" i="67"/>
  <c r="M8" i="15"/>
  <c r="M8" i="67"/>
  <c r="L47" i="15"/>
  <c r="F8" i="15"/>
  <c r="F40" i="67"/>
  <c r="D9" i="69"/>
  <c r="M23" i="15"/>
  <c r="F38" i="67"/>
  <c r="F7" i="15"/>
  <c r="F26" i="15"/>
  <c r="C16" i="15"/>
  <c r="F6" i="67"/>
  <c r="M29" i="15"/>
  <c r="M28" i="15"/>
  <c r="C76" i="15"/>
  <c r="Q71" i="67" l="1"/>
  <c r="M7" i="15"/>
  <c r="J6" i="15" s="1"/>
  <c r="J18"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M11" i="67"/>
  <c r="J10" i="67" s="1"/>
  <c r="F11" i="15"/>
  <c r="M11" i="15"/>
  <c r="J10" i="15" s="1"/>
  <c r="F11" i="67"/>
  <c r="AE11" i="1"/>
  <c r="AE6" i="1"/>
  <c r="AE9" i="1"/>
  <c r="F27" i="68"/>
  <c r="AE8" i="1"/>
  <c r="AE12" i="1"/>
  <c r="AE10" i="1"/>
  <c r="F27" i="69"/>
  <c r="C16" i="67"/>
  <c r="F1" i="15" l="1"/>
  <c r="J5" i="15"/>
  <c r="J24" i="15" s="1"/>
  <c r="Q52" i="15"/>
  <c r="E3" i="6"/>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M27" i="15"/>
  <c r="AE7" i="1"/>
  <c r="F41" i="15"/>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F41" i="67"/>
  <c r="C17" i="67"/>
  <c r="C17" i="15"/>
  <c r="C34" i="69"/>
  <c r="D10" i="69"/>
  <c r="C14" i="67"/>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M21" i="15"/>
  <c r="M21" i="67"/>
  <c r="F35" i="67"/>
  <c r="F35" i="15"/>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19" i="80"/>
  <c r="D2" i="37"/>
  <c r="C20" i="9"/>
  <c r="D2" i="36"/>
  <c r="L51" i="15"/>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C19" i="80"/>
  <c r="AO9" i="1"/>
  <c r="AO11" i="1"/>
  <c r="AO10" i="1"/>
  <c r="D35" i="80"/>
  <c r="AO6" i="1"/>
  <c r="AO12" i="1"/>
  <c r="AO8" i="1"/>
  <c r="D34" i="80"/>
  <c r="D20" i="80"/>
  <c r="AO7" i="1"/>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F171" i="89" s="1"/>
  <c r="S24" i="31"/>
  <c r="F167" i="89" s="1"/>
  <c r="R95" i="31"/>
  <c r="S95" i="31" s="1"/>
  <c r="F238" i="89" s="1"/>
  <c r="R87" i="31"/>
  <c r="S87" i="31" s="1"/>
  <c r="F230" i="89" s="1"/>
  <c r="R79" i="31"/>
  <c r="S79" i="31" s="1"/>
  <c r="F222" i="89" s="1"/>
  <c r="R71" i="31"/>
  <c r="S71" i="31" s="1"/>
  <c r="F214" i="89" s="1"/>
  <c r="R63" i="31"/>
  <c r="S63" i="31" s="1"/>
  <c r="F206" i="89" s="1"/>
  <c r="R55" i="31"/>
  <c r="S55" i="31" s="1"/>
  <c r="F198" i="89" s="1"/>
  <c r="R47" i="31"/>
  <c r="S47" i="31" s="1"/>
  <c r="F190" i="89" s="1"/>
  <c r="R39" i="31"/>
  <c r="S39" i="31" s="1"/>
  <c r="F182" i="89" s="1"/>
  <c r="R31" i="31"/>
  <c r="S31" i="31" s="1"/>
  <c r="F174" i="89" s="1"/>
  <c r="R98" i="31"/>
  <c r="S98" i="31" s="1"/>
  <c r="F241" i="89" s="1"/>
  <c r="R90" i="31"/>
  <c r="S90" i="31" s="1"/>
  <c r="F233" i="89" s="1"/>
  <c r="R82" i="31"/>
  <c r="S82" i="31" s="1"/>
  <c r="F225" i="89" s="1"/>
  <c r="R74" i="31"/>
  <c r="S74" i="31" s="1"/>
  <c r="F217" i="89" s="1"/>
  <c r="R66" i="31"/>
  <c r="S66" i="31" s="1"/>
  <c r="F209" i="89" s="1"/>
  <c r="R58" i="31"/>
  <c r="S58" i="31" s="1"/>
  <c r="F201" i="89" s="1"/>
  <c r="R50" i="31"/>
  <c r="S50" i="31" s="1"/>
  <c r="F193" i="89" s="1"/>
  <c r="R42" i="31"/>
  <c r="S42" i="31" s="1"/>
  <c r="F185" i="89" s="1"/>
  <c r="R34" i="31"/>
  <c r="S34" i="31" s="1"/>
  <c r="F177" i="89" s="1"/>
  <c r="R81" i="31"/>
  <c r="S81" i="31" s="1"/>
  <c r="F224" i="89" s="1"/>
  <c r="R65" i="31"/>
  <c r="S65" i="31" s="1"/>
  <c r="F208" i="89" s="1"/>
  <c r="R49" i="31"/>
  <c r="S49" i="31" s="1"/>
  <c r="F192" i="89" s="1"/>
  <c r="R25" i="31"/>
  <c r="S25" i="31" s="1"/>
  <c r="F168" i="89" s="1"/>
  <c r="R100" i="31"/>
  <c r="S100" i="31" s="1"/>
  <c r="F243" i="89" s="1"/>
  <c r="R92" i="31"/>
  <c r="S92" i="31" s="1"/>
  <c r="F235" i="89" s="1"/>
  <c r="R76" i="31"/>
  <c r="S76" i="31" s="1"/>
  <c r="F219" i="89" s="1"/>
  <c r="R52" i="31"/>
  <c r="S52" i="31" s="1"/>
  <c r="F195" i="89" s="1"/>
  <c r="R36" i="31"/>
  <c r="S36" i="31" s="1"/>
  <c r="F179" i="89" s="1"/>
  <c r="R99" i="31"/>
  <c r="S99" i="31" s="1"/>
  <c r="F242" i="89" s="1"/>
  <c r="R91" i="31"/>
  <c r="S91" i="31" s="1"/>
  <c r="F234" i="89" s="1"/>
  <c r="R83" i="31"/>
  <c r="S83" i="31" s="1"/>
  <c r="F226" i="89" s="1"/>
  <c r="R75" i="31"/>
  <c r="S75" i="31" s="1"/>
  <c r="F218" i="89" s="1"/>
  <c r="R67" i="31"/>
  <c r="S67" i="31" s="1"/>
  <c r="F210" i="89" s="1"/>
  <c r="R59" i="31"/>
  <c r="S59" i="31" s="1"/>
  <c r="F202" i="89" s="1"/>
  <c r="R51" i="31"/>
  <c r="S51" i="31" s="1"/>
  <c r="F194" i="89" s="1"/>
  <c r="R43" i="31"/>
  <c r="S43" i="31" s="1"/>
  <c r="F186" i="89" s="1"/>
  <c r="R35" i="31"/>
  <c r="S35" i="31" s="1"/>
  <c r="F178" i="89" s="1"/>
  <c r="R27" i="31"/>
  <c r="S27" i="31" s="1"/>
  <c r="F170" i="89" s="1"/>
  <c r="R102" i="31"/>
  <c r="S102" i="31" s="1"/>
  <c r="F245" i="89" s="1"/>
  <c r="R94" i="31"/>
  <c r="S94" i="31" s="1"/>
  <c r="F237" i="89" s="1"/>
  <c r="R86" i="31"/>
  <c r="S86" i="31" s="1"/>
  <c r="F229" i="89" s="1"/>
  <c r="R78" i="31"/>
  <c r="S78" i="31" s="1"/>
  <c r="F221" i="89" s="1"/>
  <c r="R70" i="31"/>
  <c r="S70" i="31" s="1"/>
  <c r="F213" i="89" s="1"/>
  <c r="R62" i="31"/>
  <c r="S62" i="31" s="1"/>
  <c r="F205" i="89" s="1"/>
  <c r="R54" i="31"/>
  <c r="S54" i="31" s="1"/>
  <c r="F197" i="89" s="1"/>
  <c r="R46" i="31"/>
  <c r="S46" i="31" s="1"/>
  <c r="F189" i="89" s="1"/>
  <c r="R38" i="31"/>
  <c r="S38" i="31" s="1"/>
  <c r="F181" i="89" s="1"/>
  <c r="R30" i="31"/>
  <c r="S30" i="31" s="1"/>
  <c r="F173" i="89" s="1"/>
  <c r="R101" i="31"/>
  <c r="S101" i="31" s="1"/>
  <c r="F244" i="89" s="1"/>
  <c r="R93" i="31"/>
  <c r="S93" i="31" s="1"/>
  <c r="F236" i="89" s="1"/>
  <c r="R85" i="31"/>
  <c r="S85" i="31" s="1"/>
  <c r="F228" i="89" s="1"/>
  <c r="R77" i="31"/>
  <c r="S77" i="31" s="1"/>
  <c r="F220" i="89" s="1"/>
  <c r="R69" i="31"/>
  <c r="S69" i="31" s="1"/>
  <c r="F212" i="89" s="1"/>
  <c r="R61" i="31"/>
  <c r="S61" i="31" s="1"/>
  <c r="F204" i="89" s="1"/>
  <c r="R53" i="31"/>
  <c r="S53" i="31" s="1"/>
  <c r="F196" i="89" s="1"/>
  <c r="R45" i="31"/>
  <c r="S45" i="31" s="1"/>
  <c r="F188" i="89" s="1"/>
  <c r="R37" i="31"/>
  <c r="S37" i="31" s="1"/>
  <c r="F180" i="89" s="1"/>
  <c r="R29" i="31"/>
  <c r="S29" i="31" s="1"/>
  <c r="F172" i="89" s="1"/>
  <c r="R96" i="31"/>
  <c r="S96" i="31" s="1"/>
  <c r="F239" i="89" s="1"/>
  <c r="R88" i="31"/>
  <c r="S88" i="31" s="1"/>
  <c r="F231" i="89" s="1"/>
  <c r="R80" i="31"/>
  <c r="S80" i="31" s="1"/>
  <c r="F223" i="89" s="1"/>
  <c r="R72" i="31"/>
  <c r="S72" i="31" s="1"/>
  <c r="F215" i="89" s="1"/>
  <c r="R64" i="31"/>
  <c r="S64" i="31" s="1"/>
  <c r="F207" i="89" s="1"/>
  <c r="R56" i="31"/>
  <c r="S56" i="31" s="1"/>
  <c r="F199" i="89" s="1"/>
  <c r="R48" i="31"/>
  <c r="S48" i="31" s="1"/>
  <c r="F191" i="89" s="1"/>
  <c r="R40" i="31"/>
  <c r="S40" i="31" s="1"/>
  <c r="F183" i="89" s="1"/>
  <c r="R32" i="31"/>
  <c r="S32" i="31" s="1"/>
  <c r="F175" i="89" s="1"/>
  <c r="R97" i="31"/>
  <c r="S97" i="31" s="1"/>
  <c r="F240" i="89" s="1"/>
  <c r="R89" i="31"/>
  <c r="S89" i="31" s="1"/>
  <c r="F232" i="89" s="1"/>
  <c r="R73" i="31"/>
  <c r="S73" i="31" s="1"/>
  <c r="F216" i="89" s="1"/>
  <c r="R57" i="31"/>
  <c r="S57" i="31" s="1"/>
  <c r="F200" i="89" s="1"/>
  <c r="R41" i="31"/>
  <c r="S41" i="31" s="1"/>
  <c r="F184" i="89" s="1"/>
  <c r="R33" i="31"/>
  <c r="S33" i="31" s="1"/>
  <c r="F176" i="89" s="1"/>
  <c r="R84" i="31"/>
  <c r="S84" i="31" s="1"/>
  <c r="F227" i="89" s="1"/>
  <c r="R68" i="31"/>
  <c r="S68" i="31" s="1"/>
  <c r="F211" i="89" s="1"/>
  <c r="R60" i="31"/>
  <c r="S60" i="31" s="1"/>
  <c r="F203" i="89" s="1"/>
  <c r="R44" i="31"/>
  <c r="S44" i="31" s="1"/>
  <c r="F187" i="89" s="1"/>
  <c r="R26" i="31"/>
  <c r="S26" i="31" s="1"/>
  <c r="F169" i="89" s="1"/>
  <c r="B58" i="40"/>
  <c r="F58" i="40" s="1"/>
  <c r="B54" i="40"/>
  <c r="F54" i="40" s="1"/>
  <c r="B53" i="40"/>
  <c r="F53" i="40" s="1"/>
  <c r="B59" i="40"/>
  <c r="F59" i="40" s="1"/>
  <c r="B52" i="40"/>
  <c r="F52" i="40" s="1"/>
  <c r="B56" i="40"/>
  <c r="F56" i="40" s="1"/>
  <c r="B60" i="40"/>
  <c r="F60" i="40" s="1"/>
  <c r="B57" i="40"/>
  <c r="F57" i="40" s="1"/>
  <c r="B51" i="40"/>
  <c r="F51" i="40" s="1"/>
  <c r="F61" i="40"/>
  <c r="B2" i="40" s="1"/>
  <c r="B3" i="40" s="1"/>
  <c r="F246" i="89" l="1"/>
  <c r="C28" i="69"/>
  <c r="C27" i="69" s="1"/>
  <c r="C25" i="69"/>
  <c r="C22" i="69" s="1"/>
  <c r="S22" i="31"/>
  <c r="M48" i="80" l="1"/>
  <c r="M49" i="80" s="1"/>
  <c r="T24" i="31"/>
  <c r="D15" i="74"/>
  <c r="D45" i="80"/>
  <c r="C31" i="69"/>
  <c r="C52" i="69" s="1"/>
  <c r="B2" i="69" s="1"/>
  <c r="B20" i="31"/>
  <c r="R22" i="31"/>
  <c r="D19" i="9"/>
  <c r="G15" i="74" l="1"/>
  <c r="C57" i="69"/>
  <c r="C56" i="69" s="1"/>
  <c r="D21" i="9"/>
  <c r="D102" i="9"/>
  <c r="G19" i="9"/>
  <c r="G21" i="9" s="1"/>
  <c r="D22" i="9"/>
  <c r="E15" i="74"/>
  <c r="F15" i="74"/>
  <c r="B21" i="31"/>
  <c r="B3" i="69"/>
  <c r="D35" i="9"/>
  <c r="D20" i="9"/>
  <c r="G20" i="9" l="1"/>
  <c r="D103" i="9"/>
  <c r="D34" i="9"/>
  <c r="R24" i="88" l="1"/>
  <c r="C32" i="9"/>
  <c r="R186" i="88" l="1"/>
  <c r="S186" i="88" s="1"/>
  <c r="F164" i="89" s="1"/>
  <c r="R178" i="88"/>
  <c r="S178" i="88" s="1"/>
  <c r="F156" i="89" s="1"/>
  <c r="R170" i="88"/>
  <c r="S170" i="88" s="1"/>
  <c r="F148" i="89" s="1"/>
  <c r="R162" i="88"/>
  <c r="S162" i="88" s="1"/>
  <c r="F140" i="89" s="1"/>
  <c r="R154" i="88"/>
  <c r="S154" i="88" s="1"/>
  <c r="F132" i="89" s="1"/>
  <c r="R146" i="88"/>
  <c r="S146" i="88" s="1"/>
  <c r="F124" i="89" s="1"/>
  <c r="R138" i="88"/>
  <c r="S138" i="88" s="1"/>
  <c r="F116" i="89" s="1"/>
  <c r="R130" i="88"/>
  <c r="S130" i="88" s="1"/>
  <c r="F108" i="89" s="1"/>
  <c r="R122" i="88"/>
  <c r="S122" i="88" s="1"/>
  <c r="F100" i="89" s="1"/>
  <c r="R114" i="88"/>
  <c r="S114" i="88" s="1"/>
  <c r="F92" i="89" s="1"/>
  <c r="R106" i="88"/>
  <c r="S106" i="88" s="1"/>
  <c r="F84" i="89" s="1"/>
  <c r="R183" i="88"/>
  <c r="S183" i="88" s="1"/>
  <c r="F161" i="89" s="1"/>
  <c r="R175" i="88"/>
  <c r="S175" i="88" s="1"/>
  <c r="F153" i="89" s="1"/>
  <c r="R167" i="88"/>
  <c r="S167" i="88" s="1"/>
  <c r="F145" i="89" s="1"/>
  <c r="R159" i="88"/>
  <c r="S159" i="88" s="1"/>
  <c r="F137" i="89" s="1"/>
  <c r="R151" i="88"/>
  <c r="S151" i="88" s="1"/>
  <c r="F129" i="89" s="1"/>
  <c r="R143" i="88"/>
  <c r="S143" i="88" s="1"/>
  <c r="F121" i="89" s="1"/>
  <c r="R135" i="88"/>
  <c r="S135" i="88" s="1"/>
  <c r="F113" i="89" s="1"/>
  <c r="R127" i="88"/>
  <c r="S127" i="88" s="1"/>
  <c r="F105" i="89" s="1"/>
  <c r="R119" i="88"/>
  <c r="S119" i="88" s="1"/>
  <c r="F97" i="89" s="1"/>
  <c r="R111" i="88"/>
  <c r="S111" i="88" s="1"/>
  <c r="F89" i="89" s="1"/>
  <c r="R103" i="88"/>
  <c r="S103" i="88" s="1"/>
  <c r="F81" i="89" s="1"/>
  <c r="R53" i="88"/>
  <c r="S53" i="88" s="1"/>
  <c r="F31" i="89" s="1"/>
  <c r="R45" i="88"/>
  <c r="S45" i="88" s="1"/>
  <c r="F23" i="89" s="1"/>
  <c r="R37" i="88"/>
  <c r="S37" i="88" s="1"/>
  <c r="F15" i="89" s="1"/>
  <c r="R29" i="88"/>
  <c r="S29" i="88" s="1"/>
  <c r="F7" i="89" s="1"/>
  <c r="R58" i="88"/>
  <c r="S58" i="88" s="1"/>
  <c r="F36" i="89" s="1"/>
  <c r="R50" i="88"/>
  <c r="S50" i="88" s="1"/>
  <c r="F28" i="89" s="1"/>
  <c r="R42" i="88"/>
  <c r="S42" i="88" s="1"/>
  <c r="F20" i="89" s="1"/>
  <c r="R34" i="88"/>
  <c r="S34" i="88" s="1"/>
  <c r="F12" i="89" s="1"/>
  <c r="R26" i="88"/>
  <c r="S26" i="88" s="1"/>
  <c r="F5" i="89" s="1"/>
  <c r="R64" i="88"/>
  <c r="S64" i="88" s="1"/>
  <c r="F42" i="89" s="1"/>
  <c r="R69" i="88"/>
  <c r="S69" i="88" s="1"/>
  <c r="F47" i="89" s="1"/>
  <c r="R74" i="88"/>
  <c r="S74" i="88" s="1"/>
  <c r="F52" i="89" s="1"/>
  <c r="R79" i="88"/>
  <c r="S79" i="88" s="1"/>
  <c r="F57" i="89" s="1"/>
  <c r="R83" i="88"/>
  <c r="S83" i="88" s="1"/>
  <c r="F61" i="89" s="1"/>
  <c r="R88" i="88"/>
  <c r="S88" i="88" s="1"/>
  <c r="F66" i="89" s="1"/>
  <c r="R92" i="88"/>
  <c r="S92" i="88" s="1"/>
  <c r="F70" i="89" s="1"/>
  <c r="R96" i="88"/>
  <c r="S96" i="88" s="1"/>
  <c r="F74" i="89" s="1"/>
  <c r="R100" i="88"/>
  <c r="S100" i="88" s="1"/>
  <c r="F78" i="89" s="1"/>
  <c r="R67" i="88"/>
  <c r="S67" i="88" s="1"/>
  <c r="F45" i="89" s="1"/>
  <c r="R184" i="88"/>
  <c r="S184" i="88" s="1"/>
  <c r="F162" i="89" s="1"/>
  <c r="R176" i="88"/>
  <c r="S176" i="88" s="1"/>
  <c r="F154" i="89" s="1"/>
  <c r="R168" i="88"/>
  <c r="S168" i="88" s="1"/>
  <c r="F146" i="89" s="1"/>
  <c r="R160" i="88"/>
  <c r="S160" i="88" s="1"/>
  <c r="F138" i="89" s="1"/>
  <c r="R152" i="88"/>
  <c r="S152" i="88" s="1"/>
  <c r="F130" i="89" s="1"/>
  <c r="R144" i="88"/>
  <c r="S144" i="88" s="1"/>
  <c r="F122" i="89" s="1"/>
  <c r="R136" i="88"/>
  <c r="S136" i="88" s="1"/>
  <c r="F114" i="89" s="1"/>
  <c r="R128" i="88"/>
  <c r="S128" i="88" s="1"/>
  <c r="F106" i="89" s="1"/>
  <c r="R120" i="88"/>
  <c r="S120" i="88" s="1"/>
  <c r="F98" i="89" s="1"/>
  <c r="R112" i="88"/>
  <c r="S112" i="88" s="1"/>
  <c r="F90" i="89" s="1"/>
  <c r="R104" i="88"/>
  <c r="S104" i="88" s="1"/>
  <c r="F82" i="89" s="1"/>
  <c r="R181" i="88"/>
  <c r="S181" i="88" s="1"/>
  <c r="F159" i="89" s="1"/>
  <c r="R173" i="88"/>
  <c r="S173" i="88" s="1"/>
  <c r="F151" i="89" s="1"/>
  <c r="R165" i="88"/>
  <c r="S165" i="88" s="1"/>
  <c r="F143" i="89" s="1"/>
  <c r="R157" i="88"/>
  <c r="S157" i="88" s="1"/>
  <c r="F135" i="89" s="1"/>
  <c r="R149" i="88"/>
  <c r="S149" i="88" s="1"/>
  <c r="F127" i="89" s="1"/>
  <c r="R141" i="88"/>
  <c r="S141" i="88" s="1"/>
  <c r="F119" i="89" s="1"/>
  <c r="R133" i="88"/>
  <c r="S133" i="88" s="1"/>
  <c r="F111" i="89" s="1"/>
  <c r="R125" i="88"/>
  <c r="S125" i="88" s="1"/>
  <c r="F103" i="89" s="1"/>
  <c r="R117" i="88"/>
  <c r="S117" i="88" s="1"/>
  <c r="F95" i="89" s="1"/>
  <c r="R109" i="88"/>
  <c r="S109" i="88" s="1"/>
  <c r="F87" i="89" s="1"/>
  <c r="R59" i="88"/>
  <c r="S59" i="88" s="1"/>
  <c r="F37" i="89" s="1"/>
  <c r="R51" i="88"/>
  <c r="S51" i="88" s="1"/>
  <c r="F29" i="89" s="1"/>
  <c r="R43" i="88"/>
  <c r="S43" i="88" s="1"/>
  <c r="F21" i="89" s="1"/>
  <c r="R35" i="88"/>
  <c r="S35" i="88" s="1"/>
  <c r="F13" i="89" s="1"/>
  <c r="R27" i="88"/>
  <c r="S27" i="88" s="1"/>
  <c r="F6" i="89" s="1"/>
  <c r="R56" i="88"/>
  <c r="S56" i="88" s="1"/>
  <c r="F34" i="89" s="1"/>
  <c r="R48" i="88"/>
  <c r="S48" i="88" s="1"/>
  <c r="F26" i="89" s="1"/>
  <c r="R40" i="88"/>
  <c r="S40" i="88" s="1"/>
  <c r="F18" i="89" s="1"/>
  <c r="R32" i="88"/>
  <c r="S32" i="88" s="1"/>
  <c r="F10" i="89" s="1"/>
  <c r="R63" i="88"/>
  <c r="S63" i="88" s="1"/>
  <c r="F41" i="89" s="1"/>
  <c r="R68" i="88"/>
  <c r="S68" i="88" s="1"/>
  <c r="F46" i="89" s="1"/>
  <c r="R73" i="88"/>
  <c r="S73" i="88" s="1"/>
  <c r="F51" i="89" s="1"/>
  <c r="R78" i="88"/>
  <c r="S78" i="88" s="1"/>
  <c r="F56" i="89" s="1"/>
  <c r="R82" i="88"/>
  <c r="S82" i="88" s="1"/>
  <c r="F60" i="89" s="1"/>
  <c r="R87" i="88"/>
  <c r="S87" i="88" s="1"/>
  <c r="F65" i="89" s="1"/>
  <c r="R91" i="88"/>
  <c r="S91" i="88" s="1"/>
  <c r="F69" i="89" s="1"/>
  <c r="R95" i="88"/>
  <c r="S95" i="88" s="1"/>
  <c r="F73" i="89" s="1"/>
  <c r="R99" i="88"/>
  <c r="S99" i="88" s="1"/>
  <c r="F77" i="89" s="1"/>
  <c r="R60" i="88"/>
  <c r="S60" i="88" s="1"/>
  <c r="F38" i="89" s="1"/>
  <c r="R76" i="88"/>
  <c r="S76" i="88" s="1"/>
  <c r="F54" i="89" s="1"/>
  <c r="R182" i="88"/>
  <c r="S182" i="88" s="1"/>
  <c r="F160" i="89" s="1"/>
  <c r="R174" i="88"/>
  <c r="S174" i="88" s="1"/>
  <c r="F152" i="89" s="1"/>
  <c r="R166" i="88"/>
  <c r="S166" i="88" s="1"/>
  <c r="F144" i="89" s="1"/>
  <c r="R158" i="88"/>
  <c r="S158" i="88" s="1"/>
  <c r="F136" i="89" s="1"/>
  <c r="R150" i="88"/>
  <c r="S150" i="88" s="1"/>
  <c r="F128" i="89" s="1"/>
  <c r="R142" i="88"/>
  <c r="S142" i="88" s="1"/>
  <c r="F120" i="89" s="1"/>
  <c r="R134" i="88"/>
  <c r="S134" i="88" s="1"/>
  <c r="F112" i="89" s="1"/>
  <c r="R126" i="88"/>
  <c r="S126" i="88" s="1"/>
  <c r="F104" i="89" s="1"/>
  <c r="R118" i="88"/>
  <c r="S118" i="88" s="1"/>
  <c r="F96" i="89" s="1"/>
  <c r="R110" i="88"/>
  <c r="S110" i="88" s="1"/>
  <c r="F88" i="89" s="1"/>
  <c r="R187" i="88"/>
  <c r="S187" i="88" s="1"/>
  <c r="F165" i="89" s="1"/>
  <c r="R179" i="88"/>
  <c r="S179" i="88" s="1"/>
  <c r="F157" i="89" s="1"/>
  <c r="R171" i="88"/>
  <c r="S171" i="88" s="1"/>
  <c r="F149" i="89" s="1"/>
  <c r="R163" i="88"/>
  <c r="S163" i="88" s="1"/>
  <c r="F141" i="89" s="1"/>
  <c r="R155" i="88"/>
  <c r="S155" i="88" s="1"/>
  <c r="F133" i="89" s="1"/>
  <c r="R147" i="88"/>
  <c r="S147" i="88" s="1"/>
  <c r="F125" i="89" s="1"/>
  <c r="R139" i="88"/>
  <c r="S139" i="88" s="1"/>
  <c r="F117" i="89" s="1"/>
  <c r="R131" i="88"/>
  <c r="S131" i="88" s="1"/>
  <c r="F109" i="89" s="1"/>
  <c r="R123" i="88"/>
  <c r="S123" i="88" s="1"/>
  <c r="F101" i="89" s="1"/>
  <c r="R115" i="88"/>
  <c r="S115" i="88" s="1"/>
  <c r="F93" i="89" s="1"/>
  <c r="R107" i="88"/>
  <c r="S107" i="88" s="1"/>
  <c r="F85" i="89" s="1"/>
  <c r="R57" i="88"/>
  <c r="S57" i="88" s="1"/>
  <c r="F35" i="89" s="1"/>
  <c r="R49" i="88"/>
  <c r="S49" i="88" s="1"/>
  <c r="F27" i="89" s="1"/>
  <c r="R41" i="88"/>
  <c r="S41" i="88" s="1"/>
  <c r="F19" i="89" s="1"/>
  <c r="R33" i="88"/>
  <c r="S33" i="88" s="1"/>
  <c r="F11" i="89" s="1"/>
  <c r="R25" i="88"/>
  <c r="S25" i="88" s="1"/>
  <c r="F4" i="89" s="1"/>
  <c r="R54" i="88"/>
  <c r="S54" i="88" s="1"/>
  <c r="F32" i="89" s="1"/>
  <c r="R46" i="88"/>
  <c r="S46" i="88" s="1"/>
  <c r="F24" i="89" s="1"/>
  <c r="R38" i="88"/>
  <c r="S38" i="88" s="1"/>
  <c r="F16" i="89" s="1"/>
  <c r="R30" i="88"/>
  <c r="S30" i="88" s="1"/>
  <c r="F8" i="89" s="1"/>
  <c r="R62" i="88"/>
  <c r="S62" i="88" s="1"/>
  <c r="F40" i="89" s="1"/>
  <c r="R66" i="88"/>
  <c r="S66" i="88" s="1"/>
  <c r="F44" i="89" s="1"/>
  <c r="R72" i="88"/>
  <c r="S72" i="88" s="1"/>
  <c r="F50" i="89" s="1"/>
  <c r="R77" i="88"/>
  <c r="S77" i="88" s="1"/>
  <c r="F55" i="89" s="1"/>
  <c r="R81" i="88"/>
  <c r="S81" i="88" s="1"/>
  <c r="F59" i="89" s="1"/>
  <c r="R86" i="88"/>
  <c r="S86" i="88" s="1"/>
  <c r="F64" i="89" s="1"/>
  <c r="R90" i="88"/>
  <c r="S90" i="88" s="1"/>
  <c r="F68" i="89" s="1"/>
  <c r="R94" i="88"/>
  <c r="S94" i="88" s="1"/>
  <c r="F72" i="89" s="1"/>
  <c r="R98" i="88"/>
  <c r="S98" i="88" s="1"/>
  <c r="F76" i="89" s="1"/>
  <c r="R102" i="88"/>
  <c r="S102" i="88" s="1"/>
  <c r="F80" i="89" s="1"/>
  <c r="R84" i="88"/>
  <c r="S84" i="88" s="1"/>
  <c r="F62" i="89" s="1"/>
  <c r="R180" i="88"/>
  <c r="S180" i="88" s="1"/>
  <c r="F158" i="89" s="1"/>
  <c r="R172" i="88"/>
  <c r="S172" i="88" s="1"/>
  <c r="F150" i="89" s="1"/>
  <c r="R164" i="88"/>
  <c r="S164" i="88" s="1"/>
  <c r="F142" i="89" s="1"/>
  <c r="R156" i="88"/>
  <c r="S156" i="88" s="1"/>
  <c r="F134" i="89" s="1"/>
  <c r="R148" i="88"/>
  <c r="S148" i="88" s="1"/>
  <c r="F126" i="89" s="1"/>
  <c r="R140" i="88"/>
  <c r="S140" i="88" s="1"/>
  <c r="F118" i="89" s="1"/>
  <c r="R132" i="88"/>
  <c r="S132" i="88" s="1"/>
  <c r="F110" i="89" s="1"/>
  <c r="R124" i="88"/>
  <c r="S124" i="88" s="1"/>
  <c r="F102" i="89" s="1"/>
  <c r="R116" i="88"/>
  <c r="S116" i="88" s="1"/>
  <c r="F94" i="89" s="1"/>
  <c r="R108" i="88"/>
  <c r="S108" i="88" s="1"/>
  <c r="F86" i="89" s="1"/>
  <c r="R185" i="88"/>
  <c r="S185" i="88" s="1"/>
  <c r="F163" i="89" s="1"/>
  <c r="R177" i="88"/>
  <c r="S177" i="88" s="1"/>
  <c r="F155" i="89" s="1"/>
  <c r="R169" i="88"/>
  <c r="S169" i="88" s="1"/>
  <c r="F147" i="89" s="1"/>
  <c r="R161" i="88"/>
  <c r="S161" i="88" s="1"/>
  <c r="F139" i="89" s="1"/>
  <c r="R153" i="88"/>
  <c r="S153" i="88" s="1"/>
  <c r="F131" i="89" s="1"/>
  <c r="R145" i="88"/>
  <c r="S145" i="88" s="1"/>
  <c r="F123" i="89" s="1"/>
  <c r="R137" i="88"/>
  <c r="S137" i="88" s="1"/>
  <c r="F115" i="89" s="1"/>
  <c r="R129" i="88"/>
  <c r="S129" i="88" s="1"/>
  <c r="F107" i="89" s="1"/>
  <c r="R121" i="88"/>
  <c r="S121" i="88" s="1"/>
  <c r="F99" i="89" s="1"/>
  <c r="R113" i="88"/>
  <c r="S113" i="88" s="1"/>
  <c r="F91" i="89" s="1"/>
  <c r="R105" i="88"/>
  <c r="S105" i="88" s="1"/>
  <c r="F83" i="89" s="1"/>
  <c r="R55" i="88"/>
  <c r="S55" i="88" s="1"/>
  <c r="F33" i="89" s="1"/>
  <c r="R47" i="88"/>
  <c r="S47" i="88" s="1"/>
  <c r="F25" i="89" s="1"/>
  <c r="R39" i="88"/>
  <c r="S39" i="88" s="1"/>
  <c r="F17" i="89" s="1"/>
  <c r="R31" i="88"/>
  <c r="S31" i="88" s="1"/>
  <c r="F9" i="89" s="1"/>
  <c r="S24" i="88"/>
  <c r="F3" i="89" s="1"/>
  <c r="R52" i="88"/>
  <c r="S52" i="88" s="1"/>
  <c r="F30" i="89" s="1"/>
  <c r="R44" i="88"/>
  <c r="S44" i="88" s="1"/>
  <c r="F22" i="89" s="1"/>
  <c r="R36" i="88"/>
  <c r="S36" i="88" s="1"/>
  <c r="F14" i="89" s="1"/>
  <c r="R61" i="88"/>
  <c r="S61" i="88" s="1"/>
  <c r="F39" i="89" s="1"/>
  <c r="R65" i="88"/>
  <c r="S65" i="88" s="1"/>
  <c r="F43" i="89" s="1"/>
  <c r="R70" i="88"/>
  <c r="S70" i="88" s="1"/>
  <c r="F48" i="89" s="1"/>
  <c r="R75" i="88"/>
  <c r="S75" i="88" s="1"/>
  <c r="F53" i="89" s="1"/>
  <c r="R80" i="88"/>
  <c r="S80" i="88" s="1"/>
  <c r="F58" i="89" s="1"/>
  <c r="R85" i="88"/>
  <c r="S85" i="88" s="1"/>
  <c r="F63" i="89" s="1"/>
  <c r="R89" i="88"/>
  <c r="S89" i="88" s="1"/>
  <c r="F67" i="89" s="1"/>
  <c r="R93" i="88"/>
  <c r="S93" i="88" s="1"/>
  <c r="F71" i="89" s="1"/>
  <c r="R97" i="88"/>
  <c r="S97" i="88" s="1"/>
  <c r="F75" i="89" s="1"/>
  <c r="R101" i="88"/>
  <c r="S101" i="88" s="1"/>
  <c r="F79" i="89" s="1"/>
  <c r="R71" i="88"/>
  <c r="S71" i="88" s="1"/>
  <c r="F49" i="89" s="1"/>
  <c r="C35" i="9"/>
  <c r="G118" i="9" s="1"/>
  <c r="I118" i="9"/>
  <c r="F166" i="89" l="1"/>
  <c r="F247" i="89" s="1"/>
  <c r="C34" i="9"/>
  <c r="F118" i="9"/>
  <c r="G4" i="52"/>
  <c r="B52" i="72" s="1"/>
  <c r="H118" i="9"/>
  <c r="C105" i="9"/>
  <c r="I4" i="52"/>
  <c r="H102" i="9"/>
  <c r="D7" i="53" s="1"/>
  <c r="B21" i="72" s="1"/>
  <c r="E118" i="9"/>
  <c r="S22" i="88"/>
  <c r="M49" i="9" l="1"/>
  <c r="T22" i="88"/>
  <c r="D45" i="9"/>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l="1"/>
  <c r="H111" i="9"/>
  <c r="N61" i="9"/>
  <c r="H112" i="9" s="1"/>
  <c r="D21" i="53" s="1"/>
  <c r="B39" i="72" s="1"/>
  <c r="I14" i="74"/>
  <c r="N60" i="9"/>
  <c r="D126" i="9" l="1"/>
  <c r="D19" i="53"/>
  <c r="G118" i="80"/>
  <c r="F118" i="80" s="1"/>
  <c r="F119" i="80" s="1"/>
  <c r="I118" i="80"/>
  <c r="H102" i="80" s="1"/>
  <c r="D127" i="9" l="1"/>
  <c r="D13" i="52" s="1"/>
  <c r="D12" i="52"/>
  <c r="B38" i="72"/>
  <c r="D20" i="53"/>
  <c r="B40" i="72" s="1"/>
  <c r="H118" i="80"/>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H111" i="80" s="1"/>
  <c r="D126" i="80" s="1"/>
  <c r="D127" i="80" s="1"/>
  <c r="I15" i="74" l="1"/>
  <c r="P59" i="80"/>
  <c r="N61" i="80"/>
  <c r="H112" i="80" s="1"/>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<sst xmlns="http://schemas.openxmlformats.org/spreadsheetml/2006/main" count="10085" uniqueCount="4115">
  <si>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</si>
  <si>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</si>
  <si>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</si>
  <si>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</si>
  <si>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</si>
  <si>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</si>
  <si>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</si>
  <si>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</si>
  <si>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</si>
  <si>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</si>
  <si>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</si>
  <si>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</si>
  <si>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</si>
  <si>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</si>
  <si>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</si>
  <si>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</si>
  <si>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</si>
  <si>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</si>
  <si>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</si>
  <si>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</si>
  <si>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</si>
  <si>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</si>
  <si>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</si>
  <si>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</si>
  <si>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</si>
  <si>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</si>
  <si>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</si>
  <si>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</si>
  <si>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</si>
  <si>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</si>
  <si>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</si>
  <si>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</si>
  <si>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</si>
  <si>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</si>
  <si>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</si>
  <si>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</si>
  <si>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</si>
  <si>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</si>
  <si>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</si>
  <si>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</si>
  <si>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</si>
  <si>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</si>
  <si>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</si>
  <si>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</si>
  <si>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</si>
  <si>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</si>
  <si>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</si>
  <si>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</si>
  <si>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</si>
  <si>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</si>
  <si>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</si>
  <si>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</si>
  <si>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</si>
  <si>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</si>
  <si>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</si>
  <si>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</si>
  <si>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</si>
  <si>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</si>
  <si>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</si>
  <si>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</si>
  <si>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</si>
  <si>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</si>
  <si>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</si>
  <si>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</si>
  <si>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</si>
  <si>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</si>
  <si>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</si>
  <si>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</si>
  <si>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</si>
  <si>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</si>
  <si>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</si>
  <si>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</si>
  <si>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</si>
  <si>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</si>
  <si>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</si>
  <si>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</si>
  <si>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</si>
  <si>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</si>
  <si>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</si>
  <si>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</si>
  <si>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</si>
  <si>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</si>
  <si>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</si>
  <si>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</si>
  <si>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</si>
  <si>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</si>
  <si>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</si>
  <si>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</si>
  <si>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</si>
  <si>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</si>
  <si>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</si>
  <si>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</si>
  <si>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</si>
  <si>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</si>
  <si>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</si>
  <si>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</si>
  <si>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</si>
  <si>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</si>
  <si>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</si>
  <si>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</si>
  <si>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</si>
  <si>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</si>
  <si>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</si>
  <si>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</si>
  <si>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</si>
  <si>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</si>
  <si>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</si>
  <si>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</si>
  <si>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</si>
  <si>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</si>
  <si>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</si>
  <si>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</si>
  <si>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</si>
  <si>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</si>
  <si>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</si>
  <si>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</si>
  <si>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</si>
  <si>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</si>
  <si>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</si>
  <si>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</si>
  <si>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</si>
  <si>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</si>
  <si>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</si>
  <si>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</si>
  <si>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</si>
  <si>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</si>
  <si>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</si>
  <si>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</si>
  <si>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</si>
  <si>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</si>
  <si>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</si>
  <si>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</si>
  <si>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</si>
  <si>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</si>
  <si>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</si>
  <si>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</si>
  <si>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</si>
  <si>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</si>
  <si>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</si>
  <si>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</si>
  <si>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</si>
  <si>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</si>
  <si>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</si>
  <si>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</si>
  <si>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</si>
  <si>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</si>
  <si>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</si>
  <si>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</si>
  <si>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</si>
  <si>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</si>
  <si>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</si>
  <si>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</si>
  <si>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</si>
  <si>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</si>
  <si>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</si>
  <si>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</si>
  <si>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</si>
  <si>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</si>
  <si>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</si>
  <si>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</si>
  <si>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</si>
  <si>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</si>
  <si>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</si>
  <si>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</si>
  <si>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</si>
  <si>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</si>
  <si>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</si>
  <si>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</si>
  <si>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</si>
  <si>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</si>
  <si>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</si>
  <si>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</si>
  <si>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</si>
  <si>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</si>
  <si>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</si>
  <si>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</si>
  <si>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</si>
  <si>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</si>
  <si>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</si>
  <si>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</si>
  <si>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</si>
  <si>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</si>
  <si>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</si>
  <si>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</si>
  <si>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</si>
  <si>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</si>
  <si>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</si>
  <si>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</si>
  <si>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</si>
  <si>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</si>
  <si>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</si>
  <si>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</si>
  <si>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</si>
  <si>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</si>
  <si>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</si>
  <si>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</si>
  <si>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</si>
  <si>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</si>
  <si>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</si>
  <si>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</si>
  <si>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</si>
  <si>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</si>
  <si>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</si>
  <si>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</si>
  <si>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</si>
  <si>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</si>
  <si>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</si>
  <si>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</si>
  <si>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</si>
  <si>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</si>
  <si>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</si>
  <si>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</si>
  <si>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</si>
  <si>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</si>
  <si>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</si>
  <si>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</si>
  <si>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</si>
  <si>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</si>
  <si>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</si>
  <si>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</si>
  <si>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</si>
  <si>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</si>
  <si>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</si>
  <si>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</si>
  <si>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</si>
  <si>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</si>
  <si>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</si>
  <si>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</si>
  <si>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</si>
  <si>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</si>
  <si>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</si>
  <si>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</si>
  <si>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</si>
  <si>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</si>
  <si>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</si>
  <si>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</si>
  <si>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</si>
  <si>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</si>
  <si>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</si>
  <si>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</si>
  <si>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</si>
  <si>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</si>
  <si>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</si>
  <si>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</si>
  <si>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</si>
  <si>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</si>
  <si>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</si>
  <si>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</si>
  <si>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</si>
  <si>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</si>
  <si>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</si>
  <si>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</si>
  <si>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</si>
  <si>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</si>
  <si>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</si>
  <si>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</si>
  <si>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</si>
  <si>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</si>
  <si>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</si>
  <si>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</si>
  <si>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</si>
  <si>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</si>
  <si>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</si>
  <si>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</si>
  <si>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</si>
  <si>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</si>
  <si>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</si>
  <si>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</si>
  <si>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</si>
  <si>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</si>
  <si>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</si>
  <si>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</si>
  <si>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</si>
  <si>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</si>
  <si>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</si>
  <si>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</si>
  <si>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</si>
  <si>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</si>
  <si>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</si>
  <si>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</si>
  <si>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</si>
  <si>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</si>
  <si>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</si>
  <si>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</si>
  <si>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</si>
  <si>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</si>
  <si>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</si>
  <si>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</si>
  <si>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</si>
  <si>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</si>
  <si>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</si>
  <si>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</si>
  <si>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</si>
  <si>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</si>
  <si>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</si>
  <si>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</si>
  <si>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</si>
  <si>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</si>
  <si>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</si>
  <si>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</si>
  <si>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</si>
  <si>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</si>
  <si>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</si>
  <si>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</si>
  <si>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</si>
  <si>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</si>
  <si>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</si>
  <si>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</si>
  <si>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</si>
  <si>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</si>
  <si>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</si>
  <si>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</si>
  <si>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</si>
  <si>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</si>
  <si>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</si>
  <si>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</si>
  <si>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</si>
  <si>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</si>
  <si>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</si>
  <si>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</si>
  <si>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</si>
  <si>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</si>
  <si>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</si>
  <si>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</si>
  <si>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</si>
  <si>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</si>
  <si>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</si>
  <si>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</si>
  <si>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</si>
  <si>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</si>
  <si>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</si>
  <si>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</si>
  <si>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</si>
  <si>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</si>
  <si>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</si>
  <si>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</si>
  <si>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</si>
  <si>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</si>
  <si>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</si>
  <si>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</si>
  <si>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</si>
  <si>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</si>
  <si>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</si>
  <si>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</si>
  <si>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</si>
  <si>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</si>
  <si>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</si>
  <si>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</si>
  <si>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</si>
  <si>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</si>
  <si>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</si>
  <si>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</si>
  <si>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</si>
  <si>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</si>
  <si>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</si>
  <si>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</si>
  <si>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</si>
  <si>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</si>
  <si>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</si>
  <si>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</si>
  <si>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</si>
  <si>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</si>
  <si>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</si>
  <si>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</si>
  <si>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</si>
  <si>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</si>
  <si>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</si>
  <si>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</si>
  <si>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</si>
  <si>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</si>
  <si>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</si>
  <si>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</si>
  <si>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</si>
  <si>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</si>
  <si>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</si>
  <si>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</si>
  <si>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</si>
  <si>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</si>
  <si>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</si>
  <si>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</si>
  <si>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</si>
  <si>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</si>
  <si>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</si>
  <si>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</si>
  <si>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</si>
  <si>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</si>
  <si>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</si>
  <si>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</si>
  <si>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</si>
  <si>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</si>
  <si>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</si>
  <si>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</si>
  <si>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</si>
  <si>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</si>
  <si>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</si>
  <si>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</si>
  <si>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</si>
  <si>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</si>
  <si>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</si>
  <si>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</si>
  <si>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</si>
  <si>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</si>
  <si>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</si>
  <si>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</si>
  <si>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</si>
  <si>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</si>
  <si>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</si>
  <si>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</si>
  <si>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</si>
  <si>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</si>
  <si>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</si>
  <si>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</si>
  <si>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</si>
  <si>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</si>
  <si>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</si>
  <si>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</si>
  <si>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</si>
  <si>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</si>
  <si>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</si>
  <si>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</si>
  <si>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</si>
  <si>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</si>
  <si>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</si>
  <si>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</si>
  <si>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</si>
  <si>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</si>
  <si>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</si>
  <si>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</si>
  <si>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</si>
  <si>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</si>
  <si>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</si>
  <si>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</si>
  <si>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</si>
  <si>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</si>
  <si>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</si>
  <si>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</si>
  <si>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</si>
  <si>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</si>
  <si>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</si>
  <si>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</si>
  <si>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</si>
  <si>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</si>
  <si>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</si>
  <si>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</si>
  <si>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</si>
  <si>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</si>
  <si>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</si>
  <si>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</si>
  <si>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</si>
  <si>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</si>
  <si>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</si>
  <si>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</si>
  <si>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</si>
  <si>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</si>
  <si>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</si>
  <si>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</si>
  <si>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</si>
  <si>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</si>
  <si>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</si>
  <si>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</si>
  <si>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</si>
  <si>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</si>
  <si>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</si>
  <si>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</si>
  <si>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</si>
  <si>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</si>
  <si>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</si>
  <si>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</si>
  <si>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</si>
  <si>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</si>
  <si>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</si>
  <si>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</si>
  <si>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</si>
  <si>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</si>
  <si>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</si>
  <si>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</si>
  <si>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</si>
  <si>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</si>
  <si>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</si>
  <si>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</si>
  <si>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</si>
  <si>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</si>
  <si>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</si>
  <si>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</si>
  <si>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</si>
  <si>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</si>
  <si>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</si>
  <si>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</si>
  <si>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</si>
  <si>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</si>
  <si>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</si>
  <si>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</si>
  <si>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</si>
  <si>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</si>
  <si>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</si>
  <si>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</si>
  <si>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</si>
  <si>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</si>
  <si>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</si>
  <si>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</si>
  <si>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</si>
  <si>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</si>
  <si>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</si>
  <si>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</si>
  <si>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</si>
  <si>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</si>
  <si>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</si>
  <si>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</si>
  <si>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</si>
  <si>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</si>
  <si>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</si>
  <si>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</si>
  <si>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</si>
  <si>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</si>
  <si>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</si>
  <si>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</si>
  <si>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</si>
  <si>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</si>
  <si>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</si>
  <si>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</si>
  <si>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</si>
  <si>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</si>
  <si>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</si>
  <si>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</si>
  <si>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</si>
  <si>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</si>
  <si>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</si>
  <si>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</si>
  <si>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</si>
  <si>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</si>
  <si>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</si>
  <si>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</si>
  <si>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</si>
  <si>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</si>
  <si>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</si>
  <si>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</si>
  <si>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</si>
  <si>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</si>
  <si>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</si>
  <si>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</si>
  <si>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</si>
  <si>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</si>
  <si>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</si>
  <si>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</si>
  <si>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</si>
  <si>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</si>
  <si>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</si>
  <si>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</si>
  <si>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</si>
  <si>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</si>
  <si>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</si>
  <si>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</si>
  <si>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</si>
  <si>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</si>
  <si>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</si>
  <si>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</si>
  <si>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</si>
  <si>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</si>
  <si>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</si>
  <si>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</si>
  <si>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</si>
  <si>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</si>
  <si>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</si>
  <si>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</si>
  <si>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</si>
  <si>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</si>
  <si>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</si>
  <si>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</si>
  <si>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</si>
  <si>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</si>
  <si>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</si>
  <si>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</si>
  <si>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</si>
  <si>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</si>
  <si>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</si>
  <si>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</si>
  <si>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</si>
  <si>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</si>
  <si>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</si>
  <si>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</si>
  <si>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</si>
  <si>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</si>
  <si>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</si>
  <si>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</si>
  <si>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</si>
  <si>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</si>
  <si>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</si>
  <si>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</si>
  <si>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</si>
  <si>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</si>
  <si>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</si>
  <si>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</si>
  <si>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</si>
  <si>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</si>
  <si>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</si>
  <si>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</si>
  <si>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</si>
  <si>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</si>
  <si>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</si>
  <si>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</si>
  <si>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</si>
  <si>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</si>
  <si>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</si>
  <si>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</si>
  <si>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</si>
  <si>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</si>
  <si>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</si>
  <si>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</si>
  <si>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</si>
  <si>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</si>
  <si>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</si>
  <si>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</si>
  <si>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</si>
  <si>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</si>
  <si>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</si>
  <si>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</si>
  <si>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</si>
  <si>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</si>
  <si>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</si>
  <si>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</si>
  <si>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</si>
  <si>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</si>
  <si>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</si>
  <si>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</si>
  <si>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</si>
  <si>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</si>
  <si>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</si>
  <si>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</si>
  <si>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</si>
  <si>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</si>
  <si>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</si>
  <si>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</si>
  <si>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</si>
  <si>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</si>
  <si>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</si>
  <si>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</si>
  <si>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</si>
  <si>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</si>
  <si>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</si>
  <si>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</si>
  <si>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</si>
  <si>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</si>
  <si>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</si>
  <si>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</si>
  <si>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</si>
  <si>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</si>
  <si>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</si>
  <si>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</si>
  <si>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</si>
  <si>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</si>
  <si>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</si>
  <si>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</si>
  <si>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</si>
  <si>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</si>
  <si>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</si>
  <si>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</si>
  <si>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</si>
  <si>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</si>
  <si>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</si>
  <si>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</si>
  <si>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</si>
  <si>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</si>
  <si>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</si>
  <si>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</si>
  <si>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</si>
  <si>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</si>
  <si>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</si>
  <si>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</si>
  <si>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</si>
  <si>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</si>
  <si>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</si>
  <si>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</si>
  <si>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</si>
  <si>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</si>
  <si>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</si>
  <si>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</si>
  <si>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</si>
  <si>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</si>
  <si>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</si>
  <si>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</si>
  <si>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</si>
  <si>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</si>
  <si>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</si>
  <si>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</si>
  <si>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</si>
  <si>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</si>
  <si>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</si>
  <si>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</si>
  <si>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</si>
  <si>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</si>
  <si>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</si>
  <si>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</si>
  <si>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</si>
  <si>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</si>
  <si>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</si>
  <si>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</si>
  <si>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</si>
  <si>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</si>
  <si>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</si>
  <si>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</si>
  <si>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</si>
  <si>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</si>
  <si>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</si>
  <si>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</si>
  <si>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</si>
  <si>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</si>
  <si>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</si>
  <si>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</si>
  <si>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</si>
  <si>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</si>
  <si>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</si>
  <si>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</si>
  <si>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</si>
  <si>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</si>
  <si>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</si>
  <si>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</si>
  <si>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</si>
  <si>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</si>
  <si>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</si>
  <si>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</si>
  <si>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</si>
  <si>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</si>
  <si>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</si>
  <si>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</si>
  <si>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</si>
  <si>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</si>
  <si>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</si>
  <si>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</si>
  <si>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</si>
  <si>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</si>
  <si>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</si>
  <si>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</si>
  <si>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</si>
  <si>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</si>
  <si>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</si>
  <si>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</si>
  <si>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</si>
  <si>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</si>
  <si>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</si>
  <si>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</si>
  <si>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</si>
  <si>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</si>
  <si>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</si>
  <si>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</si>
  <si>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</si>
  <si>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</si>
  <si>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</si>
  <si>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</si>
  <si>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</si>
  <si>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</si>
  <si>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</si>
  <si>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</si>
  <si>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</si>
  <si>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</si>
  <si>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</si>
  <si>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</si>
  <si>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</si>
  <si>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</si>
  <si>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</si>
  <si>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</si>
  <si>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</si>
  <si>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</si>
  <si>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</si>
  <si>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</si>
  <si>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</si>
  <si>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</si>
  <si>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</si>
  <si>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</si>
  <si>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</si>
  <si>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</si>
  <si>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</si>
  <si>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</si>
  <si>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</si>
  <si>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</si>
  <si>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</si>
  <si>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</si>
  <si>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</si>
  <si>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</si>
  <si>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</si>
  <si>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</si>
  <si>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</si>
  <si>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</si>
  <si>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</si>
  <si>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</si>
  <si>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</si>
  <si>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</si>
  <si>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</si>
  <si>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</si>
  <si>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</si>
  <si>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</si>
  <si>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</si>
  <si>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</si>
  <si>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</si>
  <si>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</si>
  <si>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</si>
  <si>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</si>
  <si>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</si>
  <si>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</si>
  <si>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</si>
  <si>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</si>
  <si>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</si>
  <si>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</si>
  <si>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</si>
  <si>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</si>
  <si>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</si>
  <si>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</si>
  <si>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</si>
  <si>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</si>
  <si>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</si>
  <si>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</si>
  <si>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</si>
  <si>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</si>
  <si>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</si>
  <si>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</si>
  <si>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</si>
  <si>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</si>
  <si>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</si>
  <si>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</si>
  <si>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</si>
  <si>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</si>
  <si>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</si>
  <si>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</si>
  <si>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</si>
  <si>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</si>
  <si>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</si>
  <si>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</si>
  <si>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</si>
  <si>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</si>
  <si>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</si>
  <si>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</si>
  <si>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</si>
  <si>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</si>
  <si>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</si>
  <si>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</si>
  <si>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</si>
  <si>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</si>
  <si>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</si>
  <si>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</si>
  <si>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</si>
  <si>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</si>
  <si>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</si>
  <si>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</si>
  <si>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</si>
  <si>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</si>
  <si>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</si>
  <si>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</si>
  <si>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</si>
  <si>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</si>
  <si>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</si>
  <si>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</si>
  <si>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</si>
  <si>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</si>
  <si>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</si>
  <si>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</si>
  <si>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</si>
  <si>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</si>
  <si>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</si>
  <si>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</si>
  <si>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</si>
  <si>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</si>
  <si>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</si>
  <si>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</si>
  <si>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</si>
  <si>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</si>
  <si>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</si>
  <si>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</si>
  <si>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</si>
  <si>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</si>
  <si>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</si>
  <si>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</si>
  <si>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</si>
  <si>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</si>
  <si>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</si>
  <si>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</si>
  <si>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</si>
  <si>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</si>
  <si>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</si>
  <si>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</si>
  <si>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</si>
  <si>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</si>
  <si>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</si>
  <si>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</si>
  <si>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</si>
  <si>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</si>
  <si>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</si>
  <si>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</si>
  <si>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</si>
  <si>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</si>
  <si>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</si>
  <si>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</si>
  <si>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</si>
  <si>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</si>
  <si>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</si>
  <si>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</si>
  <si>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</si>
  <si>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</si>
  <si>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</si>
  <si>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</si>
  <si>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</si>
  <si>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</si>
  <si>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</si>
  <si>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</si>
  <si>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</si>
  <si>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</si>
  <si>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</si>
  <si>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</si>
  <si>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</si>
  <si>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</si>
  <si>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</si>
  <si>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</si>
  <si>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</si>
  <si>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</si>
  <si>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</si>
  <si>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</si>
  <si>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</si>
  <si>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</si>
  <si>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</si>
  <si>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</si>
  <si>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</si>
  <si>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</si>
  <si>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</si>
  <si>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</si>
  <si>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</si>
  <si>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</si>
  <si>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</si>
  <si>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</si>
  <si>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</si>
  <si>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</si>
  <si>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</si>
  <si>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</si>
  <si>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</si>
  <si>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</si>
  <si>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</si>
  <si>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</si>
  <si>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</si>
  <si>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</si>
  <si>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</si>
  <si>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</si>
  <si>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</si>
  <si>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</si>
  <si>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</si>
  <si>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</si>
  <si>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</si>
  <si>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</si>
  <si>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</si>
  <si>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</si>
  <si>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</si>
  <si>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</si>
  <si>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</si>
  <si>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</si>
  <si>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</si>
  <si>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</si>
  <si>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</si>
  <si>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</si>
  <si>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</si>
  <si>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</si>
  <si>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</si>
  <si>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</si>
  <si>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</si>
  <si>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</si>
  <si>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</si>
  <si>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</si>
  <si>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</si>
  <si>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</si>
  <si>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</si>
  <si>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</si>
  <si>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</si>
  <si>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</si>
  <si>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</si>
  <si>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</si>
  <si>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</si>
  <si>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</si>
  <si>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</si>
  <si>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</si>
  <si>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</si>
  <si>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</si>
  <si>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</si>
  <si>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</si>
  <si>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</si>
  <si>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</si>
  <si>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</si>
  <si>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</si>
  <si>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</si>
  <si>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</si>
  <si>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</si>
  <si>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</si>
  <si>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</si>
  <si>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</si>
  <si>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</si>
  <si>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</si>
  <si>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</si>
  <si>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</si>
  <si>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</si>
  <si>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</si>
  <si>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</si>
  <si>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</si>
  <si>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</si>
  <si>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</si>
  <si>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</si>
  <si>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</si>
  <si>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</si>
  <si>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</si>
  <si>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</si>
  <si>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</si>
  <si>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</si>
  <si>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</si>
  <si>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</si>
  <si>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</si>
  <si>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</si>
  <si>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</si>
  <si>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</si>
  <si>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</si>
  <si>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</si>
  <si>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</si>
  <si>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</si>
  <si>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</si>
  <si>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</si>
  <si>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</si>
  <si>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</si>
  <si>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</si>
  <si>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</si>
  <si>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</si>
  <si>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</si>
  <si>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</si>
  <si>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</si>
  <si>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</si>
  <si>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</si>
  <si>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</si>
  <si>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</si>
  <si>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</si>
  <si>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</si>
  <si>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</si>
  <si>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</si>
  <si>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</si>
  <si>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</si>
  <si>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</si>
  <si>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</si>
  <si>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</si>
  <si>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</si>
  <si>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</si>
  <si>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</si>
  <si>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</si>
  <si>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</si>
  <si>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</si>
  <si>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</si>
  <si>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</si>
  <si>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</si>
  <si>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</si>
  <si>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</si>
  <si>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</si>
  <si>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</si>
  <si>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</si>
  <si>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</si>
  <si>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</si>
  <si>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</si>
  <si>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</si>
  <si>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</si>
  <si>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</si>
  <si>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</si>
  <si>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</si>
  <si>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</si>
  <si>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</si>
  <si>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</si>
  <si>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</si>
  <si>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</si>
  <si>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</si>
  <si>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</si>
  <si>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</si>
  <si>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</si>
  <si>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</si>
  <si>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</si>
  <si>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</si>
  <si>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</si>
  <si>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</si>
  <si>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</si>
  <si>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</si>
  <si>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</si>
  <si>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</si>
  <si>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</si>
  <si>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</si>
  <si>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</si>
  <si>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</si>
  <si>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</si>
  <si>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</si>
  <si>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</si>
  <si>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</si>
  <si>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</si>
  <si>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</si>
  <si>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</si>
  <si>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</si>
  <si>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</si>
  <si>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</si>
  <si>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</si>
  <si>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</si>
  <si>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</si>
  <si>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</si>
  <si>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</si>
  <si>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</si>
  <si>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</si>
  <si>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</si>
  <si>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</si>
  <si>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</si>
  <si>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</si>
  <si>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</si>
  <si>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</si>
  <si>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</si>
  <si>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</si>
  <si>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</si>
  <si>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</si>
  <si>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</si>
  <si>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</si>
  <si>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</si>
  <si>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</si>
  <si>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</si>
  <si>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</si>
  <si>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</si>
  <si>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</si>
  <si>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</si>
  <si>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</si>
  <si>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</si>
  <si>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</si>
  <si>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</si>
  <si>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</si>
  <si>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</si>
  <si>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</si>
  <si>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</si>
  <si>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</si>
  <si>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</si>
  <si>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</si>
  <si>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</si>
  <si>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</si>
  <si>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</si>
  <si>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</si>
  <si>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</si>
  <si>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</si>
  <si>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</si>
  <si>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</si>
  <si>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</si>
  <si>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</si>
  <si>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</si>
  <si>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</si>
  <si>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</si>
  <si>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</si>
  <si>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</si>
  <si>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</si>
  <si>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</si>
  <si>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</si>
  <si>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</si>
  <si>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</si>
  <si>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</si>
  <si>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</si>
  <si>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</si>
  <si>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</si>
  <si>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</si>
  <si>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</si>
  <si>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</si>
  <si>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</si>
  <si>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</si>
  <si>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</si>
  <si>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</si>
  <si>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</si>
  <si>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</si>
  <si>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</si>
  <si>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</si>
  <si>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</si>
  <si>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</si>
  <si>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</si>
  <si>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</si>
  <si>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</si>
  <si>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</si>
  <si>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</si>
  <si>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</si>
  <si>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</si>
  <si>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</si>
  <si>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</si>
  <si>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</si>
  <si>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</si>
  <si>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</si>
  <si>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</si>
  <si>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</si>
  <si>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</si>
  <si>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</si>
  <si>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</si>
  <si>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</si>
  <si>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</si>
  <si>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</si>
  <si>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</si>
  <si>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</si>
  <si>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</si>
  <si>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</si>
  <si>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</si>
  <si>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</si>
  <si>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</si>
  <si>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</si>
  <si>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</si>
  <si>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</si>
  <si>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</si>
  <si>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</si>
  <si>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</si>
  <si>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</si>
  <si>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</si>
  <si>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</si>
  <si>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</si>
  <si>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</si>
  <si>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</si>
  <si>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</si>
  <si>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</si>
  <si>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</si>
  <si>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</si>
  <si>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</si>
  <si>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</si>
  <si>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</si>
  <si>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</si>
  <si>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</si>
  <si>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</si>
  <si>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</si>
  <si>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</si>
  <si>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</si>
  <si>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</si>
  <si>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</si>
  <si>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</si>
  <si>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</si>
  <si>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</si>
  <si>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</si>
  <si>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</si>
  <si>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</si>
  <si>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</si>
  <si>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</si>
  <si>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</si>
  <si>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</si>
  <si>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</si>
  <si>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</si>
  <si>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</si>
  <si>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</si>
  <si>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</si>
  <si>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</si>
  <si>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</si>
  <si>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</si>
  <si>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</si>
  <si>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</si>
  <si>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</si>
  <si>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</si>
  <si>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</si>
  <si>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</si>
  <si>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</si>
  <si>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</si>
  <si>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</si>
  <si>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</si>
  <si>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</si>
  <si>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</si>
  <si>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</si>
  <si>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</si>
  <si>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</si>
  <si>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</si>
  <si>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</si>
  <si>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</si>
  <si>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</si>
  <si>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</si>
  <si>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</si>
  <si>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</si>
  <si>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</si>
  <si>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</si>
  <si>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</si>
  <si>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</si>
  <si>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</si>
  <si>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</si>
  <si>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</si>
  <si>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</si>
  <si>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</si>
  <si>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</si>
  <si>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</si>
  <si>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</si>
  <si>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</si>
  <si>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</si>
  <si>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</si>
  <si>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</si>
  <si>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</si>
  <si>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</si>
  <si>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</si>
  <si>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</si>
  <si>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</si>
  <si>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</si>
  <si>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</si>
  <si>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</si>
  <si>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</si>
  <si>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</si>
  <si>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</si>
  <si>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</si>
  <si>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</si>
  <si>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</si>
  <si>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</si>
  <si>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</si>
  <si>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</si>
  <si>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</si>
  <si>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</si>
  <si>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</si>
  <si>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</si>
  <si>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</si>
  <si>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</si>
  <si>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</si>
  <si>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</si>
  <si>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</si>
  <si>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</si>
  <si>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</si>
  <si>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</si>
  <si>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</si>
  <si>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</si>
  <si>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</si>
  <si>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</si>
  <si>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</si>
  <si>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</si>
  <si>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</si>
  <si>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</si>
  <si>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</si>
  <si>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</si>
  <si>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</si>
  <si>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</si>
  <si>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</si>
  <si>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</si>
  <si>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</si>
  <si>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</si>
  <si>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</si>
  <si>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</si>
  <si>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</si>
  <si>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</si>
  <si>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</si>
  <si>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</si>
  <si>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</si>
  <si>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</si>
  <si>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</si>
  <si>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</si>
  <si>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</si>
  <si>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</si>
  <si>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</si>
  <si>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</si>
  <si>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</si>
  <si>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</si>
  <si>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</si>
  <si>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</si>
  <si>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</si>
  <si>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</si>
  <si>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</si>
  <si>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</si>
  <si>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</si>
  <si>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</si>
  <si>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</si>
  <si>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</si>
  <si>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</si>
  <si>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</si>
  <si>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</si>
  <si>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</si>
  <si>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</si>
  <si>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</si>
  <si>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</si>
  <si>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</si>
  <si>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</si>
  <si>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</si>
  <si>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</si>
  <si>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</si>
  <si>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</si>
  <si>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</si>
  <si>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</si>
  <si>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</si>
  <si>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</si>
  <si>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</si>
  <si>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</si>
  <si>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</si>
  <si>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</si>
  <si>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</si>
  <si>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</si>
  <si>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</si>
  <si>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</si>
  <si>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</si>
  <si>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</si>
  <si>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</si>
  <si>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</si>
  <si>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</si>
  <si>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</si>
  <si>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</si>
  <si>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</si>
  <si>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</si>
  <si>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</si>
  <si>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</si>
  <si>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</si>
  <si>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</si>
  <si>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</si>
  <si>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</si>
  <si>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</si>
  <si>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</si>
  <si>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</si>
  <si>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</si>
  <si>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</si>
  <si>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</si>
  <si>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</si>
  <si>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</si>
  <si>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</si>
  <si>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</si>
  <si>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</si>
  <si>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</si>
  <si>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</si>
  <si>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</si>
  <si>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</si>
  <si>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</si>
  <si>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</si>
  <si>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</si>
  <si>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</si>
  <si>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</si>
  <si>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</si>
  <si>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</si>
  <si>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</si>
  <si>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</si>
  <si>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</si>
  <si>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</si>
  <si>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</si>
  <si>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</si>
  <si>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</si>
  <si>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</si>
  <si>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</si>
  <si>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</si>
  <si>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</si>
  <si>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</si>
  <si>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</si>
  <si>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</si>
  <si>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</si>
  <si>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</si>
  <si>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</si>
  <si>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</si>
  <si>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</si>
  <si>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</si>
  <si>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</si>
  <si>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</si>
  <si>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</si>
  <si>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</si>
  <si>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</si>
  <si>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</si>
  <si>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</si>
  <si>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</si>
  <si>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</si>
  <si>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</si>
  <si>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</si>
  <si>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</si>
  <si>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</si>
  <si>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</si>
  <si>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</si>
  <si>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</si>
  <si>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</si>
  <si>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</si>
  <si>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</si>
  <si>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</si>
  <si>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</si>
  <si>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</si>
  <si>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</si>
  <si>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</si>
  <si>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</si>
  <si>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</si>
  <si>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</si>
  <si>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</si>
  <si>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</si>
  <si>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</si>
  <si>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</si>
  <si>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</si>
  <si>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</si>
  <si>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</si>
  <si>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</si>
  <si>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</si>
  <si>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</si>
  <si>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</si>
  <si>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</si>
  <si>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</si>
  <si>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</si>
  <si>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</si>
  <si>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</si>
  <si>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</si>
  <si>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</si>
  <si>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</si>
  <si>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</si>
  <si>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</si>
  <si>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</si>
  <si>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</si>
  <si>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</si>
  <si>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</si>
  <si>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</si>
  <si>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</si>
  <si>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</si>
  <si>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</si>
  <si>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</si>
  <si>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</si>
  <si>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</si>
  <si>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</si>
  <si>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</si>
  <si>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</si>
  <si>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</si>
  <si>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</si>
  <si>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</si>
  <si>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</si>
  <si>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</si>
  <si>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</si>
  <si>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</si>
  <si>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</si>
  <si>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</si>
  <si>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</si>
  <si>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</si>
  <si>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</si>
  <si>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</si>
  <si>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</si>
  <si>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</si>
  <si>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</si>
  <si>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</si>
  <si>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</si>
  <si>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</si>
  <si>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</si>
  <si>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</si>
  <si>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</si>
  <si>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</si>
  <si>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</si>
  <si>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</si>
  <si>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</si>
  <si>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</si>
  <si>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</si>
  <si>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</si>
  <si>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</si>
  <si>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</si>
  <si>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</si>
  <si>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</si>
  <si>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</si>
  <si>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</si>
  <si>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</si>
  <si>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</si>
  <si>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</si>
  <si>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</si>
  <si>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</si>
  <si>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</si>
  <si>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</si>
  <si>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</si>
  <si>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</si>
  <si>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</si>
  <si>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</si>
  <si>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</si>
  <si>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</si>
  <si>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</si>
  <si>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</si>
  <si>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</si>
  <si>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</si>
  <si>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</si>
  <si>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</si>
  <si>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</si>
  <si>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</si>
  <si>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</si>
  <si>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</si>
  <si>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</si>
  <si>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</si>
  <si>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</si>
  <si>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</si>
  <si>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</si>
  <si>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</si>
  <si>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</si>
  <si>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</si>
  <si>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</si>
  <si>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</si>
  <si>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</si>
  <si>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</si>
  <si>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</si>
  <si>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</si>
  <si>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</si>
  <si>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</si>
  <si>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</si>
  <si>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</si>
  <si>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</si>
  <si>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</si>
  <si>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</si>
  <si>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</si>
  <si>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</si>
  <si>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</si>
  <si>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</si>
  <si>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</si>
  <si>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</si>
  <si>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</si>
  <si>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</si>
  <si>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</si>
  <si>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</si>
  <si>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</si>
  <si>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</si>
  <si>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</si>
  <si>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</si>
  <si>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</si>
  <si>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</si>
  <si>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</si>
  <si>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</si>
  <si>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</si>
  <si>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</si>
  <si>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</si>
  <si>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</si>
  <si>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</si>
  <si>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</si>
  <si>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</si>
  <si>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</si>
  <si>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</si>
  <si>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</si>
  <si>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</si>
  <si>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</si>
  <si>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</si>
  <si>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</si>
  <si>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</si>
  <si>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</si>
  <si>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</si>
  <si>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</si>
  <si>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</si>
  <si>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</si>
  <si>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</si>
  <si>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</si>
  <si>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</si>
  <si>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</si>
  <si>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</si>
  <si>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</si>
  <si>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</si>
  <si>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</si>
  <si>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</si>
  <si>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</si>
  <si>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</si>
  <si>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</si>
  <si>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</si>
  <si>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</si>
  <si>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</si>
  <si>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</si>
  <si>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</si>
  <si>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</si>
  <si>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</si>
  <si>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</si>
  <si>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</si>
  <si>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</si>
  <si>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</si>
  <si>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</si>
  <si>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</si>
  <si>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</si>
  <si>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</si>
  <si>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</si>
  <si>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</si>
  <si>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</si>
  <si>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</si>
  <si>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</si>
  <si>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</si>
  <si>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</si>
  <si>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</si>
  <si>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</si>
  <si>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</si>
  <si>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</si>
  <si>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</si>
  <si>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</si>
  <si>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</si>
  <si>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</si>
  <si>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</si>
  <si>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</si>
  <si>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</si>
  <si>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</si>
  <si>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</si>
  <si>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</si>
  <si>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</si>
  <si>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</si>
  <si>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</si>
  <si>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</si>
  <si>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</si>
  <si>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</si>
  <si>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</si>
  <si>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</si>
  <si>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</si>
  <si>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</si>
  <si>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</si>
  <si>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</si>
  <si>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</si>
  <si>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</si>
  <si>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</si>
  <si>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</si>
  <si>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</si>
  <si>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</si>
  <si>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</si>
  <si>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</si>
  <si>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</si>
  <si>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</si>
  <si>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</si>
  <si>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</si>
  <si>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</si>
  <si>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</si>
  <si>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</si>
  <si>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</si>
  <si>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</si>
  <si>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</si>
  <si>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</si>
  <si>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</si>
  <si>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</si>
  <si>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</si>
  <si>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</si>
  <si>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</si>
  <si>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</si>
  <si>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</si>
  <si>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</si>
  <si>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</si>
  <si>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</si>
  <si>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</si>
  <si>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</si>
  <si>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</si>
  <si>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</si>
  <si>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</si>
  <si>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</si>
  <si>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</si>
  <si>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</si>
  <si>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</si>
  <si>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</si>
  <si>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</si>
  <si>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</si>
  <si>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</si>
  <si>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</si>
  <si>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</si>
  <si>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</si>
  <si>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</si>
  <si>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</si>
  <si>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</si>
  <si>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</si>
  <si>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</si>
  <si>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</si>
  <si>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</si>
  <si>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</si>
  <si>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</si>
  <si>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</si>
  <si>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</si>
  <si>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</si>
  <si>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</si>
  <si>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</si>
  <si>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</si>
  <si>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</si>
  <si>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</si>
  <si>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</si>
  <si>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</si>
  <si>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</si>
  <si>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</si>
  <si>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</si>
  <si>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</si>
  <si>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</si>
  <si>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</si>
  <si>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</si>
  <si>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</si>
  <si>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</si>
  <si>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</si>
  <si>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</si>
  <si>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</si>
  <si>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</si>
  <si>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</si>
  <si>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</si>
  <si>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</si>
  <si>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</si>
  <si>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</si>
  <si>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</si>
  <si>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</si>
  <si>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</si>
  <si>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</si>
  <si>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</si>
  <si>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</si>
  <si>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</si>
  <si>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</si>
  <si>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</si>
  <si>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</si>
  <si>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</si>
  <si>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</si>
  <si>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</si>
  <si>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</si>
  <si>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</si>
  <si>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</si>
  <si>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</si>
  <si>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</si>
  <si>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</si>
  <si>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</si>
  <si>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</si>
  <si>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</si>
  <si>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</si>
  <si>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</si>
  <si>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</si>
  <si>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</si>
  <si>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</si>
  <si>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</si>
  <si>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</si>
  <si>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</si>
  <si>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</si>
  <si>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</si>
  <si>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</si>
  <si>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</si>
  <si>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</si>
  <si>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</si>
  <si>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</si>
  <si>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</si>
  <si>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</si>
  <si>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</si>
  <si>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</si>
  <si>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</si>
  <si>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</si>
  <si>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</si>
  <si>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</si>
  <si>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</si>
  <si>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</si>
  <si>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</si>
  <si>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</si>
  <si>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</si>
  <si>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</si>
  <si>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</si>
  <si>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</si>
  <si>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</si>
  <si>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</si>
  <si>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</si>
  <si>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</si>
  <si>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</si>
  <si>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</si>
  <si>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</si>
  <si>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</si>
  <si>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</si>
  <si>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</si>
  <si>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</si>
  <si>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</si>
  <si>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</si>
  <si>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</si>
  <si>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</si>
  <si>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</si>
  <si>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</si>
  <si>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</si>
  <si>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</si>
  <si>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</si>
  <si>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</si>
  <si>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</si>
  <si>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</si>
  <si>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</si>
  <si>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</si>
  <si>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</si>
  <si>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</si>
  <si>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</si>
  <si>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</si>
  <si>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</si>
  <si>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</si>
  <si>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</si>
  <si>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</si>
  <si>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</si>
  <si>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</si>
  <si>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</si>
  <si>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</si>
  <si>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</si>
  <si>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</si>
  <si>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</si>
  <si>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</si>
  <si>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</si>
  <si>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</si>
  <si>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</si>
  <si>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</si>
  <si>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</si>
  <si>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</si>
  <si>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</si>
  <si>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</si>
  <si>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</si>
  <si>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</si>
  <si>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</si>
  <si>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</si>
  <si>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</si>
  <si>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</si>
  <si>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</si>
  <si>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</si>
  <si>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</si>
  <si>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</si>
  <si>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</si>
  <si>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</si>
  <si>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</si>
  <si>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</si>
  <si>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</si>
  <si>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</si>
  <si>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</si>
  <si>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</si>
  <si>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</si>
  <si>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</si>
  <si>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</si>
  <si>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</si>
  <si>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</si>
  <si>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</si>
  <si>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</si>
  <si>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</si>
  <si>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</si>
  <si>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</si>
  <si>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</si>
  <si>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</si>
  <si>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</si>
  <si>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</si>
  <si>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</si>
  <si>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</si>
  <si>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</si>
  <si>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</si>
  <si>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</si>
  <si>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</si>
  <si>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</si>
  <si>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</si>
  <si>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</si>
  <si>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</si>
  <si>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</si>
  <si>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</si>
  <si>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</si>
  <si>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</si>
  <si>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</si>
  <si>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</si>
  <si>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</si>
  <si>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</si>
  <si>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</si>
  <si>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</si>
  <si>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</si>
  <si>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</si>
  <si>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</si>
  <si>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</si>
  <si>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</si>
  <si>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</si>
  <si>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</si>
  <si>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</si>
  <si>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</si>
  <si>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</si>
  <si>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</si>
  <si>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</si>
  <si>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</si>
  <si>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</si>
  <si>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</si>
  <si>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</si>
  <si>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</si>
  <si>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</si>
  <si>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</si>
  <si>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</si>
  <si>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</si>
  <si>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</si>
  <si>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</si>
  <si>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</si>
  <si>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</si>
  <si>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</si>
  <si>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</si>
  <si>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</si>
  <si>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</si>
  <si>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</si>
  <si>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</si>
  <si>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</si>
  <si>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</si>
  <si>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</si>
  <si>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</si>
  <si>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</si>
  <si>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</si>
  <si>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</si>
  <si>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</si>
  <si>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</si>
  <si>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</si>
  <si>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</si>
  <si>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</si>
  <si>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</si>
  <si>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</si>
  <si>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</si>
  <si>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</si>
  <si>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</si>
  <si>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</si>
  <si>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</si>
  <si>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</si>
  <si>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</si>
  <si>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</si>
  <si>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</si>
  <si>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</si>
  <si>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</si>
  <si>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</si>
  <si>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</si>
  <si>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</si>
  <si>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</si>
  <si>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</si>
  <si>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</si>
  <si>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</si>
  <si>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</si>
  <si>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</si>
  <si>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</si>
  <si>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</si>
  <si>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</si>
  <si>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</si>
  <si>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</si>
  <si>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</si>
  <si>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</si>
  <si>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</si>
  <si>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</si>
  <si>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</si>
  <si>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</si>
  <si>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</si>
  <si>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</si>
  <si>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</si>
  <si>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</si>
  <si>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</si>
  <si>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</si>
  <si>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</si>
  <si>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</si>
  <si>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</si>
  <si>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</si>
  <si>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</si>
  <si>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</si>
  <si>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</si>
  <si>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</si>
  <si>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</si>
  <si>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</si>
  <si>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</si>
  <si>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</si>
  <si>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</si>
  <si>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</si>
  <si>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</si>
  <si>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</si>
  <si>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</si>
  <si>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</si>
  <si>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</si>
  <si>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</si>
  <si>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</si>
  <si>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</si>
  <si>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</si>
  <si>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</si>
  <si>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</si>
  <si>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</si>
  <si>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</si>
  <si>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</si>
  <si>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</si>
  <si>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</si>
  <si>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</si>
  <si>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</si>
  <si>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</si>
  <si>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</si>
  <si>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</si>
  <si>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</si>
  <si>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</si>
  <si>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</si>
  <si>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</si>
  <si>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</si>
  <si>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</si>
  <si>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</si>
  <si>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</si>
  <si>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</si>
  <si>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</si>
  <si>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</si>
  <si>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</si>
  <si>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</si>
  <si>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</si>
  <si>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</si>
  <si>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</si>
  <si>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</si>
  <si>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</si>
  <si>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</si>
  <si>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</si>
  <si>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</si>
  <si>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</si>
  <si>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</si>
  <si>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</si>
  <si>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</si>
  <si>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</si>
  <si>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</si>
  <si>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</si>
  <si>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</si>
  <si>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</si>
  <si>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</si>
  <si>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</si>
  <si>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</si>
  <si>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</si>
  <si>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</si>
  <si>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</si>
  <si>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</si>
  <si>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</si>
  <si>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</si>
  <si>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</si>
  <si>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</si>
  <si>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</si>
  <si>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</si>
  <si>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</si>
  <si>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</si>
  <si>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</si>
  <si>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</si>
  <si>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</si>
  <si>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</si>
  <si>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</si>
  <si>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</si>
  <si>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</si>
  <si>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</si>
  <si>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</si>
  <si>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</si>
  <si>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</si>
  <si>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</si>
  <si>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</si>
  <si>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</si>
  <si>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</si>
  <si>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</si>
  <si>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</si>
  <si>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</si>
  <si>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</si>
  <si>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</si>
  <si>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</si>
  <si>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</si>
  <si>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</si>
  <si>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</si>
  <si>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</si>
  <si>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</si>
  <si>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</si>
  <si>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</si>
  <si>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</si>
  <si>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</si>
  <si>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</si>
  <si>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</si>
  <si>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</si>
  <si>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</si>
  <si>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</si>
  <si>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</si>
  <si>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</si>
  <si>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</si>
  <si>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</si>
  <si>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</si>
  <si>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</si>
  <si>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</si>
  <si>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</si>
  <si>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</si>
  <si>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</si>
  <si>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</si>
  <si>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</si>
  <si>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</si>
  <si>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</si>
  <si>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</si>
  <si>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</si>
  <si>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</si>
  <si>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</si>
  <si>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</si>
  <si>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</si>
  <si>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</si>
  <si>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</si>
  <si>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</si>
  <si>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</si>
  <si>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</si>
  <si>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</si>
  <si>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</si>
  <si>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</si>
  <si>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</si>
  <si>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</si>
  <si>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</si>
  <si>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</si>
  <si>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</si>
  <si>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</si>
  <si>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</si>
  <si>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</si>
  <si>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</si>
  <si>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</si>
  <si>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</si>
  <si>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</si>
  <si>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</si>
  <si>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</si>
  <si>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</si>
  <si>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</si>
  <si>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</si>
  <si>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</si>
  <si>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</si>
  <si>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</si>
  <si>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</si>
  <si>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</si>
  <si>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</si>
  <si>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</si>
  <si>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</si>
  <si>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</si>
  <si>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</si>
  <si>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</si>
  <si>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</si>
  <si>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</si>
  <si>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</si>
  <si>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</si>
  <si>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</si>
  <si>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</si>
  <si>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</si>
  <si>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</si>
  <si>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</si>
  <si>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</si>
  <si>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</si>
  <si>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</si>
  <si>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</si>
  <si>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</si>
  <si>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</si>
  <si>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</si>
  <si>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</si>
  <si>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</si>
  <si>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</si>
  <si>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</si>
  <si>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</si>
  <si>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</si>
  <si>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</si>
  <si>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</si>
  <si>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</si>
  <si>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</si>
  <si>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</si>
  <si>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</si>
  <si>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</si>
  <si>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</si>
  <si>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</si>
  <si>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</si>
  <si>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</si>
  <si>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</si>
  <si>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</si>
  <si>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</si>
  <si>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</si>
  <si>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</si>
  <si>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</si>
  <si>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</si>
  <si>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</si>
  <si>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</si>
  <si>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</si>
  <si>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</si>
  <si>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</si>
  <si>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</si>
  <si>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</si>
  <si>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</si>
  <si>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</si>
  <si>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</si>
  <si>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</si>
  <si>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</si>
  <si>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</si>
  <si>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</si>
  <si>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</si>
  <si>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</si>
  <si>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</si>
  <si>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</si>
  <si>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</si>
  <si>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</si>
  <si>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</si>
  <si>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</si>
  <si>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</si>
  <si>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</si>
  <si>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</si>
  <si>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</si>
  <si>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</si>
  <si>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</si>
  <si>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</si>
  <si>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</si>
  <si>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</si>
  <si>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</si>
  <si>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</si>
  <si>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</si>
  <si>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</si>
  <si>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</si>
  <si>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</si>
  <si>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</si>
  <si>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</si>
  <si>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</si>
  <si>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</si>
  <si>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</si>
  <si>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</si>
  <si>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</si>
  <si>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</si>
  <si>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</si>
  <si>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</si>
  <si>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</si>
  <si>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</si>
  <si>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</si>
  <si>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</si>
  <si>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</si>
  <si>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</si>
  <si>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</si>
  <si>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</si>
  <si>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</si>
  <si>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</si>
  <si>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</si>
  <si>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</si>
  <si>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</si>
  <si>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</si>
  <si>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</si>
  <si>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</si>
  <si>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</si>
  <si>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</si>
  <si>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</si>
  <si>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</si>
  <si>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</si>
  <si>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</si>
  <si>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</si>
  <si>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</si>
  <si>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</si>
  <si>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</si>
  <si>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</si>
  <si>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</si>
  <si>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</si>
  <si>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</si>
  <si>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</si>
  <si>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</si>
  <si>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</si>
  <si>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</si>
  <si>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</si>
  <si>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</si>
  <si>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</si>
  <si>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</si>
  <si>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</si>
  <si>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</si>
  <si>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</si>
  <si>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</si>
  <si>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</si>
  <si>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</si>
  <si>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</si>
  <si>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</si>
  <si>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</si>
  <si>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</si>
  <si>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</si>
  <si>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</si>
  <si>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</si>
  <si>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</si>
  <si>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</si>
  <si>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</si>
  <si>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</si>
  <si>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</si>
  <si>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</si>
  <si>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</si>
  <si>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</si>
  <si>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</si>
  <si>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</si>
  <si>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</si>
  <si>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</si>
  <si>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</si>
  <si>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</si>
  <si>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</si>
  <si>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</si>
  <si>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</si>
  <si>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</si>
  <si>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</si>
  <si>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</si>
  <si>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</si>
  <si>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</si>
  <si>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</si>
  <si>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</si>
  <si>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</si>
  <si>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</si>
  <si>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</si>
  <si>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</si>
  <si>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</si>
  <si>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</si>
  <si>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</si>
  <si>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</si>
  <si>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</si>
  <si>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</si>
  <si>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</si>
  <si>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</si>
  <si>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</si>
  <si>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</si>
  <si>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</si>
  <si>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</si>
  <si>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</si>
  <si>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</si>
  <si>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</si>
  <si>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</si>
  <si>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</si>
  <si>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</si>
  <si>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</si>
  <si>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</si>
  <si>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</si>
  <si>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</si>
  <si>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</si>
  <si>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</si>
  <si>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</si>
  <si>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</si>
  <si>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</si>
  <si>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</si>
  <si>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</si>
  <si>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</si>
  <si>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</si>
  <si>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</si>
  <si>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</si>
  <si>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</si>
  <si>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</si>
  <si>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</si>
  <si>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</si>
  <si>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</si>
  <si>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</si>
  <si>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</si>
  <si>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</si>
  <si>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</si>
  <si>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</si>
  <si>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</si>
  <si>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</si>
  <si>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</si>
  <si>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</si>
  <si>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</si>
  <si>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</si>
  <si>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</si>
  <si>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</si>
  <si>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</si>
  <si>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</si>
  <si>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</si>
  <si>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</si>
  <si>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</si>
  <si>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</si>
  <si>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</si>
  <si>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</si>
  <si>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</si>
  <si>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</si>
  <si>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</si>
  <si>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</si>
  <si>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</si>
  <si>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</si>
  <si>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</si>
  <si>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</si>
  <si>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</si>
  <si>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</si>
  <si>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</si>
  <si>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</si>
  <si>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</si>
  <si>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</si>
  <si>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</si>
  <si>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</si>
  <si>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</si>
  <si>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</si>
  <si>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</si>
  <si>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</si>
  <si>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</si>
  <si>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</si>
  <si>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</si>
  <si>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</si>
  <si>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</si>
  <si>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</si>
  <si>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</si>
  <si>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</si>
  <si>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</si>
  <si>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</si>
  <si>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</si>
  <si>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</si>
  <si>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</si>
  <si>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</si>
  <si>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</si>
  <si>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</si>
  <si>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</si>
  <si>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</si>
  <si>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</si>
  <si>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</si>
  <si>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</si>
  <si>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</si>
  <si>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</si>
  <si>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</si>
  <si>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</si>
  <si>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</si>
  <si>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</si>
  <si>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</si>
  <si>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</si>
  <si>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</si>
  <si>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</si>
  <si>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</si>
  <si>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</si>
  <si>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</si>
  <si>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</si>
  <si>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</si>
  <si>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</si>
  <si>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</si>
  <si>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</si>
  <si>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</si>
  <si>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</si>
  <si>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</si>
  <si>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</si>
  <si>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</si>
  <si>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</si>
  <si>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</si>
  <si>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</si>
  <si>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</si>
  <si>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</si>
  <si>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</si>
  <si>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</si>
  <si>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</si>
  <si>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</si>
  <si>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</si>
  <si>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</si>
  <si>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</si>
  <si>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</si>
  <si>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</si>
  <si>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</si>
  <si>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</si>
  <si>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</si>
  <si>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</si>
  <si>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</si>
  <si>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</si>
  <si>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</si>
  <si>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</si>
  <si>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</si>
  <si>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</si>
  <si>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</si>
  <si>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</si>
  <si>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</si>
  <si>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</si>
  <si>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</si>
  <si>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</si>
  <si>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</si>
  <si>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</si>
  <si>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</si>
  <si>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</si>
  <si>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</si>
  <si>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</si>
  <si>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</si>
  <si>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</si>
  <si>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</si>
  <si>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</si>
  <si>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</si>
  <si>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</si>
  <si>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</si>
  <si>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</si>
  <si>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</si>
  <si>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</si>
  <si>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</si>
  <si>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</si>
  <si>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</si>
  <si>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</si>
  <si>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</si>
  <si>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</si>
  <si>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</si>
  <si>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</si>
  <si>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</si>
  <si>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</si>
  <si>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</si>
  <si>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</si>
  <si>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</si>
  <si>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</si>
  <si>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</si>
  <si>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</si>
  <si>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</si>
  <si>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</si>
  <si>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</si>
  <si>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</si>
  <si>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</si>
  <si>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</si>
  <si>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</si>
  <si>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</si>
  <si>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</si>
  <si>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</si>
  <si>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</si>
  <si>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</si>
  <si>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</si>
  <si>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</si>
  <si>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</si>
  <si>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</si>
  <si>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</si>
  <si>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</si>
  <si>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</si>
  <si>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</si>
  <si>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</si>
  <si>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</si>
  <si>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</si>
  <si>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</si>
  <si>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</si>
  <si>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</si>
  <si>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</si>
  <si>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</si>
  <si>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</si>
  <si>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</si>
  <si>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</si>
  <si>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</si>
  <si>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</si>
  <si>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</si>
  <si>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</si>
  <si>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</si>
  <si>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</si>
  <si>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</si>
  <si>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</si>
  <si>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</si>
  <si>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</si>
  <si>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</si>
  <si>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</si>
  <si>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</si>
  <si>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</si>
  <si>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</si>
  <si>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</si>
  <si>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</si>
  <si>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</si>
  <si>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</si>
  <si>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</si>
  <si>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</si>
  <si>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</si>
  <si>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</si>
  <si>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</si>
  <si>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</si>
  <si>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</si>
  <si>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</si>
  <si>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</si>
  <si>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</si>
  <si>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</si>
  <si>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</si>
  <si>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</si>
  <si>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</si>
  <si>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</si>
  <si>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</si>
  <si>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</si>
  <si>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</si>
  <si>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</si>
  <si>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</si>
  <si>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</si>
  <si>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</si>
  <si>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</si>
  <si>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</si>
  <si>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</si>
  <si>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</si>
  <si>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</si>
  <si>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</si>
  <si>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</si>
  <si>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</si>
  <si>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</si>
  <si>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</si>
  <si>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</si>
  <si>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</si>
  <si>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</si>
  <si>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</si>
  <si>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</si>
  <si>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</si>
  <si>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</si>
  <si>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</si>
  <si>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</si>
  <si>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</si>
  <si>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</si>
  <si>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</si>
  <si>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</si>
  <si>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</si>
  <si>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</si>
  <si>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</si>
  <si>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</si>
  <si>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</si>
  <si>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</si>
  <si>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</si>
  <si>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</si>
  <si>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</si>
  <si>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</si>
  <si>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</si>
  <si>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</si>
  <si>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</si>
  <si>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</si>
  <si>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</si>
  <si>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</si>
  <si>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</si>
  <si>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</si>
  <si>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</si>
  <si>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</si>
  <si>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</si>
  <si>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</si>
  <si>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</si>
  <si>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</si>
  <si>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</si>
  <si>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</si>
  <si>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</si>
  <si>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</si>
  <si>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</si>
  <si>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</si>
  <si>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</si>
  <si>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</si>
  <si>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</si>
  <si>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</si>
  <si>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</si>
  <si>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</si>
  <si>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</si>
  <si>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</si>
  <si>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</si>
  <si>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</si>
  <si>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</si>
  <si>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</si>
  <si>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</si>
  <si>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</si>
  <si>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</si>
  <si>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</si>
  <si>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</si>
  <si>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</si>
  <si>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</si>
  <si>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</si>
  <si>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</si>
  <si>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</si>
  <si>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</si>
  <si>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</si>
  <si>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</si>
  <si>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</si>
  <si>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</si>
  <si>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</si>
  <si>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</si>
  <si>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</si>
  <si>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</si>
  <si>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</si>
  <si>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</si>
  <si>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</si>
  <si>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</si>
  <si>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</si>
  <si>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</si>
  <si>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</si>
  <si>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</si>
  <si>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</si>
  <si>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</si>
  <si>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</si>
  <si>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</si>
  <si>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</si>
  <si>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</si>
  <si>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</si>
  <si>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</si>
  <si>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</si>
  <si>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</si>
  <si>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</si>
  <si>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</si>
  <si>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</si>
  <si>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</si>
  <si>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</si>
  <si>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</si>
  <si>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</si>
  <si>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</si>
  <si>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</si>
  <si>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</si>
  <si>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</si>
  <si>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</si>
  <si>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</si>
  <si>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</si>
  <si>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</si>
  <si>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</si>
  <si>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</si>
  <si>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</si>
  <si>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</si>
  <si>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</si>
  <si>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</si>
  <si>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</si>
  <si>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</si>
  <si>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</si>
  <si>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</si>
  <si>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</si>
  <si>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</si>
  <si>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</si>
  <si>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</si>
  <si>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</si>
  <si>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</si>
  <si>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</si>
  <si>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</si>
  <si>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</si>
  <si>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</si>
  <si>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</si>
  <si>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</si>
  <si>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</si>
  <si>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</si>
  <si>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</si>
  <si>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</si>
  <si>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</si>
  <si>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</si>
  <si>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</si>
  <si>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</si>
  <si>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</si>
  <si>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</si>
  <si>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</si>
  <si>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</si>
  <si>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</si>
  <si>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</si>
  <si>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</si>
  <si>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</si>
  <si>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</si>
  <si>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</si>
  <si>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</si>
  <si>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</si>
  <si>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</si>
  <si>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</si>
  <si>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</si>
  <si>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</si>
  <si>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</si>
  <si>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</si>
  <si>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</si>
  <si>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</si>
  <si>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</si>
  <si>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</si>
  <si>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</si>
  <si>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</si>
  <si>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</si>
  <si>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</si>
  <si>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</si>
  <si>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</si>
  <si>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</si>
  <si>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</si>
  <si>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</si>
  <si>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</si>
  <si>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</si>
  <si>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</si>
  <si>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</si>
  <si>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</si>
  <si>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</si>
  <si>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</si>
  <si>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</si>
  <si>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</si>
  <si>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</si>
  <si>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</si>
  <si>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</si>
  <si>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</si>
  <si>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</si>
  <si>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</si>
  <si>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</si>
  <si>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</si>
  <si>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</si>
  <si>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</si>
  <si>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</si>
  <si>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</si>
  <si>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</si>
  <si>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</si>
  <si>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</si>
  <si>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</si>
  <si>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</si>
  <si>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</si>
  <si>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</si>
  <si>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</si>
  <si>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</si>
  <si>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</si>
  <si>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</si>
  <si>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</si>
  <si>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</si>
  <si>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</si>
  <si>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</si>
  <si>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</si>
  <si>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</si>
  <si>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</si>
  <si>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</si>
  <si>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</si>
  <si>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</si>
  <si>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</si>
  <si>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</si>
  <si>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</si>
  <si>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</si>
  <si>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</si>
  <si>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</si>
  <si>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</si>
  <si>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</si>
  <si>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</si>
  <si>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</si>
  <si>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</si>
  <si>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</si>
  <si>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</si>
  <si>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</si>
  <si>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</si>
  <si>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</si>
  <si>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</si>
  <si>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</si>
  <si>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</si>
  <si>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</si>
  <si>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</si>
  <si>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</si>
  <si>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</si>
  <si>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</si>
  <si>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</si>
  <si>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</si>
  <si>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</si>
  <si>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</si>
  <si>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</si>
  <si>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</si>
  <si>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</si>
  <si>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</si>
  <si>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</si>
  <si>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</si>
  <si>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</si>
  <si>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</si>
  <si>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</si>
  <si>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</si>
  <si>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</si>
  <si>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</si>
  <si>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</si>
  <si>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</si>
  <si>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</si>
  <si>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</si>
  <si>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</si>
  <si>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</si>
  <si>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</si>
  <si>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</si>
  <si>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</si>
  <si>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</si>
  <si>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</si>
  <si>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</si>
  <si>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</si>
  <si>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</si>
  <si>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</si>
  <si>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</si>
  <si>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</si>
  <si>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</si>
  <si>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</si>
  <si>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</si>
  <si>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</si>
  <si>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</si>
  <si>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</si>
  <si>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</si>
  <si>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</si>
  <si>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</si>
  <si>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</si>
  <si>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</si>
  <si>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</si>
  <si>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</si>
  <si>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</si>
  <si>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</si>
  <si>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</si>
  <si>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</si>
  <si>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</si>
  <si>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</si>
  <si>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</si>
  <si>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</si>
  <si>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</si>
  <si>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</si>
  <si>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</si>
  <si>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</si>
  <si>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</si>
  <si>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</si>
  <si>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</si>
  <si>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</si>
  <si>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</si>
  <si>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</si>
  <si>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</si>
  <si>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</si>
  <si>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</si>
  <si>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</si>
  <si>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</si>
  <si>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</si>
  <si>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</si>
  <si>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</si>
  <si>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</si>
  <si>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</si>
  <si>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</si>
  <si>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</si>
  <si>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</si>
  <si>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</si>
  <si>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</si>
  <si>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</si>
  <si>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</si>
  <si>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</si>
  <si>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</si>
  <si>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</si>
  <si>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</si>
  <si>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</si>
  <si>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</si>
  <si>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</si>
  <si>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</si>
  <si>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</si>
  <si>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</si>
  <si>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</si>
  <si>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</si>
  <si>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</si>
  <si>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</si>
  <si>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</si>
  <si>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</si>
  <si>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</si>
  <si>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</si>
  <si>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</si>
  <si>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</si>
  <si>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</si>
  <si>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</si>
  <si>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</si>
  <si>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</si>
  <si>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</si>
  <si>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</si>
  <si>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</si>
  <si>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</si>
  <si>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</si>
  <si>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</si>
  <si>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</si>
  <si>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</si>
  <si>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</si>
  <si>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</si>
  <si>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</si>
  <si>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</si>
  <si>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</si>
  <si>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</si>
  <si>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</si>
  <si>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</si>
  <si>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</si>
  <si>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</si>
  <si>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</si>
  <si>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</si>
  <si>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</si>
  <si>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</si>
  <si>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</si>
  <si>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</si>
  <si>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</si>
  <si>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</si>
  <si>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</si>
  <si>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</si>
  <si>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</si>
  <si>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</si>
  <si>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</si>
  <si>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</si>
  <si>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</si>
  <si>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</si>
  <si>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</si>
  <si>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</si>
  <si>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</si>
  <si>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</si>
  <si>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</si>
  <si>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</si>
  <si>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</si>
  <si>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</si>
  <si>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</si>
  <si>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</si>
  <si>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</si>
  <si>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</si>
  <si>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</si>
  <si>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</si>
  <si>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</si>
  <si>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</si>
  <si>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</si>
  <si>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</si>
  <si>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</si>
  <si>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</si>
  <si>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</si>
  <si>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</si>
  <si>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</si>
  <si>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</si>
  <si>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</si>
  <si>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</si>
  <si>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</si>
  <si>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</si>
  <si>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</si>
  <si>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</si>
  <si>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</si>
  <si>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</si>
  <si>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</si>
  <si>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</si>
  <si>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</si>
  <si>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</si>
  <si>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</si>
  <si>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</si>
  <si>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</si>
  <si>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</si>
  <si>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</si>
  <si>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</si>
  <si>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</si>
  <si>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</si>
  <si>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</si>
  <si>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</si>
  <si>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</si>
  <si>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</si>
  <si>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</si>
  <si>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</si>
  <si>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</si>
  <si>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</si>
  <si>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</si>
  <si>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</si>
  <si>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</si>
  <si>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</si>
  <si>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</si>
  <si>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</si>
  <si>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</si>
  <si>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</si>
  <si>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</si>
  <si>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</si>
  <si>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</si>
  <si>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</si>
  <si>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</si>
  <si>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</si>
  <si>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</si>
  <si>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</si>
  <si>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</si>
  <si>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</si>
  <si>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</si>
  <si>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</si>
  <si>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</si>
  <si>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</si>
  <si>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</si>
  <si>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</si>
  <si>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</si>
  <si>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</si>
  <si>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</si>
  <si>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</si>
  <si>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</si>
  <si>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</si>
  <si>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</si>
  <si>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</si>
  <si>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</si>
  <si>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</si>
  <si>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</si>
  <si>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</si>
  <si>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</si>
  <si>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</si>
  <si>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</si>
  <si>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</si>
  <si>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</si>
  <si>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</si>
  <si>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</si>
  <si>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</si>
  <si>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</si>
  <si>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</si>
  <si>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</si>
  <si>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</si>
  <si>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</si>
  <si>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</si>
  <si>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</si>
  <si>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</si>
  <si>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</si>
  <si>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</si>
  <si>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</si>
  <si>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</si>
  <si>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</si>
  <si>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</si>
  <si>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</si>
  <si>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</si>
  <si>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</si>
  <si>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</si>
  <si>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</si>
  <si>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</si>
  <si>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</si>
  <si>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</si>
  <si>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</si>
  <si>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</si>
  <si>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</si>
  <si>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</si>
  <si>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</si>
  <si>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</si>
  <si>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</si>
  <si>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</si>
  <si>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</si>
  <si>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</si>
  <si>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</si>
  <si>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</si>
  <si>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</si>
  <si>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</si>
  <si>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</si>
  <si>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</si>
  <si>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</si>
  <si>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</si>
  <si>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</si>
  <si>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</si>
  <si>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</si>
  <si>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</si>
  <si>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</si>
  <si>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</si>
  <si>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</si>
  <si>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</si>
  <si>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</si>
  <si>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</si>
  <si>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</si>
  <si>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</si>
  <si>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</si>
  <si>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</si>
  <si>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</si>
  <si>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</si>
  <si>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</si>
  <si>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</si>
  <si>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</si>
  <si>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</si>
  <si>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</si>
  <si>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</si>
  <si>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</si>
  <si>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</si>
  <si>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</si>
  <si>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</si>
  <si>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</si>
  <si>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</si>
  <si>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</si>
  <si>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</si>
  <si>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</si>
  <si>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</si>
  <si>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</si>
  <si>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</si>
  <si>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</si>
  <si>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</si>
  <si>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</si>
  <si>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</si>
  <si>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</si>
  <si>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</si>
  <si>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</si>
  <si>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</si>
  <si>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</si>
  <si>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</si>
  <si>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</si>
  <si>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</si>
  <si>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</si>
  <si>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</si>
  <si>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</si>
  <si>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</si>
  <si>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</si>
  <si>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</si>
  <si>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</si>
  <si>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</si>
  <si>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</si>
  <si>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</si>
  <si>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</si>
  <si>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</si>
  <si>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</si>
  <si>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</si>
  <si>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</si>
  <si>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</si>
  <si>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</si>
  <si>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</si>
  <si>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</si>
  <si>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</si>
  <si>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</si>
  <si>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</si>
  <si>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</si>
  <si>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</si>
  <si>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</si>
  <si>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</si>
  <si>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</si>
  <si>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</si>
  <si>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</si>
  <si>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</si>
  <si>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</si>
  <si>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</si>
  <si>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</si>
  <si>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</si>
  <si>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</si>
  <si>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</si>
  <si>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</si>
  <si>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</si>
  <si>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</si>
  <si>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</si>
  <si>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</si>
  <si>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</si>
  <si>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</si>
  <si>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</si>
  <si>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</si>
  <si>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</si>
  <si>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</si>
  <si>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</si>
  <si>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</si>
  <si>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</si>
  <si>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</si>
  <si>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</si>
  <si>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</si>
  <si>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</si>
  <si>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</si>
  <si>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</si>
  <si>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</si>
  <si>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</si>
  <si>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</si>
  <si>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</si>
  <si>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</si>
  <si>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</si>
  <si>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</si>
  <si>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</si>
  <si>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</si>
  <si>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</si>
  <si>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</si>
  <si>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</si>
  <si>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</si>
  <si>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</si>
  <si>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</si>
  <si>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</si>
  <si>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</si>
  <si>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</si>
  <si>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</si>
  <si>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</si>
  <si>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</si>
  <si>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</si>
  <si>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</si>
  <si>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</si>
  <si>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</si>
  <si>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</si>
  <si>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</si>
  <si>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</si>
  <si>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</si>
  <si>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</si>
  <si>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</si>
  <si>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</si>
  <si>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</si>
  <si>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</si>
  <si>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</si>
  <si>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</si>
  <si>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</si>
  <si>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</si>
  <si>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</si>
  <si>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</si>
  <si>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</si>
  <si>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</si>
  <si>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</si>
  <si>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</si>
  <si>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</si>
  <si>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</si>
  <si>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</si>
  <si>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</si>
  <si>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</si>
  <si>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</si>
  <si>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</si>
  <si>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</si>
  <si>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</si>
  <si>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</si>
  <si>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</si>
  <si>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</si>
  <si>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</si>
  <si>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</si>
  <si>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</si>
  <si>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</si>
  <si>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</si>
  <si>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</si>
  <si>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</si>
  <si>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</si>
  <si>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</si>
  <si>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</si>
  <si>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</si>
  <si>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</si>
  <si>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</si>
  <si>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</si>
  <si>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</si>
  <si>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</si>
  <si>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</si>
  <si>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</si>
  <si>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</si>
  <si>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</si>
  <si>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</si>
  <si>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</si>
  <si>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</si>
  <si>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</si>
  <si>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</si>
  <si>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</si>
  <si>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</si>
  <si>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</si>
  <si>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</si>
  <si>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</si>
  <si>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</si>
  <si>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</si>
  <si>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</si>
  <si>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</si>
  <si>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</si>
  <si>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</si>
  <si>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</si>
  <si>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</si>
  <si>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</si>
  <si>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</si>
  <si>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</si>
  <si>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</si>
  <si>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</si>
  <si>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</si>
  <si>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</si>
  <si>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</si>
  <si>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</si>
  <si>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</si>
  <si>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</si>
  <si>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</si>
  <si>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</si>
  <si>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</si>
  <si>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</si>
  <si>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</si>
  <si>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</si>
  <si>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</si>
  <si>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</si>
  <si>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</si>
  <si>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</si>
  <si>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</si>
  <si>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</si>
  <si>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</si>
  <si>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</si>
  <si>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</si>
  <si>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</si>
  <si>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</si>
  <si>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</si>
  <si>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</si>
  <si>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</si>
  <si>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</si>
  <si>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</si>
  <si>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</si>
  <si>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</si>
  <si>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</si>
  <si>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</si>
  <si>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</si>
  <si>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</si>
  <si>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</si>
  <si>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</si>
  <si>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</si>
  <si>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</si>
  <si>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</si>
  <si>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</si>
  <si>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</si>
  <si>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</si>
  <si>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</si>
  <si>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</si>
  <si>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</si>
  <si>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</si>
  <si>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</si>
  <si>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</si>
  <si>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</si>
  <si>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</si>
  <si>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</si>
  <si>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</si>
  <si>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</si>
  <si>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</si>
  <si>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</si>
  <si>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</si>
  <si>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</si>
  <si>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</si>
  <si>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</si>
  <si>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</si>
  <si>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</si>
  <si>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</si>
  <si>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</si>
  <si>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</si>
  <si>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</si>
  <si>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</si>
  <si>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</si>
  <si>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</si>
  <si>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</si>
  <si>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</si>
  <si>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</si>
  <si>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</si>
  <si>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</si>
  <si>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</si>
  <si>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</si>
  <si>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</si>
  <si>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</si>
  <si>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</si>
  <si>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</si>
  <si>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</si>
  <si>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</si>
  <si>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</si>
  <si>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</si>
  <si>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</si>
  <si>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</si>
  <si>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</si>
  <si>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</si>
  <si>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</si>
  <si>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</si>
  <si>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</si>
  <si>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</si>
  <si>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</si>
  <si>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</si>
  <si>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</si>
  <si>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</si>
  <si>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</si>
  <si>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</si>
  <si>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</si>
  <si>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</si>
  <si>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</si>
  <si>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</si>
  <si>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</si>
  <si>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</si>
  <si>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</si>
  <si>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</si>
  <si>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</si>
  <si>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</si>
  <si>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</si>
  <si>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</si>
  <si>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</si>
  <si>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</si>
  <si>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</si>
  <si>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</si>
  <si>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</si>
  <si>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</si>
  <si>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</si>
  <si>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</si>
  <si>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</si>
  <si>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</si>
  <si>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</si>
  <si>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</si>
  <si>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</si>
  <si>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</si>
  <si>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</si>
  <si>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</si>
  <si>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</si>
  <si>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</si>
  <si>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</si>
  <si>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</si>
  <si>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</si>
  <si>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</si>
  <si>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</si>
  <si>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</si>
  <si>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</si>
  <si>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</si>
  <si>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</si>
  <si>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</si>
  <si>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</si>
  <si>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</si>
  <si>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</si>
  <si>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</si>
  <si>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</si>
  <si>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</si>
  <si>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</si>
  <si>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</si>
  <si>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</si>
  <si>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</si>
  <si>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</si>
  <si>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</si>
  <si>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</si>
  <si>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</si>
  <si>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</si>
  <si>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</si>
  <si>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</si>
  <si>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</si>
  <si>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</si>
  <si>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</si>
  <si>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</si>
  <si>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</si>
  <si>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</si>
  <si>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</si>
  <si>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</si>
  <si>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</si>
  <si>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</si>
  <si>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</si>
  <si>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</si>
  <si>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</si>
  <si>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</si>
  <si>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</si>
  <si>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</si>
  <si>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</si>
  <si>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</si>
  <si>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</si>
  <si>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</si>
  <si>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</si>
  <si>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</si>
  <si>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</si>
  <si>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</si>
  <si>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</si>
  <si>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</si>
  <si>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</si>
  <si>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</si>
  <si>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</si>
  <si>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</si>
  <si>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</si>
  <si>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</si>
  <si>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</si>
  <si>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</si>
  <si>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</si>
  <si>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</si>
  <si>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</si>
  <si>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</si>
  <si>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</si>
  <si>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</si>
  <si>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</si>
  <si>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</si>
  <si>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</si>
  <si>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</si>
  <si>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</si>
  <si>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</si>
  <si>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</si>
  <si>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</si>
  <si>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</si>
  <si>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</si>
  <si>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</si>
  <si>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</si>
  <si>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</si>
  <si>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</si>
  <si>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</si>
  <si>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</si>
  <si>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</si>
  <si>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</si>
  <si>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</si>
  <si>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</si>
  <si>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</si>
  <si>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</si>
  <si>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</si>
  <si>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</si>
  <si>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</si>
  <si>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</si>
  <si>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</si>
  <si>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</si>
  <si>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</si>
  <si>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</si>
  <si>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</si>
  <si>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</si>
  <si>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</si>
  <si>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</si>
  <si>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</si>
  <si>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</si>
  <si>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</si>
  <si>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</si>
  <si>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</si>
  <si>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</si>
  <si>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</si>
  <si>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</si>
  <si>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</si>
  <si>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</si>
  <si>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</si>
  <si>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</si>
  <si>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</si>
  <si>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</si>
  <si>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</si>
  <si>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</si>
  <si>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</si>
  <si>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</si>
  <si>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</si>
  <si>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</si>
  <si>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</si>
  <si>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</si>
  <si>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</si>
  <si>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</si>
  <si>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</si>
  <si>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</si>
  <si>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</si>
  <si>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</si>
  <si>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</si>
  <si>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</si>
  <si>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</si>
  <si>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</si>
  <si>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</si>
  <si>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</si>
  <si>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</si>
  <si>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</si>
  <si>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</si>
  <si>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</si>
  <si>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</si>
  <si>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</si>
  <si>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</si>
  <si>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</si>
  <si>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</si>
  <si>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</si>
  <si>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</si>
  <si>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</si>
  <si>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</si>
  <si>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</si>
  <si>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</si>
  <si>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</si>
  <si>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</si>
  <si>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</si>
  <si>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</si>
  <si>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</si>
  <si>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</si>
  <si>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</si>
  <si>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</si>
  <si>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</si>
  <si>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</si>
  <si>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</si>
  <si>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</si>
  <si>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</si>
  <si>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</si>
  <si>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</si>
  <si>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</si>
  <si>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</si>
  <si>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</si>
  <si>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</si>
  <si>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</si>
  <si>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</si>
  <si>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</si>
  <si>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</si>
  <si>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</si>
  <si>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</si>
  <si>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</si>
  <si>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</si>
  <si>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</si>
  <si>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</si>
  <si>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</si>
  <si>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</si>
  <si>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</si>
  <si>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</si>
  <si>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</si>
  <si>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</si>
  <si>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</si>
  <si>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</si>
  <si>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</si>
  <si>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</si>
  <si>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</si>
  <si>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</si>
  <si>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</si>
  <si>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</si>
  <si>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</si>
  <si>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</si>
  <si>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</si>
  <si>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</si>
  <si>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</si>
  <si>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</si>
  <si>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</si>
  <si>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</si>
  <si>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</si>
  <si>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</si>
  <si>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</si>
  <si>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</si>
  <si>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</si>
  <si>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</si>
  <si>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</si>
  <si>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</si>
  <si>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</si>
  <si>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</si>
  <si>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</si>
  <si>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</si>
  <si>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</si>
  <si>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</si>
  <si>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</si>
  <si>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</si>
  <si>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</si>
  <si>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</si>
  <si>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</si>
  <si>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</si>
  <si>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</si>
  <si>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</si>
  <si>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</si>
  <si>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</si>
  <si>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</si>
  <si>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</si>
  <si>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</si>
  <si>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</si>
  <si>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</si>
  <si>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</si>
  <si>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</si>
  <si>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</si>
  <si>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</si>
  <si>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</si>
  <si>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</si>
  <si>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</si>
  <si>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</si>
  <si>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</si>
  <si>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</si>
  <si>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</si>
  <si>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</si>
  <si>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</si>
  <si>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</si>
  <si>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</si>
  <si>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</si>
  <si>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</si>
  <si>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</si>
  <si>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</si>
  <si>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</si>
  <si>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</si>
  <si>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</si>
  <si>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</si>
  <si>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</si>
  <si>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</si>
  <si>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</si>
  <si>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</si>
  <si>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</si>
  <si>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</si>
  <si>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</si>
  <si>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</si>
  <si>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</si>
  <si>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</si>
  <si>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</si>
  <si>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</si>
  <si>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</si>
  <si>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</si>
  <si>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</si>
  <si>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</si>
  <si>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</si>
  <si>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</si>
  <si>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</si>
  <si>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</si>
  <si>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</si>
  <si>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</si>
  <si>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</si>
  <si>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</si>
  <si>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</si>
  <si>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</si>
  <si>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</si>
  <si>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</si>
  <si>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</si>
  <si>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</si>
  <si>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</si>
  <si>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</si>
  <si>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</si>
  <si>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</si>
  <si>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</si>
  <si>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</si>
  <si>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</si>
  <si>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</si>
  <si>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</si>
  <si>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</si>
  <si>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</si>
  <si>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</si>
  <si>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</si>
  <si>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</si>
  <si>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</si>
  <si>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</si>
  <si>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</si>
  <si>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</si>
  <si>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</si>
  <si>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</si>
  <si>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</si>
  <si>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</si>
  <si>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</si>
  <si>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</si>
  <si>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</si>
  <si>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</si>
  <si>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</si>
  <si>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</si>
  <si>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</si>
  <si>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</si>
  <si>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</si>
  <si>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</si>
  <si>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</si>
  <si>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</si>
  <si>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</si>
  <si>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</si>
  <si>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</si>
  <si>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</si>
  <si>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</si>
  <si>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</si>
  <si>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</si>
  <si>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</si>
  <si>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</si>
  <si>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</si>
  <si>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</si>
  <si>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</si>
  <si>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</si>
  <si>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</si>
  <si>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</si>
  <si>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</si>
  <si>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</si>
  <si>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</si>
  <si>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</si>
  <si>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</si>
  <si>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</si>
  <si>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</si>
  <si>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</si>
  <si>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</si>
  <si>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</si>
  <si>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</si>
  <si>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</si>
  <si>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</si>
  <si>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</si>
  <si>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</si>
  <si>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</si>
  <si>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</si>
  <si>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</si>
  <si>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</si>
  <si>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</si>
  <si>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</si>
  <si>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</si>
  <si>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</si>
  <si>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</si>
  <si>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</si>
  <si>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</si>
  <si>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</si>
  <si>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</si>
  <si>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</si>
  <si>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</si>
  <si>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</si>
  <si>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</si>
  <si>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</si>
  <si>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</si>
  <si>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</si>
  <si>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</si>
  <si>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</si>
  <si>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</si>
  <si>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</si>
  <si>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</si>
  <si>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</si>
  <si>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</si>
  <si>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</si>
  <si>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</si>
  <si>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</si>
  <si>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</si>
  <si>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</si>
  <si>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</si>
  <si>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</si>
  <si>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</si>
  <si>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</si>
  <si>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</si>
  <si>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</si>
  <si>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</si>
  <si>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</si>
  <si>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</si>
  <si>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</si>
  <si>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</si>
  <si>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</si>
  <si>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</si>
  <si>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</si>
  <si>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</si>
  <si>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</si>
  <si>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</si>
  <si>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</si>
  <si>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</si>
  <si>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</si>
  <si>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</si>
  <si>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</si>
  <si>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</si>
  <si>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</si>
  <si>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</si>
  <si>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</si>
  <si>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</si>
  <si>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</si>
  <si>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</si>
  <si>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</si>
  <si>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</si>
  <si>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</si>
  <si>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</si>
  <si>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</si>
  <si>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</si>
  <si>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</si>
  <si>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</si>
  <si>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</si>
  <si>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</si>
  <si>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</si>
  <si>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</si>
  <si>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</si>
  <si>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</si>
  <si>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</si>
  <si>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</si>
  <si>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</si>
  <si>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</si>
  <si>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</si>
  <si>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</si>
  <si>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</si>
  <si>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</si>
  <si>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</si>
  <si>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</si>
  <si>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</si>
  <si>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</si>
  <si>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</si>
  <si>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</si>
  <si>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</si>
  <si>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</si>
  <si>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</si>
  <si>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</si>
  <si>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</si>
  <si>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</si>
  <si>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</si>
  <si>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</si>
  <si>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</si>
  <si>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</si>
  <si>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</si>
  <si>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</si>
  <si>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</si>
  <si>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</si>
  <si>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</si>
  <si>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</si>
  <si>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</si>
  <si>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</si>
  <si>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</si>
  <si>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</si>
  <si>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</si>
  <si>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</si>
  <si>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</si>
  <si>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</si>
  <si>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</si>
  <si>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</si>
  <si>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</si>
  <si>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</si>
  <si>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</si>
  <si>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</si>
  <si>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</si>
  <si>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</si>
  <si>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</si>
  <si>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</si>
  <si>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</si>
  <si>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</si>
  <si>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</si>
  <si>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</si>
  <si>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</si>
  <si>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</si>
  <si>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</si>
  <si>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</si>
  <si>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</si>
  <si>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</si>
  <si>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</si>
  <si>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</si>
  <si>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</si>
  <si>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</si>
  <si>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</si>
  <si>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</si>
  <si>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</si>
  <si>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</si>
  <si>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</si>
  <si>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</si>
  <si>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</si>
  <si>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</si>
  <si>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</si>
  <si>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</si>
  <si>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</si>
  <si>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</si>
  <si>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</si>
  <si>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</si>
  <si>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</si>
  <si>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</si>
  <si>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</si>
  <si>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</si>
  <si>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</si>
  <si>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</si>
  <si>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</si>
  <si>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</si>
  <si>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</si>
  <si>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</si>
  <si>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</si>
  <si>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</si>
  <si>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</si>
  <si>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</si>
  <si>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</si>
  <si>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</si>
  <si>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</si>
  <si>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</si>
  <si>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</si>
  <si>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</si>
  <si>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</si>
  <si>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</si>
  <si>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</si>
  <si>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</si>
  <si>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</si>
  <si>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</si>
  <si>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</si>
  <si>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</si>
  <si>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</si>
  <si>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</si>
  <si>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</si>
  <si>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</si>
  <si>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</si>
  <si>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</si>
  <si>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</si>
  <si>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</si>
  <si>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</si>
  <si>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</si>
  <si>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</si>
  <si>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</si>
  <si>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</si>
  <si>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</si>
  <si>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</si>
  <si>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</si>
  <si>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</si>
  <si>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</si>
  <si>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</si>
  <si>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</si>
  <si>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</si>
  <si>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</si>
  <si>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</si>
  <si>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</si>
  <si>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</si>
  <si>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</si>
  <si>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</si>
  <si>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</si>
  <si>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</si>
  <si>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</si>
  <si>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</si>
  <si>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</si>
  <si>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</si>
  <si>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</si>
  <si>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</si>
  <si>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</si>
  <si>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</si>
  <si>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</si>
  <si>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</si>
  <si>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</si>
  <si>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</si>
  <si>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</si>
  <si>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</si>
  <si>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</si>
  <si>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</si>
  <si>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</si>
  <si>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</si>
  <si>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</si>
  <si>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</si>
  <si>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</si>
  <si>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</si>
  <si>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</si>
  <si>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</si>
  <si>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</si>
  <si>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</si>
  <si>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</si>
  <si>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</si>
  <si>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</si>
  <si>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</si>
  <si>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</si>
  <si>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</si>
  <si>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</si>
  <si>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</si>
  <si>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</si>
  <si>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</si>
  <si>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</si>
  <si>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</si>
  <si>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</si>
  <si>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</si>
  <si>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</si>
  <si>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</si>
  <si>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</si>
  <si>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</si>
  <si>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</si>
  <si>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</si>
  <si>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</si>
  <si>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</si>
  <si>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</si>
  <si>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</si>
  <si>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</si>
  <si>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</si>
  <si>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</si>
  <si>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</si>
  <si>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</si>
  <si>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</si>
  <si>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</si>
  <si>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</si>
  <si>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</si>
  <si>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</si>
  <si>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</si>
  <si>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</si>
  <si>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</si>
  <si>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</si>
  <si>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</si>
  <si>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</si>
  <si>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</si>
  <si>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</si>
  <si>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</si>
  <si>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</si>
  <si>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</si>
  <si>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</si>
  <si>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</si>
  <si>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</si>
  <si>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</si>
  <si>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</si>
  <si>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</si>
  <si>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</si>
  <si>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</si>
  <si>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</si>
  <si>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</si>
  <si>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</si>
  <si>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</si>
  <si>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</si>
  <si>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</si>
  <si>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</si>
  <si>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</si>
  <si>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</si>
  <si>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</si>
  <si>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</si>
  <si>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</si>
  <si>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</si>
  <si>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</si>
  <si>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</si>
  <si>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</si>
  <si>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</si>
  <si>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</si>
  <si>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</si>
  <si>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</si>
  <si>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</si>
  <si>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</si>
  <si>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</si>
  <si>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</si>
  <si>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</si>
  <si>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</si>
  <si>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</si>
  <si>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</si>
  <si>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</si>
  <si>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</si>
  <si>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</si>
  <si>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</si>
  <si>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</si>
  <si>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</si>
  <si>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</si>
  <si>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</si>
  <si>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</si>
  <si>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</si>
  <si>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</si>
  <si>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</si>
  <si>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</si>
  <si>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</si>
  <si>
    <t>机械</t>
    <phoneticPr fontId="134" type="noConversion"/>
  </si>
  <si>
    <t>普通</t>
    <phoneticPr fontId="134" type="noConversion"/>
  </si>
  <si>
    <t>一层</t>
    <phoneticPr fontId="134" type="noConversion"/>
  </si>
  <si>
    <t>一层</t>
    <phoneticPr fontId="134" type="noConversion"/>
  </si>
  <si>
    <t>顶层</t>
    <phoneticPr fontId="134" type="noConversion"/>
  </si>
  <si>
    <t>总价</t>
    <phoneticPr fontId="134" type="noConversion"/>
  </si>
  <si>
    <t>总价</t>
    <phoneticPr fontId="24" type="noConversion"/>
  </si>
  <si>
    <t>单价</t>
    <phoneticPr fontId="24" type="noConversion"/>
  </si>
  <si>
    <t>面积</t>
    <phoneticPr fontId="24" type="noConversion"/>
  </si>
  <si>
    <t>总价比例</t>
    <phoneticPr fontId="24" type="noConversion"/>
  </si>
  <si>
    <t>单价比例</t>
    <phoneticPr fontId="24" type="noConversion"/>
  </si>
  <si>
    <t>城镇住宅用地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</si>
</sst>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94" fillId="0" borderId="0" xfId="23" applyNumberFormat="1">
      <alignment vertical="center"/>
    </xf>
    <xf numFmtId="0" fontId="77" fillId="1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drawing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136071</xdr:colOff>
      <xdr:row>34</xdr:row>
      <xdr:rowOff>163286</xdr:rowOff>
    </xdr:from>
    <xdr:to>
      <xdr:col>10</xdr:col>
      <xdr:colOff>585106</xdr:colOff>
      <xdr:row>35</xdr:row>
      <xdr:rowOff>13607</xdr:rowOff>
    </xdr:to>
    <xdr:cxnSp macro="">
      <xdr:nvCxnSpPr>
        <xdr:cNvPr id="42" name="直接连接符 41"/>
        <xdr:cNvCxnSpPr/>
      </xdr:nvCxnSpPr>
      <xdr:spPr>
        <a:xfrm>
          <a:off x="5687785" y="6177643"/>
          <a:ext cx="1809750" cy="2721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408215</xdr:colOff>
      <xdr:row>38</xdr:row>
      <xdr:rowOff>101296</xdr:rowOff>
    </xdr:from>
    <xdr:to>
      <xdr:col>9</xdr:col>
      <xdr:colOff>497420</xdr:colOff>
      <xdr:row>54</xdr:row>
      <xdr:rowOff>68035</xdr:rowOff>
    </xdr:to>
    <xdr:cxnSp macro="">
      <xdr:nvCxnSpPr>
        <xdr:cNvPr id="44" name="直接连接符 43"/>
        <xdr:cNvCxnSpPr/>
      </xdr:nvCxnSpPr>
      <xdr:spPr>
        <a:xfrm flipH="1">
          <a:off x="6640286" y="6823225"/>
          <a:ext cx="89205" cy="279702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272142</xdr:colOff>
      <xdr:row>40</xdr:row>
      <xdr:rowOff>163285</xdr:rowOff>
    </xdr:from>
    <xdr:to>
      <xdr:col>11</xdr:col>
      <xdr:colOff>34778</xdr:colOff>
      <xdr:row>56</xdr:row>
      <xdr:rowOff>95250</xdr:rowOff>
    </xdr:to>
    <xdr:cxnSp macro="">
      <xdr:nvCxnSpPr>
        <xdr:cNvPr id="49" name="直接连接符 48"/>
        <xdr:cNvCxnSpPr/>
      </xdr:nvCxnSpPr>
      <xdr:spPr>
        <a:xfrm flipH="1">
          <a:off x="7184571" y="7238999"/>
          <a:ext cx="442993" cy="2762251"/>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367393</xdr:colOff>
      <xdr:row>47</xdr:row>
      <xdr:rowOff>163287</xdr:rowOff>
    </xdr:from>
    <xdr:to>
      <xdr:col>9</xdr:col>
      <xdr:colOff>394607</xdr:colOff>
      <xdr:row>48</xdr:row>
      <xdr:rowOff>0</xdr:rowOff>
    </xdr:to>
    <xdr:cxnSp macro="">
      <xdr:nvCxnSpPr>
        <xdr:cNvPr id="51" name="直接连接符 50"/>
        <xdr:cNvCxnSpPr/>
      </xdr:nvCxnSpPr>
      <xdr:spPr>
        <a:xfrm flipV="1">
          <a:off x="5238750" y="8477251"/>
          <a:ext cx="1387928" cy="13606"/>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68036</xdr:colOff>
      <xdr:row>52</xdr:row>
      <xdr:rowOff>40821</xdr:rowOff>
    </xdr:from>
    <xdr:to>
      <xdr:col>9</xdr:col>
      <xdr:colOff>68036</xdr:colOff>
      <xdr:row>52</xdr:row>
      <xdr:rowOff>40821</xdr:rowOff>
    </xdr:to>
    <xdr:cxnSp macro="">
      <xdr:nvCxnSpPr>
        <xdr:cNvPr id="55" name="直接连接符 54"/>
        <xdr:cNvCxnSpPr/>
      </xdr:nvCxnSpPr>
      <xdr:spPr>
        <a:xfrm>
          <a:off x="5619750" y="9239250"/>
          <a:ext cx="680357" cy="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163288</xdr:colOff>
      <xdr:row>52</xdr:row>
      <xdr:rowOff>95249</xdr:rowOff>
    </xdr:from>
    <xdr:to>
      <xdr:col>9</xdr:col>
      <xdr:colOff>176893</xdr:colOff>
      <xdr:row>59</xdr:row>
      <xdr:rowOff>95249</xdr:rowOff>
    </xdr:to>
    <xdr:cxnSp macro="">
      <xdr:nvCxnSpPr>
        <xdr:cNvPr id="59" name="直接连接符 58"/>
        <xdr:cNvCxnSpPr/>
      </xdr:nvCxnSpPr>
      <xdr:spPr>
        <a:xfrm>
          <a:off x="6395359" y="9293678"/>
          <a:ext cx="13605"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625929</xdr:colOff>
      <xdr:row>53</xdr:row>
      <xdr:rowOff>54429</xdr:rowOff>
    </xdr:from>
    <xdr:to>
      <xdr:col>8</xdr:col>
      <xdr:colOff>13608</xdr:colOff>
      <xdr:row>60</xdr:row>
      <xdr:rowOff>54429</xdr:rowOff>
    </xdr:to>
    <xdr:cxnSp macro="">
      <xdr:nvCxnSpPr>
        <xdr:cNvPr id="63" name="直接连接符 62"/>
        <xdr:cNvCxnSpPr/>
      </xdr:nvCxnSpPr>
      <xdr:spPr>
        <a:xfrm flipH="1">
          <a:off x="5497286" y="9429750"/>
          <a:ext cx="68036"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585106</xdr:colOff>
      <xdr:row>60</xdr:row>
      <xdr:rowOff>54428</xdr:rowOff>
    </xdr:from>
    <xdr:to>
      <xdr:col>8</xdr:col>
      <xdr:colOff>666750</xdr:colOff>
      <xdr:row>60</xdr:row>
      <xdr:rowOff>68036</xdr:rowOff>
    </xdr:to>
    <xdr:cxnSp macro="">
      <xdr:nvCxnSpPr>
        <xdr:cNvPr id="65" name="直接连接符 64"/>
        <xdr:cNvCxnSpPr/>
      </xdr:nvCxnSpPr>
      <xdr:spPr>
        <a:xfrm>
          <a:off x="5456463" y="10667999"/>
          <a:ext cx="762001" cy="13608"/>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21167</xdr:colOff>
      <xdr:row>2</xdr:row>
      <xdr:rowOff>74083</xdr:rowOff>
    </xdr:from>
    <xdr:to>
      <xdr:col>24</xdr:col>
      <xdr:colOff>629245</xdr:colOff>
      <xdr:row>60</xdr:row>
      <xdr:rowOff>42332</xdr:rowOff>
    </xdr:to>
    <xdr:grpSp>
      <xdr:nvGrpSpPr>
        <xdr:cNvPr id="82" name="组合 81"/>
        <xdr:cNvGrpSpPr/>
      </xdr:nvGrpSpPr>
      <xdr:grpSpPr>
        <a:xfrm>
          <a:off x="8294310" y="427869"/>
          <a:ext cx="8772364" cy="10228034"/>
          <a:chOff x="8294310" y="427869"/>
          <a:chExt cx="8772364" cy="10228034"/>
        </a:xfrm>
      </xdr:grpSpPr>
      <xdr:pic>
        <xdr:nvPicPr>
          <xdr:cNvPr id="3" name="图片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1111"/>
          <a:stretch/>
        </xdr:blipFill>
        <xdr:spPr>
          <a:xfrm>
            <a:off x="8953501" y="427869"/>
            <a:ext cx="7078738" cy="4694463"/>
          </a:xfrm>
          <a:prstGeom prst="rect">
            <a:avLst/>
          </a:prstGeom>
        </xdr:spPr>
      </xdr:pic>
      <xdr:sp macro="" textlink="">
        <xdr:nvSpPr>
          <xdr:cNvPr id="4" name="矩形 3"/>
          <xdr:cNvSpPr/>
        </xdr:nvSpPr>
        <xdr:spPr>
          <a:xfrm>
            <a:off x="12320512" y="1446894"/>
            <a:ext cx="458107" cy="250976"/>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xnSp macro="">
        <xdr:nvCxnSpPr>
          <xdr:cNvPr id="6" name="直接连接符 5"/>
          <xdr:cNvCxnSpPr/>
        </xdr:nvCxnSpPr>
        <xdr:spPr>
          <a:xfrm flipH="1">
            <a:off x="9038167" y="1697869"/>
            <a:ext cx="3282347" cy="3548441"/>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7" name="直接连接符 6"/>
          <xdr:cNvCxnSpPr/>
        </xdr:nvCxnSpPr>
        <xdr:spPr>
          <a:xfrm flipH="1" flipV="1">
            <a:off x="12778622" y="1687287"/>
            <a:ext cx="3221866" cy="3548440"/>
          </a:xfrm>
          <a:prstGeom prst="line">
            <a:avLst/>
          </a:prstGeom>
          <a:ln w="28575"/>
        </xdr:spPr>
        <xdr:style>
          <a:lnRef idx="1">
            <a:schemeClr val="accent1"/>
          </a:lnRef>
          <a:fillRef idx="0">
            <a:schemeClr val="accent1"/>
          </a:fillRef>
          <a:effectRef idx="0">
            <a:schemeClr val="accent1"/>
          </a:effectRef>
          <a:fontRef idx="minor">
            <a:schemeClr val="tx1"/>
          </a:fontRef>
        </xdr:style>
      </xdr:cxnSp>
      <xdr:pic>
        <xdr:nvPicPr>
          <xdr:cNvPr id="18" name="图片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4310" y="5246309"/>
            <a:ext cx="8772364" cy="5409594"/>
          </a:xfrm>
          <a:prstGeom prst="rect">
            <a:avLst/>
          </a:prstGeom>
          <a:ln w="28575">
            <a:solidFill>
              <a:srgbClr val="0070C0"/>
            </a:solidFill>
          </a:ln>
        </xdr:spPr>
      </xdr:pic>
      <xdr:cxnSp macro="">
        <xdr:nvCxnSpPr>
          <xdr:cNvPr id="20" name="直接连接符 19"/>
          <xdr:cNvCxnSpPr/>
        </xdr:nvCxnSpPr>
        <xdr:spPr>
          <a:xfrm>
            <a:off x="12482286" y="6785429"/>
            <a:ext cx="828524"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4" name="直接连接符 23"/>
          <xdr:cNvCxnSpPr/>
        </xdr:nvCxnSpPr>
        <xdr:spPr>
          <a:xfrm flipV="1">
            <a:off x="12300857" y="6785432"/>
            <a:ext cx="192012" cy="1991175"/>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8" name="直接连接符 27"/>
          <xdr:cNvCxnSpPr/>
        </xdr:nvCxnSpPr>
        <xdr:spPr>
          <a:xfrm>
            <a:off x="12668250" y="9293679"/>
            <a:ext cx="1428750" cy="21166"/>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1" name="直接连接符 30"/>
          <xdr:cNvCxnSpPr/>
        </xdr:nvCxnSpPr>
        <xdr:spPr>
          <a:xfrm>
            <a:off x="13215559" y="8066013"/>
            <a:ext cx="828523"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2" name="直接连接符 31"/>
          <xdr:cNvCxnSpPr/>
        </xdr:nvCxnSpPr>
        <xdr:spPr>
          <a:xfrm>
            <a:off x="14054667" y="8066012"/>
            <a:ext cx="31750" cy="123825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4" name="直接连接符 33"/>
          <xdr:cNvCxnSpPr/>
        </xdr:nvCxnSpPr>
        <xdr:spPr>
          <a:xfrm flipH="1">
            <a:off x="13215560" y="6764262"/>
            <a:ext cx="95250" cy="1291167"/>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4" name="直接连接符 73"/>
          <xdr:cNvCxnSpPr/>
        </xdr:nvCxnSpPr>
        <xdr:spPr>
          <a:xfrm flipV="1">
            <a:off x="12300857" y="8776607"/>
            <a:ext cx="394607" cy="13608"/>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7" name="直接连接符 76"/>
          <xdr:cNvCxnSpPr/>
        </xdr:nvCxnSpPr>
        <xdr:spPr>
          <a:xfrm flipH="1">
            <a:off x="12641036" y="8763001"/>
            <a:ext cx="27216" cy="530678"/>
          </a:xfrm>
          <a:prstGeom prst="line">
            <a:avLst/>
          </a:prstGeom>
          <a:ln w="38100"/>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46831</v>
      </c>
    </row>
    <row r="39" spans="1:2" s="1200" customFormat="1">
      <c r="A39" s="1198" t="s">
        <v>545</v>
      </c>
      <c r="B39" s="1199">
        <f ca="1">'预评函-2'!D21</f>
        <v>4035764</v>
      </c>
    </row>
    <row r="40" spans="1:2" s="1200" customFormat="1">
      <c r="A40" s="1198" t="s">
        <v>546</v>
      </c>
      <c r="B40" s="1199" t="str">
        <f ca="1">'预评函-2'!D20</f>
        <v>肆亿陆仟捌佰叁拾壹万元整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1" t="s">
        <v>385</v>
      </c>
      <c r="C54" s="1548" t="s">
        <v>583</v>
      </c>
    </row>
    <row r="55" spans="1:4">
      <c r="A55" s="3569"/>
      <c r="B55" s="1551" t="s">
        <v>386</v>
      </c>
      <c r="C55" s="1548" t="s">
        <v>584</v>
      </c>
    </row>
    <row r="56" spans="1:4">
      <c r="A56" s="3569"/>
      <c r="B56" s="1551" t="s">
        <v>387</v>
      </c>
      <c r="C56" s="1548" t="s">
        <v>588</v>
      </c>
    </row>
    <row r="57" spans="1:4">
      <c r="A57" s="356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70" t="s">
        <v>2580</v>
      </c>
      <c r="J2" s="3570"/>
      <c r="K2" s="3570"/>
      <c r="L2" s="3570"/>
      <c r="M2" s="3570"/>
      <c r="N2" s="3570"/>
      <c r="O2" s="3570"/>
      <c r="P2" s="3570"/>
      <c r="Q2" s="3570"/>
      <c r="R2" s="3570"/>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E6" sqref="E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9" t="str">
        <f>IF(B10="北京市","北京市",C10)&amp;F10&amp;IF('结果表-住宅基准'!G1="在建","出让国有建设用地使用权及在建建筑物",IF('结果表-住宅基准'!G1="土地","出让国有建设用地使用权",))&amp;B9&amp;"预评估"</f>
        <v>北京市房地产抵押价值预评估</v>
      </c>
      <c r="C1" s="3580"/>
      <c r="D1" s="3580"/>
      <c r="E1" s="3580"/>
      <c r="F1" s="3580"/>
      <c r="G1" s="3580"/>
      <c r="H1" s="3580"/>
      <c r="I1" s="3581"/>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82"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83"/>
      <c r="E9" s="2389" t="s">
        <v>587</v>
      </c>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9"/>
      <c r="C16" s="3590"/>
      <c r="D16" s="3591"/>
      <c r="E16" s="2408" t="s">
        <v>2190</v>
      </c>
      <c r="F16" s="3592"/>
      <c r="G16" s="3593"/>
      <c r="H16" s="3593"/>
      <c r="I16" s="3594"/>
      <c r="J16" s="2434"/>
      <c r="K16" s="2612"/>
      <c r="L16" s="2446"/>
      <c r="M16" s="2446"/>
      <c r="N16" s="2504"/>
      <c r="O16" s="2446"/>
      <c r="P16" s="2504"/>
      <c r="Q16" s="2434"/>
      <c r="R16" s="2434"/>
    </row>
    <row r="17" spans="1:28">
      <c r="A17" s="313" t="s">
        <v>2191</v>
      </c>
      <c r="B17" s="302" t="s">
        <v>2192</v>
      </c>
      <c r="C17" s="8">
        <f>'数据-汇总表'!E3</f>
        <v>116.03999999999999</v>
      </c>
      <c r="D17" s="2317" t="s">
        <v>2193</v>
      </c>
      <c r="E17" s="3595" t="s">
        <v>2194</v>
      </c>
      <c r="F17" s="3596"/>
      <c r="G17" s="3596"/>
      <c r="H17" s="3596"/>
      <c r="I17" s="3597"/>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8" t="s">
        <v>2198</v>
      </c>
      <c r="F18" s="3599"/>
      <c r="G18" s="3599"/>
      <c r="H18" s="3599"/>
      <c r="I18" s="3600"/>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85" t="s">
        <v>2202</v>
      </c>
      <c r="C20" s="3586"/>
      <c r="D20" s="3587" t="s">
        <v>2203</v>
      </c>
      <c r="E20" s="3588"/>
      <c r="F20" s="2642" t="s">
        <v>1053</v>
      </c>
      <c r="G20" s="2659"/>
      <c r="H20" s="2659"/>
      <c r="I20" s="2659"/>
      <c r="J20" s="2434"/>
      <c r="K20" s="3584"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8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84"/>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72"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72"/>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72"/>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73"/>
      <c r="B30" s="302" t="s">
        <v>2214</v>
      </c>
      <c r="C30" s="3574"/>
      <c r="D30" s="3575"/>
      <c r="E30" s="2659"/>
      <c r="F30" s="2659"/>
      <c r="G30" s="2659"/>
      <c r="H30" s="2659"/>
      <c r="I30" s="2659"/>
      <c r="J30" s="2434"/>
      <c r="K30" s="2611"/>
      <c r="L30" s="2608"/>
      <c r="M30" s="2608"/>
      <c r="N30" s="2434"/>
      <c r="O30" s="2445"/>
      <c r="P30" s="2434"/>
      <c r="Q30" s="2434"/>
      <c r="R30" s="2434"/>
      <c r="S30" s="2434"/>
      <c r="T30" s="2434"/>
      <c r="U30" s="2434"/>
      <c r="V30" s="2434"/>
    </row>
    <row r="31" spans="1:28">
      <c r="A31" s="3576"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77"/>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77"/>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71" t="s">
        <v>2224</v>
      </c>
      <c r="T34" s="2423" t="str">
        <f>NUMBERSTRING(7-K34,1)&amp;"通"</f>
        <v>七通</v>
      </c>
      <c r="U34" s="2434"/>
      <c r="V34" s="2434"/>
    </row>
    <row r="35" spans="1:30">
      <c r="A35" s="2424"/>
      <c r="B35" s="3578" t="s">
        <v>2225</v>
      </c>
      <c r="C35" s="3578"/>
      <c r="D35" s="3578"/>
      <c r="E35" s="3578"/>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1"/>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10" t="s">
        <v>1128</v>
      </c>
      <c r="B2" s="3610"/>
      <c r="C2" s="3610"/>
      <c r="D2" s="795" t="s">
        <v>1104</v>
      </c>
      <c r="E2" s="1636" t="s">
        <v>1105</v>
      </c>
      <c r="F2" s="2654"/>
      <c r="G2" s="2645"/>
      <c r="H2" s="2646"/>
      <c r="I2" s="2320" t="s">
        <v>1129</v>
      </c>
      <c r="J2" s="2654"/>
      <c r="K2" s="2654"/>
      <c r="L2" s="2654"/>
      <c r="M2" s="2654"/>
      <c r="N2" s="2656"/>
      <c r="O2" s="2654"/>
      <c r="P2" s="2654"/>
    </row>
    <row r="3" spans="1:16" ht="15.75" thickBot="1">
      <c r="A3" s="3611" t="s">
        <v>1102</v>
      </c>
      <c r="B3" s="3611"/>
      <c r="C3" s="3611"/>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12"/>
      <c r="B4" s="3613"/>
      <c r="C4" s="3614"/>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5" t="s">
        <v>1107</v>
      </c>
      <c r="C5" s="3615"/>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5" t="s">
        <v>1108</v>
      </c>
      <c r="C6" s="3615"/>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7"/>
      <c r="B7" s="3608"/>
      <c r="C7" s="3609"/>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4" t="s">
        <v>1132</v>
      </c>
      <c r="L16" s="3605"/>
      <c r="M16" s="3605"/>
      <c r="N16" s="3605"/>
      <c r="O16" s="3605"/>
      <c r="P16" s="3606"/>
    </row>
    <row r="17" spans="1:19" ht="15">
      <c r="A17" s="1647" t="s">
        <v>1133</v>
      </c>
      <c r="B17" s="1648" t="s">
        <v>1134</v>
      </c>
      <c r="C17" s="1649" t="s">
        <v>1135</v>
      </c>
      <c r="D17" s="1650" t="s">
        <v>1123</v>
      </c>
      <c r="E17" s="1651" t="s">
        <v>1124</v>
      </c>
      <c r="F17" s="1652"/>
      <c r="G17" s="1653"/>
      <c r="H17" s="1654" t="s">
        <v>1136</v>
      </c>
      <c r="I17" s="1655" t="s">
        <v>1121</v>
      </c>
      <c r="J17" s="1137"/>
      <c r="K17" s="3601" t="s">
        <v>1137</v>
      </c>
      <c r="L17" s="3602"/>
      <c r="M17" s="3603"/>
      <c r="N17" s="3601" t="s">
        <v>1138</v>
      </c>
      <c r="O17" s="3602"/>
      <c r="P17" s="3603"/>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67"/>
  <sheetViews>
    <sheetView workbookViewId="0">
      <selection activeCell="O4" sqref="O4:O15"/>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5"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5"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4105</v>
      </c>
    </row>
    <row r="3" spans="1:15"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5"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c r="O4" s="3480">
        <v>3</v>
      </c>
    </row>
    <row r="5" spans="1:15"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c r="O5" s="3480">
        <v>6</v>
      </c>
    </row>
    <row r="6" spans="1:15"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c r="O6" s="3480">
        <v>7</v>
      </c>
    </row>
    <row r="7" spans="1:15"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c r="O7" s="3480">
        <v>11</v>
      </c>
    </row>
    <row r="8" spans="1:15"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c r="O8" s="3483">
        <v>12</v>
      </c>
    </row>
    <row r="9" spans="1:15"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c r="O9" s="3480">
        <v>14</v>
      </c>
    </row>
    <row r="10" spans="1:15"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4105</v>
      </c>
      <c r="O10" s="3480">
        <v>15</v>
      </c>
    </row>
    <row r="11" spans="1:15"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c r="O11" s="3480">
        <v>16</v>
      </c>
    </row>
    <row r="12" spans="1:15"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4105</v>
      </c>
      <c r="O12" s="3480">
        <v>17</v>
      </c>
    </row>
    <row r="13" spans="1:15"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c r="O13" s="3480">
        <v>18</v>
      </c>
    </row>
    <row r="14" spans="1:15"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c r="O14" s="3480">
        <v>19</v>
      </c>
    </row>
    <row r="15" spans="1:15"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c r="O15" s="3480">
        <v>22</v>
      </c>
    </row>
    <row r="16" spans="1:15"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4105</v>
      </c>
      <c r="O16" s="3480">
        <v>101</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4105</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4105</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4105</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4105</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80" t="s">
        <v>4105</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80" t="s">
        <v>4105</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80" t="s">
        <v>4105</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80" t="s">
        <v>4105</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80" t="s">
        <v>4105</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80" t="s">
        <v>4105</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80" t="s">
        <v>4105</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80" t="s">
        <v>4105</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80" t="s">
        <v>4105</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80" t="s">
        <v>4105</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80" t="s">
        <v>4105</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V81"/>
  <sheetViews>
    <sheetView workbookViewId="0">
      <pane xSplit="7" ySplit="1" topLeftCell="H2" activePane="bottomRight" state="frozen"/>
      <selection pane="topRight"/>
      <selection pane="bottomLeft"/>
      <selection pane="bottomRight" activeCell="P56" sqref="P56"/>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5" width="9" style="3471"/>
    <col min="16" max="16" width="14.625" style="3471" bestFit="1" customWidth="1"/>
    <col min="17"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22" ht="18.95" customHeight="1">
      <c r="A49" s="3466">
        <v>48</v>
      </c>
      <c r="B49" s="3467">
        <v>92</v>
      </c>
      <c r="C49" s="3468" t="s">
        <v>3808</v>
      </c>
      <c r="D49" s="3469">
        <v>26.62</v>
      </c>
      <c r="E49" s="3469">
        <v>29.05</v>
      </c>
      <c r="F49" s="3470">
        <v>12.72</v>
      </c>
      <c r="G49" s="3470">
        <v>16.329999999999998</v>
      </c>
    </row>
    <row r="50" spans="1:22" ht="18.95" customHeight="1">
      <c r="A50" s="3466">
        <v>49</v>
      </c>
      <c r="B50" s="3467">
        <v>94</v>
      </c>
      <c r="C50" s="3468" t="s">
        <v>3809</v>
      </c>
      <c r="D50" s="3469">
        <v>42.64</v>
      </c>
      <c r="E50" s="3520">
        <v>44.78</v>
      </c>
      <c r="F50" s="3470">
        <v>19.61</v>
      </c>
      <c r="G50" s="3470">
        <v>25.17</v>
      </c>
    </row>
    <row r="51" spans="1:22" ht="18.95" customHeight="1">
      <c r="A51" s="3466">
        <v>50</v>
      </c>
      <c r="B51" s="3467">
        <v>96</v>
      </c>
      <c r="C51" s="3468" t="s">
        <v>3810</v>
      </c>
      <c r="D51" s="3469">
        <v>27.66</v>
      </c>
      <c r="E51" s="3469">
        <v>29.05</v>
      </c>
      <c r="F51" s="3470">
        <v>12.72</v>
      </c>
      <c r="G51" s="3470">
        <v>16.329999999999998</v>
      </c>
    </row>
    <row r="52" spans="1:22" ht="18.95" customHeight="1">
      <c r="A52" s="3466">
        <v>51</v>
      </c>
      <c r="B52" s="3467">
        <v>99</v>
      </c>
      <c r="C52" s="3468" t="s">
        <v>3811</v>
      </c>
      <c r="D52" s="3469">
        <v>20.57</v>
      </c>
      <c r="E52" s="3469">
        <v>21.6</v>
      </c>
      <c r="F52" s="3470">
        <v>9.4600000000000009</v>
      </c>
      <c r="G52" s="3470">
        <v>12.14</v>
      </c>
      <c r="P52" s="3526"/>
      <c r="Q52" s="3526"/>
      <c r="R52" s="3526"/>
      <c r="S52" s="3526"/>
      <c r="T52" s="3526"/>
      <c r="U52" s="3526"/>
      <c r="V52" s="3526"/>
    </row>
    <row r="53" spans="1:22" ht="18.95" customHeight="1">
      <c r="A53" s="3466">
        <v>52</v>
      </c>
      <c r="B53" s="3467">
        <v>100</v>
      </c>
      <c r="C53" s="3468" t="s">
        <v>3812</v>
      </c>
      <c r="D53" s="3469">
        <v>20.57</v>
      </c>
      <c r="E53" s="3469">
        <v>21.6</v>
      </c>
      <c r="F53" s="3470">
        <v>9.4600000000000009</v>
      </c>
      <c r="G53" s="3470">
        <v>12.14</v>
      </c>
      <c r="P53" s="3526"/>
      <c r="Q53" s="3526"/>
      <c r="R53" s="3526"/>
      <c r="S53" s="3526"/>
      <c r="T53" s="3526"/>
      <c r="U53" s="3526"/>
      <c r="V53" s="3526"/>
    </row>
    <row r="54" spans="1:22" ht="18.95" customHeight="1">
      <c r="A54" s="3466">
        <v>53</v>
      </c>
      <c r="B54" s="3467">
        <v>101</v>
      </c>
      <c r="C54" s="3468" t="s">
        <v>3813</v>
      </c>
      <c r="D54" s="3469">
        <v>20.57</v>
      </c>
      <c r="E54" s="3469">
        <v>21.6</v>
      </c>
      <c r="F54" s="3470">
        <v>9.4600000000000009</v>
      </c>
      <c r="G54" s="3470">
        <v>12.14</v>
      </c>
      <c r="P54" s="3526"/>
      <c r="Q54" s="3526"/>
      <c r="R54" s="3526"/>
      <c r="S54" s="3526"/>
      <c r="T54" s="3526"/>
      <c r="U54" s="3526"/>
      <c r="V54" s="3526"/>
    </row>
    <row r="55" spans="1:22" ht="18.95" customHeight="1">
      <c r="A55" s="3466">
        <v>54</v>
      </c>
      <c r="B55" s="3467">
        <v>102</v>
      </c>
      <c r="C55" s="3468" t="s">
        <v>3814</v>
      </c>
      <c r="D55" s="3469">
        <v>27.66</v>
      </c>
      <c r="E55" s="3469">
        <v>29.05</v>
      </c>
      <c r="F55" s="3470">
        <v>12.72</v>
      </c>
      <c r="G55" s="3470">
        <v>16.329999999999998</v>
      </c>
      <c r="P55" s="3526"/>
      <c r="Q55" s="3526"/>
      <c r="R55" s="3526"/>
      <c r="S55" s="3526"/>
      <c r="T55" s="3526"/>
      <c r="U55" s="3526"/>
      <c r="V55" s="3526"/>
    </row>
    <row r="56" spans="1:22" ht="18.95" customHeight="1">
      <c r="A56" s="3466">
        <v>55</v>
      </c>
      <c r="B56" s="3467">
        <v>106</v>
      </c>
      <c r="C56" s="3468" t="s">
        <v>3815</v>
      </c>
      <c r="D56" s="3469">
        <v>27.66</v>
      </c>
      <c r="E56" s="3469">
        <v>29.05</v>
      </c>
      <c r="F56" s="3470">
        <v>12.72</v>
      </c>
      <c r="G56" s="3470">
        <v>16.329999999999998</v>
      </c>
      <c r="P56" s="3526"/>
      <c r="Q56" s="3526"/>
      <c r="R56" s="3526"/>
      <c r="S56" s="3526">
        <v>1307</v>
      </c>
      <c r="T56" s="3526"/>
      <c r="U56" s="3526"/>
      <c r="V56" s="3526"/>
    </row>
    <row r="57" spans="1:22" ht="18.95" customHeight="1">
      <c r="A57" s="3466">
        <v>56</v>
      </c>
      <c r="B57" s="3467">
        <v>108</v>
      </c>
      <c r="C57" s="3468" t="s">
        <v>3816</v>
      </c>
      <c r="D57" s="3469">
        <v>27.66</v>
      </c>
      <c r="E57" s="3469">
        <v>29.05</v>
      </c>
      <c r="F57" s="3470">
        <v>12.72</v>
      </c>
      <c r="G57" s="3470">
        <v>16.329999999999998</v>
      </c>
      <c r="O57" s="3471" t="s">
        <v>4104</v>
      </c>
      <c r="P57" s="3526">
        <v>158</v>
      </c>
      <c r="Q57" s="3526">
        <v>52</v>
      </c>
      <c r="R57" s="3526">
        <f>P57+Q57</f>
        <v>210</v>
      </c>
      <c r="S57" s="3526"/>
      <c r="T57" s="3526"/>
      <c r="U57" s="3526"/>
      <c r="V57" s="3526"/>
    </row>
    <row r="58" spans="1:22" ht="18.95" customHeight="1">
      <c r="A58" s="3466">
        <v>57</v>
      </c>
      <c r="B58" s="3467">
        <v>109</v>
      </c>
      <c r="C58" s="3468" t="s">
        <v>3817</v>
      </c>
      <c r="D58" s="3469">
        <v>27.66</v>
      </c>
      <c r="E58" s="3469">
        <v>29.05</v>
      </c>
      <c r="F58" s="3470">
        <v>12.72</v>
      </c>
      <c r="G58" s="3470">
        <v>16.329999999999998</v>
      </c>
      <c r="O58" s="3471" t="s">
        <v>4103</v>
      </c>
      <c r="P58" s="3526">
        <v>30</v>
      </c>
      <c r="Q58" s="3526">
        <v>38</v>
      </c>
      <c r="R58" s="3526">
        <v>896</v>
      </c>
      <c r="S58" s="3526"/>
      <c r="T58" s="3526"/>
      <c r="U58" s="3526"/>
      <c r="V58" s="3526"/>
    </row>
    <row r="59" spans="1:22" ht="18.95" customHeight="1">
      <c r="A59" s="3466">
        <v>58</v>
      </c>
      <c r="B59" s="3467">
        <v>110</v>
      </c>
      <c r="C59" s="3468" t="s">
        <v>3818</v>
      </c>
      <c r="D59" s="3469">
        <v>27.66</v>
      </c>
      <c r="E59" s="3469">
        <v>29.05</v>
      </c>
      <c r="F59" s="3470">
        <v>12.72</v>
      </c>
      <c r="G59" s="3470">
        <v>16.329999999999998</v>
      </c>
      <c r="P59" s="3526"/>
      <c r="Q59" s="3526"/>
      <c r="R59" s="3526"/>
      <c r="S59" s="3526"/>
      <c r="T59" s="3526"/>
      <c r="U59" s="3526"/>
      <c r="V59" s="3526"/>
    </row>
    <row r="60" spans="1:22" ht="18.95" customHeight="1">
      <c r="A60" s="3466">
        <v>59</v>
      </c>
      <c r="B60" s="3467">
        <v>111</v>
      </c>
      <c r="C60" s="3468" t="s">
        <v>3819</v>
      </c>
      <c r="D60" s="3469">
        <v>27.66</v>
      </c>
      <c r="E60" s="3469">
        <v>29.05</v>
      </c>
      <c r="F60" s="3470">
        <v>12.72</v>
      </c>
      <c r="G60" s="3470">
        <v>16.329999999999998</v>
      </c>
      <c r="P60" s="3526"/>
      <c r="Q60" s="3526">
        <f>38/68*R58</f>
        <v>500.70588235294122</v>
      </c>
      <c r="R60" s="3526"/>
      <c r="S60" s="3526"/>
      <c r="T60" s="3526"/>
      <c r="U60" s="3526"/>
      <c r="V60" s="3526"/>
    </row>
    <row r="61" spans="1:22" ht="18.95" customHeight="1">
      <c r="A61" s="3466">
        <v>60</v>
      </c>
      <c r="B61" s="3467">
        <v>112</v>
      </c>
      <c r="C61" s="3468" t="s">
        <v>3820</v>
      </c>
      <c r="D61" s="3469">
        <v>27.66</v>
      </c>
      <c r="E61" s="3469">
        <v>29.05</v>
      </c>
      <c r="F61" s="3470">
        <v>12.72</v>
      </c>
      <c r="G61" s="3470">
        <v>16.329999999999998</v>
      </c>
      <c r="P61" s="3526"/>
      <c r="Q61" s="3526"/>
      <c r="R61" s="3526"/>
      <c r="S61" s="3526"/>
      <c r="T61" s="3526"/>
      <c r="U61" s="3526"/>
      <c r="V61" s="3526"/>
    </row>
    <row r="62" spans="1:22" ht="18.95" customHeight="1">
      <c r="A62" s="3466">
        <v>61</v>
      </c>
      <c r="B62" s="3467">
        <v>113</v>
      </c>
      <c r="C62" s="3468" t="s">
        <v>3821</v>
      </c>
      <c r="D62" s="3469">
        <v>27.66</v>
      </c>
      <c r="E62" s="3469">
        <v>29.05</v>
      </c>
      <c r="F62" s="3470">
        <v>12.72</v>
      </c>
      <c r="G62" s="3470">
        <v>16.329999999999998</v>
      </c>
      <c r="P62" s="3526"/>
      <c r="Q62" s="3526"/>
      <c r="R62" s="3526"/>
      <c r="S62" s="3526"/>
      <c r="T62" s="3526"/>
      <c r="U62" s="3526"/>
      <c r="V62" s="3526"/>
    </row>
    <row r="63" spans="1:22" ht="18.95" customHeight="1">
      <c r="A63" s="3466">
        <v>62</v>
      </c>
      <c r="B63" s="3467">
        <v>114</v>
      </c>
      <c r="C63" s="3468" t="s">
        <v>3822</v>
      </c>
      <c r="D63" s="3469">
        <v>27.66</v>
      </c>
      <c r="E63" s="3469">
        <v>29.05</v>
      </c>
      <c r="F63" s="3470">
        <v>12.72</v>
      </c>
      <c r="G63" s="3470">
        <v>16.329999999999998</v>
      </c>
      <c r="P63" s="3526"/>
      <c r="Q63" s="3526"/>
      <c r="R63" s="3526"/>
      <c r="S63" s="3526"/>
      <c r="T63" s="3526"/>
      <c r="U63" s="3526"/>
      <c r="V63" s="3526"/>
    </row>
    <row r="64" spans="1:22" ht="18.95" customHeight="1">
      <c r="A64" s="3466">
        <v>63</v>
      </c>
      <c r="B64" s="3467">
        <v>116</v>
      </c>
      <c r="C64" s="3468" t="s">
        <v>3823</v>
      </c>
      <c r="D64" s="3469">
        <v>27.66</v>
      </c>
      <c r="E64" s="3469">
        <v>29.05</v>
      </c>
      <c r="F64" s="3470">
        <v>12.72</v>
      </c>
      <c r="G64" s="3470">
        <v>16.329999999999998</v>
      </c>
      <c r="P64" s="3526"/>
      <c r="Q64" s="3526"/>
      <c r="R64" s="3526"/>
      <c r="S64" s="3526"/>
      <c r="T64" s="3526"/>
      <c r="U64" s="3526"/>
      <c r="V64" s="3526"/>
    </row>
    <row r="65" spans="1:22" ht="18.95" customHeight="1">
      <c r="A65" s="3466">
        <v>64</v>
      </c>
      <c r="B65" s="3467">
        <v>118</v>
      </c>
      <c r="C65" s="3468" t="s">
        <v>3824</v>
      </c>
      <c r="D65" s="3469">
        <v>27.66</v>
      </c>
      <c r="E65" s="3469">
        <v>29.05</v>
      </c>
      <c r="F65" s="3470">
        <v>12.72</v>
      </c>
      <c r="G65" s="3470">
        <v>16.329999999999998</v>
      </c>
      <c r="P65" s="3526"/>
      <c r="Q65" s="3526"/>
      <c r="R65" s="3526"/>
      <c r="S65" s="3526"/>
      <c r="T65" s="3526"/>
      <c r="U65" s="3526"/>
      <c r="V65" s="3526"/>
    </row>
    <row r="66" spans="1:22" ht="18.95" customHeight="1">
      <c r="A66" s="3466">
        <v>65</v>
      </c>
      <c r="B66" s="3467">
        <v>119</v>
      </c>
      <c r="C66" s="3468" t="s">
        <v>3825</v>
      </c>
      <c r="D66" s="3469">
        <v>27.66</v>
      </c>
      <c r="E66" s="3520">
        <v>50.65</v>
      </c>
      <c r="F66" s="3470">
        <v>22.18</v>
      </c>
      <c r="G66" s="3470">
        <v>28.47</v>
      </c>
      <c r="P66" s="3526"/>
      <c r="Q66" s="3526"/>
      <c r="R66" s="3526"/>
      <c r="S66" s="3526"/>
      <c r="T66" s="3526"/>
      <c r="U66" s="3526"/>
      <c r="V66" s="3526"/>
    </row>
    <row r="67" spans="1:22" ht="18.95" customHeight="1">
      <c r="A67" s="3466">
        <v>66</v>
      </c>
      <c r="B67" s="3467">
        <v>120</v>
      </c>
      <c r="C67" s="3468" t="s">
        <v>3826</v>
      </c>
      <c r="D67" s="3469">
        <v>27.66</v>
      </c>
      <c r="E67" s="3520">
        <v>50.65</v>
      </c>
      <c r="F67" s="3470">
        <v>22.18</v>
      </c>
      <c r="G67" s="3470">
        <v>28.47</v>
      </c>
    </row>
    <row r="68" spans="1:22" ht="18.95" customHeight="1">
      <c r="A68" s="3466">
        <v>67</v>
      </c>
      <c r="B68" s="3467">
        <v>121</v>
      </c>
      <c r="C68" s="3468" t="s">
        <v>3827</v>
      </c>
      <c r="D68" s="3469">
        <v>27.66</v>
      </c>
      <c r="E68" s="3469">
        <v>29.05</v>
      </c>
      <c r="F68" s="3470">
        <v>12.72</v>
      </c>
      <c r="G68" s="3470">
        <v>16.329999999999998</v>
      </c>
    </row>
    <row r="69" spans="1:22" ht="18.95" customHeight="1">
      <c r="A69" s="3466">
        <v>68</v>
      </c>
      <c r="B69" s="3467">
        <v>123</v>
      </c>
      <c r="C69" s="3468" t="s">
        <v>3828</v>
      </c>
      <c r="D69" s="3469">
        <v>27.66</v>
      </c>
      <c r="E69" s="3469">
        <v>29.05</v>
      </c>
      <c r="F69" s="3470">
        <v>12.72</v>
      </c>
      <c r="G69" s="3470">
        <v>16.329999999999998</v>
      </c>
    </row>
    <row r="70" spans="1:22" ht="18.95" customHeight="1">
      <c r="A70" s="3466">
        <v>69</v>
      </c>
      <c r="B70" s="3467">
        <v>127</v>
      </c>
      <c r="C70" s="3468" t="s">
        <v>3829</v>
      </c>
      <c r="D70" s="3469">
        <v>42.64</v>
      </c>
      <c r="E70" s="3520">
        <v>44.78</v>
      </c>
      <c r="F70" s="3470">
        <v>19.61</v>
      </c>
      <c r="G70" s="3470">
        <v>25.17</v>
      </c>
    </row>
    <row r="71" spans="1:22" ht="18.95" customHeight="1">
      <c r="A71" s="3466">
        <v>70</v>
      </c>
      <c r="B71" s="3467">
        <v>128</v>
      </c>
      <c r="C71" s="3468" t="s">
        <v>3830</v>
      </c>
      <c r="D71" s="3469">
        <v>27.66</v>
      </c>
      <c r="E71" s="3469">
        <v>29.05</v>
      </c>
      <c r="F71" s="3470">
        <v>12.72</v>
      </c>
      <c r="G71" s="3470">
        <v>16.329999999999998</v>
      </c>
    </row>
    <row r="72" spans="1:22" ht="18.95" customHeight="1">
      <c r="A72" s="3466">
        <v>71</v>
      </c>
      <c r="B72" s="3467">
        <v>130</v>
      </c>
      <c r="C72" s="3468" t="s">
        <v>3831</v>
      </c>
      <c r="D72" s="3469">
        <v>27.66</v>
      </c>
      <c r="E72" s="3520">
        <v>44.78</v>
      </c>
      <c r="F72" s="3470">
        <v>19.61</v>
      </c>
      <c r="G72" s="3470">
        <v>25.17</v>
      </c>
    </row>
    <row r="73" spans="1:22" ht="18.95" customHeight="1">
      <c r="A73" s="3466">
        <v>72</v>
      </c>
      <c r="B73" s="3467">
        <v>131</v>
      </c>
      <c r="C73" s="3468" t="s">
        <v>3832</v>
      </c>
      <c r="D73" s="3469">
        <v>27.66</v>
      </c>
      <c r="E73" s="3469">
        <v>29.05</v>
      </c>
      <c r="F73" s="3470">
        <v>12.72</v>
      </c>
      <c r="G73" s="3470">
        <v>16.329999999999998</v>
      </c>
    </row>
    <row r="74" spans="1:22" ht="18.95" customHeight="1">
      <c r="A74" s="3466">
        <v>73</v>
      </c>
      <c r="B74" s="3467">
        <v>139</v>
      </c>
      <c r="C74" s="3468" t="s">
        <v>3833</v>
      </c>
      <c r="D74" s="3469">
        <v>27.66</v>
      </c>
      <c r="E74" s="3469">
        <v>29.05</v>
      </c>
      <c r="F74" s="3470">
        <v>12.72</v>
      </c>
      <c r="G74" s="3470">
        <v>16.329999999999998</v>
      </c>
    </row>
    <row r="75" spans="1:22" ht="18.95" customHeight="1">
      <c r="A75" s="3466">
        <v>74</v>
      </c>
      <c r="B75" s="3467">
        <v>144</v>
      </c>
      <c r="C75" s="3468" t="s">
        <v>3834</v>
      </c>
      <c r="D75" s="3469">
        <v>27.66</v>
      </c>
      <c r="E75" s="3469">
        <v>29.05</v>
      </c>
      <c r="F75" s="3470">
        <v>12.72</v>
      </c>
      <c r="G75" s="3470">
        <v>16.329999999999998</v>
      </c>
    </row>
    <row r="76" spans="1:22" ht="18.95" customHeight="1">
      <c r="A76" s="3466">
        <v>75</v>
      </c>
      <c r="B76" s="3467">
        <v>148</v>
      </c>
      <c r="C76" s="3468" t="s">
        <v>3835</v>
      </c>
      <c r="D76" s="3469">
        <v>20.57</v>
      </c>
      <c r="E76" s="3469">
        <v>21.6</v>
      </c>
      <c r="F76" s="3470">
        <v>9.4600000000000009</v>
      </c>
      <c r="G76" s="3470">
        <v>12.14</v>
      </c>
    </row>
    <row r="77" spans="1:22" ht="18.95" customHeight="1">
      <c r="A77" s="3466">
        <v>76</v>
      </c>
      <c r="B77" s="3467">
        <v>203</v>
      </c>
      <c r="C77" s="3468" t="s">
        <v>3836</v>
      </c>
      <c r="D77" s="3469">
        <v>27.66</v>
      </c>
      <c r="E77" s="3469">
        <v>29.05</v>
      </c>
      <c r="F77" s="3470">
        <v>12.72</v>
      </c>
      <c r="G77" s="3470">
        <v>16.329999999999998</v>
      </c>
    </row>
    <row r="78" spans="1:22" ht="18.95" customHeight="1">
      <c r="A78" s="3466">
        <v>77</v>
      </c>
      <c r="B78" s="3467">
        <v>204</v>
      </c>
      <c r="C78" s="3468" t="s">
        <v>3837</v>
      </c>
      <c r="D78" s="3469">
        <v>42.64</v>
      </c>
      <c r="E78" s="3520">
        <v>44.78</v>
      </c>
      <c r="F78" s="3470">
        <v>19.61</v>
      </c>
      <c r="G78" s="3470">
        <v>25.17</v>
      </c>
    </row>
    <row r="79" spans="1:22" ht="18.95" customHeight="1">
      <c r="A79" s="3466">
        <v>78</v>
      </c>
      <c r="B79" s="3467">
        <v>205</v>
      </c>
      <c r="C79" s="3468" t="s">
        <v>3838</v>
      </c>
      <c r="D79" s="3469">
        <v>20.57</v>
      </c>
      <c r="E79" s="3469">
        <v>21.6</v>
      </c>
      <c r="F79" s="3470">
        <v>9.4600000000000009</v>
      </c>
      <c r="G79" s="3470">
        <v>12.14</v>
      </c>
    </row>
    <row r="80" spans="1:22"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6" t="s">
        <v>2282</v>
      </c>
      <c r="B1" s="3617"/>
      <c r="C1" s="3617"/>
      <c r="D1" s="3617"/>
      <c r="E1" s="3617"/>
      <c r="F1" s="3617"/>
      <c r="G1" s="361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K33" sqref="K33"/>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51017</v>
      </c>
      <c r="C5" s="2507">
        <f ca="1">IF(B5=D14,'结果表-住宅基准'!H102,ROUND(B5*10000/$B$1,0))</f>
        <v>30523</v>
      </c>
      <c r="D5" s="2507" t="e">
        <f ca="1">ROUND(B5*10000/$B$2,0)</f>
        <v>#DIV/0!</v>
      </c>
      <c r="E5" s="2681"/>
      <c r="F5" s="2682"/>
      <c r="G5" s="2682"/>
      <c r="H5" s="2683"/>
      <c r="I5" s="2683"/>
      <c r="J5" s="2683"/>
      <c r="K5" s="2683"/>
    </row>
    <row r="6" spans="1:11" ht="16.5">
      <c r="A6" s="2507" t="s">
        <v>653</v>
      </c>
      <c r="B6" s="2507">
        <f ca="1">SUM(G14:G23)</f>
        <v>51017</v>
      </c>
      <c r="C6" s="2507">
        <f ca="1">IF(B6=G14,'结果表-住宅基准'!H108,ROUND(B6*10000/$B$1,0))</f>
        <v>30523</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47481</v>
      </c>
      <c r="C8" s="2507">
        <f ca="1">IF(B8=I14,'结果表-住宅基准'!H112,ROUND(B8*10000/$B$1,0))</f>
        <v>28407</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50053</v>
      </c>
      <c r="E14" s="2513">
        <f ca="1">ROUND(D14*10000/B14,0)</f>
        <v>34931</v>
      </c>
      <c r="F14" s="2513" t="e">
        <f ca="1">ROUND(D14*10000/C14,0)</f>
        <v>#DIV/0!</v>
      </c>
      <c r="G14" s="2513">
        <f ca="1">D14</f>
        <v>50053</v>
      </c>
      <c r="H14" s="2513"/>
      <c r="I14" s="2513">
        <f ca="1">'结果表-住宅基准'!N59</f>
        <v>46831</v>
      </c>
      <c r="J14" s="2682"/>
      <c r="K14" s="2683"/>
    </row>
    <row r="15" spans="1:11" ht="16.5">
      <c r="A15" s="2512" t="s">
        <v>3851</v>
      </c>
      <c r="B15" s="2514">
        <f>'典型户型修正-车库'!B22</f>
        <v>2385.4199999999992</v>
      </c>
      <c r="C15" s="2514"/>
      <c r="D15" s="2514">
        <f ca="1">'典型户型修正-车库'!S22</f>
        <v>964</v>
      </c>
      <c r="E15" s="2513">
        <f t="shared" ref="E15:E23" ca="1" si="0">ROUND(D15*10000/B15,0)</f>
        <v>4041</v>
      </c>
      <c r="F15" s="2513" t="e">
        <f t="shared" ref="F15:F23" ca="1" si="1">ROUND(D15*10000/C15,0)</f>
        <v>#DIV/0!</v>
      </c>
      <c r="G15" s="1328">
        <f ca="1">D15</f>
        <v>964</v>
      </c>
      <c r="H15" s="1328"/>
      <c r="I15" s="2514">
        <f ca="1">结果表车库!N59</f>
        <v>650</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9" t="str">
        <f>项目基本情况!B1</f>
        <v>北京市房地产抵押价值预评估</v>
      </c>
      <c r="C37" s="3529"/>
      <c r="D37" s="3529"/>
      <c r="E37" s="3529"/>
      <c r="F37" s="3529"/>
      <c r="G37" s="3529"/>
      <c r="H37" s="3529"/>
      <c r="I37" s="352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52" t="str">
        <f>项目基本情况!S2</f>
        <v>北京市房地产</v>
      </c>
      <c r="B2" s="3653"/>
      <c r="C2" s="3653"/>
      <c r="D2" s="3653"/>
      <c r="E2" s="3653"/>
      <c r="F2" s="3653"/>
      <c r="G2" s="3653"/>
      <c r="H2" s="3653"/>
      <c r="I2" s="3654"/>
    </row>
    <row r="3" spans="1:12" ht="12.75">
      <c r="A3" s="3656" t="s">
        <v>1261</v>
      </c>
      <c r="B3" s="3657"/>
      <c r="C3" s="3657"/>
      <c r="D3" s="3657"/>
      <c r="E3" s="3657"/>
      <c r="F3" s="3657"/>
      <c r="G3" s="3657"/>
      <c r="H3" s="3657"/>
      <c r="I3" s="3657"/>
    </row>
    <row r="4" spans="1:12" ht="14.25">
      <c r="A4" s="1751" t="s">
        <v>1262</v>
      </c>
      <c r="B4" s="1752" t="s">
        <v>1263</v>
      </c>
      <c r="C4" s="1753" t="s">
        <v>3890</v>
      </c>
      <c r="D4" s="1753" t="s">
        <v>3891</v>
      </c>
      <c r="E4" s="3658" t="s">
        <v>1264</v>
      </c>
      <c r="F4" s="3659"/>
      <c r="G4" s="3659"/>
      <c r="H4" s="3659"/>
      <c r="I4" s="3660"/>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32" t="s">
        <v>1265</v>
      </c>
      <c r="B5" s="3619">
        <v>25</v>
      </c>
      <c r="C5" s="3635"/>
      <c r="D5" s="3655"/>
      <c r="E5" s="131" t="s">
        <v>1266</v>
      </c>
      <c r="F5" s="1754"/>
      <c r="G5" s="1754"/>
      <c r="H5" s="1754"/>
      <c r="I5" s="1370"/>
    </row>
    <row r="6" spans="1:12" ht="12.75">
      <c r="A6" s="3632"/>
      <c r="B6" s="3619"/>
      <c r="C6" s="3636"/>
      <c r="D6" s="3655"/>
      <c r="E6" s="131" t="s">
        <v>1267</v>
      </c>
      <c r="F6" s="1754"/>
      <c r="G6" s="1754"/>
      <c r="H6" s="1754"/>
      <c r="I6" s="1370"/>
    </row>
    <row r="7" spans="1:12" ht="12.75">
      <c r="A7" s="3632"/>
      <c r="B7" s="3619"/>
      <c r="C7" s="3637"/>
      <c r="D7" s="3655"/>
      <c r="E7" s="131" t="s">
        <v>1268</v>
      </c>
      <c r="F7" s="1754"/>
      <c r="G7" s="1754"/>
      <c r="H7" s="1754"/>
      <c r="I7" s="1370"/>
    </row>
    <row r="8" spans="1:12" ht="12.75">
      <c r="A8" s="3632" t="s">
        <v>1269</v>
      </c>
      <c r="B8" s="3619">
        <v>15</v>
      </c>
      <c r="C8" s="3635"/>
      <c r="D8" s="3655"/>
      <c r="E8" s="131" t="s">
        <v>1270</v>
      </c>
      <c r="F8" s="1754"/>
      <c r="G8" s="1754"/>
      <c r="H8" s="1754"/>
      <c r="I8" s="1370"/>
    </row>
    <row r="9" spans="1:12" ht="12.75">
      <c r="A9" s="3632"/>
      <c r="B9" s="3619"/>
      <c r="C9" s="3637"/>
      <c r="D9" s="3655"/>
      <c r="E9" s="131" t="s">
        <v>1271</v>
      </c>
      <c r="F9" s="1754"/>
      <c r="G9" s="1754"/>
      <c r="H9" s="1754"/>
      <c r="I9" s="1370"/>
    </row>
    <row r="10" spans="1:12" ht="12.75">
      <c r="A10" s="3632" t="s">
        <v>1272</v>
      </c>
      <c r="B10" s="3619">
        <v>15</v>
      </c>
      <c r="C10" s="3635"/>
      <c r="D10" s="3655"/>
      <c r="E10" s="131" t="s">
        <v>1273</v>
      </c>
      <c r="F10" s="1754"/>
      <c r="G10" s="1754"/>
      <c r="H10" s="1754"/>
      <c r="I10" s="1370"/>
    </row>
    <row r="11" spans="1:12" ht="12.75">
      <c r="A11" s="3632"/>
      <c r="B11" s="3619"/>
      <c r="C11" s="3637"/>
      <c r="D11" s="3655"/>
      <c r="E11" s="131" t="s">
        <v>1274</v>
      </c>
      <c r="F11" s="1754"/>
      <c r="G11" s="1754"/>
      <c r="H11" s="1754"/>
      <c r="I11" s="1370"/>
    </row>
    <row r="12" spans="1:12" ht="12.75">
      <c r="A12" s="3632" t="s">
        <v>1275</v>
      </c>
      <c r="B12" s="3619">
        <v>15</v>
      </c>
      <c r="C12" s="3635"/>
      <c r="D12" s="3655"/>
      <c r="E12" s="131" t="s">
        <v>1276</v>
      </c>
      <c r="F12" s="1754"/>
      <c r="G12" s="1754"/>
      <c r="H12" s="1754"/>
      <c r="I12" s="1370"/>
    </row>
    <row r="13" spans="1:12" ht="12.75">
      <c r="A13" s="3632"/>
      <c r="B13" s="3619"/>
      <c r="C13" s="3637"/>
      <c r="D13" s="3655"/>
      <c r="E13" s="131" t="s">
        <v>1277</v>
      </c>
      <c r="F13" s="1754"/>
      <c r="G13" s="1754"/>
      <c r="H13" s="1754"/>
      <c r="I13" s="1370"/>
    </row>
    <row r="14" spans="1:12" ht="12.75">
      <c r="A14" s="3632" t="s">
        <v>1278</v>
      </c>
      <c r="B14" s="3619">
        <v>30</v>
      </c>
      <c r="C14" s="3635">
        <v>5</v>
      </c>
      <c r="D14" s="3655">
        <v>5</v>
      </c>
      <c r="E14" s="131" t="s">
        <v>1279</v>
      </c>
      <c r="F14" s="1754"/>
      <c r="G14" s="1754"/>
      <c r="H14" s="1754"/>
      <c r="I14" s="1370"/>
    </row>
    <row r="15" spans="1:12" ht="12.75">
      <c r="A15" s="3632"/>
      <c r="B15" s="3619"/>
      <c r="C15" s="3636"/>
      <c r="D15" s="3655"/>
      <c r="E15" s="131" t="s">
        <v>1280</v>
      </c>
      <c r="F15" s="1754"/>
      <c r="G15" s="1754"/>
      <c r="H15" s="1754"/>
      <c r="I15" s="1370"/>
    </row>
    <row r="16" spans="1:12" ht="12.75">
      <c r="A16" s="3632"/>
      <c r="B16" s="3619"/>
      <c r="C16" s="3637"/>
      <c r="D16" s="3655"/>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42" t="s">
        <v>2127</v>
      </c>
      <c r="F18" s="3643"/>
      <c r="G18" s="3643"/>
      <c r="H18" s="3643"/>
      <c r="I18" s="3643"/>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626" t="s">
        <v>1296</v>
      </c>
      <c r="B24" s="1759" t="s">
        <v>1288</v>
      </c>
      <c r="C24" s="136">
        <f>IF(B30=0,0,D30)</f>
        <v>0</v>
      </c>
      <c r="D24" s="1766"/>
      <c r="E24" s="129"/>
      <c r="F24" s="129"/>
      <c r="G24" s="129"/>
      <c r="H24" s="129"/>
      <c r="I24" s="129"/>
    </row>
    <row r="25" spans="1:36" ht="14.25">
      <c r="A25" s="3627"/>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46" t="s">
        <v>1309</v>
      </c>
      <c r="B36" s="1784" t="s">
        <v>1310</v>
      </c>
      <c r="C36" s="145"/>
      <c r="D36" s="1785"/>
      <c r="E36" s="1786"/>
      <c r="F36" s="1787"/>
      <c r="G36" s="129"/>
      <c r="H36" s="129"/>
      <c r="I36" s="129"/>
    </row>
    <row r="37" spans="1:15" ht="15.75" thickBot="1">
      <c r="A37" s="3647"/>
      <c r="B37" s="1671" t="s">
        <v>1311</v>
      </c>
      <c r="C37" s="147"/>
      <c r="D37" s="1137"/>
      <c r="E37" s="1137"/>
      <c r="F37" s="1787"/>
      <c r="G37" s="129"/>
      <c r="H37" s="129"/>
      <c r="I37" s="129"/>
    </row>
    <row r="38" spans="1:15" ht="15.75" thickBot="1">
      <c r="A38" s="3648"/>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3" t="s">
        <v>1323</v>
      </c>
      <c r="B45" s="3624"/>
      <c r="C45" s="3625"/>
      <c r="D45" s="155">
        <f ca="1">'典型户型修正-住宅'!S22</f>
        <v>50053</v>
      </c>
      <c r="E45" s="156" t="s">
        <v>1324</v>
      </c>
      <c r="F45" s="157">
        <v>1</v>
      </c>
      <c r="G45" s="158" t="s">
        <v>1325</v>
      </c>
      <c r="H45" s="129"/>
      <c r="I45" s="129"/>
      <c r="J45" s="3701" t="s">
        <v>1326</v>
      </c>
      <c r="K45" s="3701"/>
      <c r="L45" s="3701"/>
      <c r="M45" s="3701"/>
      <c r="N45" s="3701"/>
      <c r="O45" s="3701"/>
    </row>
    <row r="46" spans="1:15" ht="14.25" customHeight="1">
      <c r="A46" s="3620" t="s">
        <v>1327</v>
      </c>
      <c r="B46" s="3621"/>
      <c r="C46" s="3621"/>
      <c r="D46" s="3621"/>
      <c r="E46" s="3621"/>
      <c r="F46" s="3621"/>
      <c r="G46" s="3622"/>
      <c r="H46" s="1803"/>
      <c r="I46" s="159"/>
      <c r="J46" s="2518">
        <v>1</v>
      </c>
      <c r="K46" s="3682" t="s">
        <v>1328</v>
      </c>
      <c r="L46" s="3682"/>
      <c r="M46" s="3702"/>
      <c r="N46" s="3702"/>
      <c r="O46" s="3702"/>
    </row>
    <row r="47" spans="1:15" ht="12" customHeight="1">
      <c r="A47" s="160" t="s">
        <v>1329</v>
      </c>
      <c r="B47" s="161"/>
      <c r="C47" s="162"/>
      <c r="D47" s="1085" t="s">
        <v>1330</v>
      </c>
      <c r="E47" s="302" t="s">
        <v>1331</v>
      </c>
      <c r="F47" s="163" t="s">
        <v>1332</v>
      </c>
      <c r="G47" s="2541" t="s">
        <v>1333</v>
      </c>
      <c r="H47" s="2542"/>
      <c r="I47" s="159"/>
      <c r="J47" s="2518">
        <v>2</v>
      </c>
      <c r="K47" s="3682" t="s">
        <v>1334</v>
      </c>
      <c r="L47" s="3682"/>
      <c r="M47" s="3703">
        <f>'数据-取费表'!B2</f>
        <v>45216</v>
      </c>
      <c r="N47" s="3703"/>
      <c r="O47" s="3703"/>
    </row>
    <row r="48" spans="1:15" ht="25.5">
      <c r="A48" s="3651" t="s">
        <v>1335</v>
      </c>
      <c r="B48" s="3634"/>
      <c r="C48" s="3634"/>
      <c r="D48" s="2319">
        <f ca="1">IF(H48="情况1",0,IF(H48="情况2",D52,IF(H48="情况3",D53,IF(H48="情况4",D54))))</f>
        <v>2622</v>
      </c>
      <c r="E48" s="2329" t="str">
        <f>IF(H48="情况4","(销售额-原购置价)×税（费）率","销售额×税（费）率")</f>
        <v>销售额×税（费）率</v>
      </c>
      <c r="F48" s="2543">
        <f>IF(H48="情况1","免征",'数据-取费表'!B41)</f>
        <v>5.5000000000000007E-2</v>
      </c>
      <c r="G48" s="2544" t="s">
        <v>1336</v>
      </c>
      <c r="H48" s="2545" t="s">
        <v>4087</v>
      </c>
      <c r="I48" s="1803"/>
      <c r="J48" s="2518">
        <v>3</v>
      </c>
      <c r="K48" s="3682" t="s">
        <v>1337</v>
      </c>
      <c r="L48" s="3682"/>
      <c r="M48" s="3704">
        <f ca="1">'典型户型修正-住宅'!S22</f>
        <v>50053</v>
      </c>
      <c r="N48" s="3704"/>
      <c r="O48" s="3704"/>
    </row>
    <row r="49" spans="1:35" ht="25.5" customHeight="1">
      <c r="A49" s="2328" t="s">
        <v>1338</v>
      </c>
      <c r="B49" s="3618" t="s">
        <v>1339</v>
      </c>
      <c r="C49" s="3618"/>
      <c r="D49" s="1587">
        <v>0</v>
      </c>
      <c r="E49" s="324" t="s">
        <v>1340</v>
      </c>
      <c r="F49" s="2419" t="s">
        <v>28</v>
      </c>
      <c r="G49" s="3688"/>
      <c r="H49" s="2305" t="s">
        <v>2130</v>
      </c>
      <c r="I49" s="2306"/>
      <c r="J49" s="2518">
        <v>4</v>
      </c>
      <c r="K49" s="3682" t="str">
        <f>IF(项目基本情况!E8="房地产抵押价值","房地产抵押价值","抵押担保权已注销时的房地产抵押价值")</f>
        <v>房地产抵押价值</v>
      </c>
      <c r="L49" s="3682"/>
      <c r="M49" s="3704">
        <f ca="1">'典型户型修正-住宅'!S22</f>
        <v>50053</v>
      </c>
      <c r="N49" s="3704"/>
      <c r="O49" s="3704"/>
    </row>
    <row r="50" spans="1:35" ht="25.5" customHeight="1">
      <c r="A50" s="2546"/>
      <c r="B50" s="3618" t="s">
        <v>1341</v>
      </c>
      <c r="C50" s="3618"/>
      <c r="D50" s="2547"/>
      <c r="E50" s="332"/>
      <c r="F50" s="2419"/>
      <c r="G50" s="3689"/>
      <c r="H50" s="2307" t="s">
        <v>2131</v>
      </c>
      <c r="I50" s="2306"/>
      <c r="J50" s="3701" t="s">
        <v>1342</v>
      </c>
      <c r="K50" s="3701"/>
      <c r="L50" s="3701"/>
      <c r="M50" s="3701"/>
      <c r="N50" s="3701"/>
      <c r="O50" s="3701"/>
    </row>
    <row r="51" spans="1:35" ht="20.45" customHeight="1">
      <c r="A51" s="2548"/>
      <c r="B51" s="3618" t="s">
        <v>1343</v>
      </c>
      <c r="C51" s="3618"/>
      <c r="D51" s="1085"/>
      <c r="E51" s="327"/>
      <c r="F51" s="2419"/>
      <c r="G51" s="3690"/>
      <c r="H51" s="2307" t="s">
        <v>2132</v>
      </c>
      <c r="I51" s="2306"/>
      <c r="J51" s="2519" t="s">
        <v>1344</v>
      </c>
      <c r="K51" s="3682" t="s">
        <v>1345</v>
      </c>
      <c r="L51" s="3682"/>
      <c r="M51" s="2519" t="s">
        <v>1346</v>
      </c>
      <c r="N51" s="2519" t="s">
        <v>1347</v>
      </c>
      <c r="O51" s="2519" t="s">
        <v>1348</v>
      </c>
    </row>
    <row r="52" spans="1:35" ht="24" customHeight="1">
      <c r="A52" s="2330" t="s">
        <v>1349</v>
      </c>
      <c r="B52" s="3618" t="s">
        <v>1350</v>
      </c>
      <c r="C52" s="3618"/>
      <c r="D52" s="1085">
        <f ca="1">ROUND(D45*'数据-取费表'!B41/(1+'数据-取费表'!C42),0)</f>
        <v>2622</v>
      </c>
      <c r="E52" s="2329" t="s">
        <v>1351</v>
      </c>
      <c r="F52" s="2549">
        <f>'数据-取费表'!B41</f>
        <v>5.5000000000000007E-2</v>
      </c>
      <c r="G52" s="2550"/>
      <c r="H52" s="2539"/>
      <c r="I52" s="1804"/>
      <c r="J52" s="2518">
        <v>1</v>
      </c>
      <c r="K52" s="3683" t="s">
        <v>1352</v>
      </c>
      <c r="L52" s="3683"/>
      <c r="M52" s="2520">
        <f ca="1">D48</f>
        <v>2622</v>
      </c>
      <c r="N52" s="2518" t="str">
        <f>E48</f>
        <v>销售额×税（费）率</v>
      </c>
      <c r="O52" s="2521">
        <f>F48</f>
        <v>5.5000000000000007E-2</v>
      </c>
    </row>
    <row r="53" spans="1:35" ht="12" customHeight="1">
      <c r="A53" s="2330" t="s">
        <v>1353</v>
      </c>
      <c r="B53" s="3644" t="s">
        <v>2287</v>
      </c>
      <c r="C53" s="3645"/>
      <c r="D53" s="1085">
        <f ca="1">ROUND(D45*'数据-取费表'!B41/(1+'数据-取费表'!C42),0)</f>
        <v>2622</v>
      </c>
      <c r="E53" s="2329" t="s">
        <v>1351</v>
      </c>
      <c r="F53" s="2549">
        <f>'数据-取费表'!B41</f>
        <v>5.5000000000000007E-2</v>
      </c>
      <c r="G53" s="2550"/>
      <c r="H53" s="2539"/>
      <c r="I53" s="1804"/>
      <c r="J53" s="2518">
        <v>2</v>
      </c>
      <c r="K53" s="3683" t="s">
        <v>1354</v>
      </c>
      <c r="L53" s="3683"/>
      <c r="M53" s="2520">
        <f t="shared" ref="M53:O54" ca="1" si="0">D55</f>
        <v>25</v>
      </c>
      <c r="N53" s="2518" t="str">
        <f t="shared" si="0"/>
        <v>销售额×税（费）率</v>
      </c>
      <c r="O53" s="2521">
        <f t="shared" si="0"/>
        <v>5.0000000000000001E-4</v>
      </c>
    </row>
    <row r="54" spans="1:35" ht="12" customHeight="1">
      <c r="A54" s="2330" t="s">
        <v>1355</v>
      </c>
      <c r="B54" s="3644" t="s">
        <v>2288</v>
      </c>
      <c r="C54" s="3645"/>
      <c r="D54" s="1085">
        <f ca="1">C68</f>
        <v>2622</v>
      </c>
      <c r="E54" s="327" t="s">
        <v>1356</v>
      </c>
      <c r="F54" s="2549">
        <f>'数据-取费表'!B41</f>
        <v>5.5000000000000007E-2</v>
      </c>
      <c r="G54" s="2550"/>
      <c r="H54" s="2551"/>
      <c r="I54" s="1804"/>
      <c r="J54" s="2518">
        <v>3</v>
      </c>
      <c r="K54" s="3683" t="s">
        <v>1357</v>
      </c>
      <c r="L54" s="3683"/>
      <c r="M54" s="2520">
        <f t="shared" ca="1" si="0"/>
        <v>575</v>
      </c>
      <c r="N54" s="2518" t="str">
        <f t="shared" si="0"/>
        <v>增值额×税（费）率</v>
      </c>
      <c r="O54" s="2522" t="str">
        <f t="shared" si="0"/>
        <v>——</v>
      </c>
    </row>
    <row r="55" spans="1:35" ht="24" customHeight="1">
      <c r="A55" s="3633" t="s">
        <v>1358</v>
      </c>
      <c r="B55" s="3634"/>
      <c r="C55" s="3634"/>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83" t="str">
        <f>IF(H59="非个人房产","——","个人所得税")</f>
        <v>——</v>
      </c>
      <c r="L55" s="3683"/>
      <c r="M55" s="2523" t="str">
        <f>D59</f>
        <v>——</v>
      </c>
      <c r="N55" s="2035" t="str">
        <f>E59</f>
        <v>——</v>
      </c>
      <c r="O55" s="2524" t="str">
        <f>F59</f>
        <v>——</v>
      </c>
    </row>
    <row r="56" spans="1:35" ht="24.75">
      <c r="A56" s="3633" t="s">
        <v>1360</v>
      </c>
      <c r="B56" s="3634"/>
      <c r="C56" s="3634"/>
      <c r="D56" s="2319">
        <f ca="1">IF(H56="个人住宅",D57,D58)</f>
        <v>575</v>
      </c>
      <c r="E56" s="2329" t="s">
        <v>1361</v>
      </c>
      <c r="F56" s="2549" t="str">
        <f>IF(H56="正常",F58,"免征")</f>
        <v>——</v>
      </c>
      <c r="G56" s="2552" t="s">
        <v>1362</v>
      </c>
      <c r="H56" s="2553" t="s">
        <v>3862</v>
      </c>
      <c r="I56" s="1805"/>
      <c r="J56" s="2518" t="str">
        <f>IF(项目基本情况!K6="上海银行",IF(J55="",4,J55+1),"")</f>
        <v/>
      </c>
      <c r="K56" s="3706" t="str">
        <f>IF(项目基本情况!K6="上海银行","其他处置费用","")</f>
        <v/>
      </c>
      <c r="L56" s="3707"/>
      <c r="M56" s="2520" t="str">
        <f>IF(项目基本情况!K6="上海银行",M69,"")</f>
        <v/>
      </c>
      <c r="N56" s="3706" t="str">
        <f>IF(项目基本情况!K6="上海银行","包含处置中涉及的律师、诉讼、拍卖、评估等费用","")</f>
        <v/>
      </c>
      <c r="O56" s="3709"/>
    </row>
    <row r="57" spans="1:35" ht="12.75">
      <c r="A57" s="2330" t="s">
        <v>1338</v>
      </c>
      <c r="B57" s="3644" t="s">
        <v>1363</v>
      </c>
      <c r="C57" s="3645"/>
      <c r="D57" s="1587">
        <v>0</v>
      </c>
      <c r="E57" s="324" t="s">
        <v>1340</v>
      </c>
      <c r="F57" s="302"/>
      <c r="G57" s="2550"/>
      <c r="H57" s="2554"/>
      <c r="I57" s="1805"/>
      <c r="J57" s="3683">
        <f>IF(AND(J55="",J56=""),4,IF(项目基本情况!K6="上海银行",'结果表-住宅基准'!J56+1,'结果表-住宅基准'!J55+1))</f>
        <v>4</v>
      </c>
      <c r="K57" s="3683" t="s">
        <v>1364</v>
      </c>
      <c r="L57" s="2525" t="s">
        <v>1365</v>
      </c>
      <c r="M57" s="2526"/>
      <c r="N57" s="2527">
        <f ca="1">SUMIF(M52:M56,"&lt;9e307")</f>
        <v>3222</v>
      </c>
      <c r="O57" s="2528"/>
      <c r="P57" s="2685">
        <f ca="1">N57/M49</f>
        <v>6.4371765928116192E-2</v>
      </c>
    </row>
    <row r="58" spans="1:35" ht="24.75">
      <c r="A58" s="2330" t="s">
        <v>1349</v>
      </c>
      <c r="B58" s="3644" t="s">
        <v>1366</v>
      </c>
      <c r="C58" s="3618"/>
      <c r="D58" s="2319">
        <f ca="1">IF(H58="转让取得",C81,C97)</f>
        <v>575</v>
      </c>
      <c r="E58" s="2329" t="s">
        <v>1361</v>
      </c>
      <c r="F58" s="302" t="s">
        <v>28</v>
      </c>
      <c r="G58" s="2550"/>
      <c r="H58" s="2553" t="s">
        <v>4088</v>
      </c>
      <c r="I58" s="1805"/>
      <c r="J58" s="3683"/>
      <c r="K58" s="3683"/>
      <c r="L58" s="2525" t="s">
        <v>1367</v>
      </c>
      <c r="M58" s="2529"/>
      <c r="N58" s="2530" t="str">
        <f ca="1">NUMBERSTRING(INT(N57*10000),2)&amp;"元整"</f>
        <v>叁仟贰佰贰拾贰万元整</v>
      </c>
      <c r="O58" s="2531"/>
    </row>
    <row r="59" spans="1:35" ht="24.75" thickBot="1">
      <c r="A59" s="3686" t="s">
        <v>1368</v>
      </c>
      <c r="B59" s="3687"/>
      <c r="C59" s="3687"/>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4">
        <f>J57+1</f>
        <v>5</v>
      </c>
      <c r="K59" s="3683" t="s">
        <v>1369</v>
      </c>
      <c r="L59" s="2518" t="s">
        <v>1365</v>
      </c>
      <c r="M59" s="2532"/>
      <c r="N59" s="2533">
        <f ca="1">M49-N57</f>
        <v>46831</v>
      </c>
      <c r="O59" s="2534"/>
      <c r="P59" s="724">
        <f ca="1">N59*10000/二期房号清单!D165</f>
        <v>32682.853976433718</v>
      </c>
    </row>
    <row r="60" spans="1:35" ht="12" customHeight="1">
      <c r="A60" s="1806"/>
      <c r="B60" s="1744"/>
      <c r="C60" s="1744"/>
      <c r="D60" s="1744"/>
      <c r="E60" s="1575"/>
      <c r="F60" s="1805"/>
      <c r="G60" s="1805"/>
      <c r="H60" s="1807"/>
      <c r="I60" s="129"/>
      <c r="J60" s="3685"/>
      <c r="K60" s="3683"/>
      <c r="L60" s="2525" t="s">
        <v>1367</v>
      </c>
      <c r="M60" s="2529"/>
      <c r="N60" s="2530" t="str">
        <f ca="1">NUMBERSTRING(INT(N59*10000),2)&amp;"元整"</f>
        <v>肆亿陆仟捌佰叁拾壹万元整</v>
      </c>
      <c r="O60" s="2531"/>
    </row>
    <row r="61" spans="1:35" ht="13.5" thickBot="1">
      <c r="A61" s="3631" t="s">
        <v>1370</v>
      </c>
      <c r="B61" s="3631"/>
      <c r="C61" s="3631"/>
      <c r="D61" s="3631"/>
      <c r="E61" s="3631"/>
      <c r="F61" s="1805"/>
      <c r="G61" s="1805"/>
      <c r="H61" s="1807"/>
      <c r="I61" s="129"/>
      <c r="J61" s="2518">
        <f>J59+1</f>
        <v>6</v>
      </c>
      <c r="K61" s="3683" t="s">
        <v>1371</v>
      </c>
      <c r="L61" s="3683"/>
      <c r="M61" s="2535"/>
      <c r="N61" s="2536">
        <f ca="1">ROUND(N59*10000/'数据-汇总表'!E3,0)</f>
        <v>4035764</v>
      </c>
      <c r="O61" s="2537"/>
    </row>
    <row r="62" spans="1:35" ht="12.75">
      <c r="A62" s="3649" t="s">
        <v>1372</v>
      </c>
      <c r="B62" s="3650"/>
      <c r="C62" s="2016"/>
      <c r="D62" s="2016" t="s">
        <v>1373</v>
      </c>
      <c r="E62" s="166" t="s">
        <v>1374</v>
      </c>
      <c r="F62" s="1805"/>
      <c r="G62" s="1805"/>
      <c r="H62" s="1807"/>
      <c r="I62" s="129"/>
    </row>
    <row r="63" spans="1:35" ht="12.75">
      <c r="A63" s="173" t="s">
        <v>330</v>
      </c>
      <c r="B63" s="167" t="s">
        <v>1375</v>
      </c>
      <c r="C63" s="2559">
        <f ca="1">ROUND((C64+C65)/(1+'数据-取费表'!C42),0)</f>
        <v>47670</v>
      </c>
      <c r="D63" s="167"/>
      <c r="E63" s="168"/>
      <c r="F63" s="1805"/>
      <c r="G63" s="1805"/>
      <c r="H63" s="1807"/>
      <c r="I63" s="129"/>
      <c r="J63" s="3708" t="s">
        <v>1376</v>
      </c>
      <c r="K63" s="1329" t="s">
        <v>1377</v>
      </c>
      <c r="L63" s="1329">
        <f ca="1">IF(M49&gt;10000,M49*0.5%,IF(AND(M49&gt;1000,M49&lt;=10000),M49*1%,IF(AND(M49&gt;100,M49&lt;=1000),M49*3%,IF(AND(M49&gt;10,M49&lt;=100),M49*5%,M49*8%))))</f>
        <v>250.26500000000001</v>
      </c>
      <c r="M63" s="302">
        <f ca="1">ROUND(L63,1)</f>
        <v>250.3</v>
      </c>
      <c r="N63" s="2538"/>
      <c r="Z63" s="1749"/>
      <c r="AI63" s="1750"/>
    </row>
    <row r="64" spans="1:35" ht="14.25" customHeight="1">
      <c r="A64" s="169" t="s">
        <v>325</v>
      </c>
      <c r="B64" s="170" t="s">
        <v>1378</v>
      </c>
      <c r="C64" s="2560">
        <f ca="1">D45</f>
        <v>50053</v>
      </c>
      <c r="D64" s="170" t="s">
        <v>26</v>
      </c>
      <c r="E64" s="172"/>
      <c r="F64" s="1805"/>
      <c r="G64" s="1805"/>
      <c r="H64" s="1807"/>
      <c r="I64" s="129"/>
      <c r="J64" s="3708"/>
      <c r="K64" s="1329" t="s">
        <v>1379</v>
      </c>
      <c r="L64" s="1329">
        <f ca="1">IF(M49&gt;2000,M49*0.5%,IF(AND(M49&gt;1000,M49&lt;=2000),M49*0.6%,IF(AND(M49&gt;500,M49&lt;=1000),M49*0.7%,IF(AND(M49&gt;200,M49&lt;=500),M49*0.8%,IF(AND(M49&gt;100,M49&lt;=200),M49*0.9%,IF(AND(M49&gt;50,M49&lt;=100),M49*1%,IF(AND(M49&gt;20,M49&lt;=50),M49*1.5%,IF(AND(M49&gt;10,M49&lt;=20),M49*2%,IF(AND(M49&gt;1,M49&lt;=10),M49*2.5%)))))))))</f>
        <v>250.26500000000001</v>
      </c>
      <c r="M64" s="302">
        <f t="shared" ref="M64:M65" ca="1" si="1">ROUND(L64,1)</f>
        <v>250.3</v>
      </c>
      <c r="N64" s="2539" t="s">
        <v>1380</v>
      </c>
      <c r="Z64" s="1749"/>
      <c r="AI64" s="1750"/>
    </row>
    <row r="65" spans="1:35" ht="14.25" customHeight="1">
      <c r="A65" s="169" t="s">
        <v>326</v>
      </c>
      <c r="B65" s="170" t="s">
        <v>1381</v>
      </c>
      <c r="C65" s="2561"/>
      <c r="D65" s="170"/>
      <c r="E65" s="172"/>
      <c r="F65" s="1805"/>
      <c r="G65" s="1805"/>
      <c r="H65" s="1807"/>
      <c r="I65" s="129"/>
      <c r="J65" s="3708"/>
      <c r="K65" s="1329" t="s">
        <v>1382</v>
      </c>
      <c r="L65" s="1329">
        <f ca="1">IF(M49&gt;1000,M49*0.1%,IF(AND(M49&gt;500,M49&lt;=1000),M49*0.5%,IF(AND(M49&gt;50,M49&lt;=500),M49*1%,IF(AND(M49&gt;1,M49&lt;=50),M49*1.5%))))</f>
        <v>50.053000000000004</v>
      </c>
      <c r="M65" s="302">
        <f t="shared" ca="1" si="1"/>
        <v>50.1</v>
      </c>
      <c r="N65" s="2539" t="s">
        <v>1380</v>
      </c>
      <c r="Z65" s="1749"/>
      <c r="AI65" s="1750"/>
    </row>
    <row r="66" spans="1:35" ht="14.25" customHeight="1">
      <c r="A66" s="173" t="s">
        <v>327</v>
      </c>
      <c r="B66" s="174" t="s">
        <v>1383</v>
      </c>
      <c r="C66" s="2562"/>
      <c r="D66" s="174" t="s">
        <v>26</v>
      </c>
      <c r="E66" s="1335" t="s">
        <v>668</v>
      </c>
      <c r="F66" s="1805"/>
      <c r="G66" s="1805"/>
      <c r="H66" s="1807"/>
      <c r="I66" s="129"/>
      <c r="J66" s="3708"/>
      <c r="K66" s="1329" t="s">
        <v>1384</v>
      </c>
      <c r="L66" s="1329">
        <f ca="1">M49*0.5%</f>
        <v>250.26500000000001</v>
      </c>
      <c r="M66" s="302">
        <f ca="1">IF(L66&gt;0.5,0.5,ROUND(L66,0))</f>
        <v>0.5</v>
      </c>
      <c r="N66" s="2539" t="s">
        <v>1385</v>
      </c>
      <c r="Z66" s="1749"/>
      <c r="AI66" s="1750"/>
    </row>
    <row r="67" spans="1:35" ht="14.25" customHeight="1">
      <c r="A67" s="173" t="s">
        <v>328</v>
      </c>
      <c r="B67" s="174" t="s">
        <v>1386</v>
      </c>
      <c r="C67" s="2563">
        <f ca="1">C63-C66</f>
        <v>47670</v>
      </c>
      <c r="D67" s="170" t="s">
        <v>26</v>
      </c>
      <c r="E67" s="172"/>
      <c r="F67" s="1805"/>
      <c r="G67" s="1805"/>
      <c r="H67" s="1807"/>
      <c r="I67" s="129"/>
      <c r="J67" s="3708"/>
      <c r="K67" s="1329" t="s">
        <v>1387</v>
      </c>
      <c r="L67" s="1329">
        <f ca="1">IF(M49&gt;=10000,(8.25+(M49-10000)*0.01%),IF(AND(M49&gt;=8000,M49&lt;10000),(7.85+(M49-8000)*0.02%),IF(AND(M49&gt;=5000,M49&lt;8000),(6.65+(M49-5000)*0.04%),IF(AND(M49&gt;=2000,M49&lt;5000),(4.25+(PM49-2000)*0.08%),IF(AND(M49&gt;=1000,M49&lt;2000),(2.75+(M49-1000)*0.15%),IF(AND(M49&gt;=100,M49&lt;1000),(0.5+(M49-100)*0.25%),IF(AND(M49&gt;0,M49&lt;100),M49*0.5%)))))))</f>
        <v>12.2553</v>
      </c>
      <c r="M67" s="302">
        <f ca="1">ROUND(L67*0.9,1)</f>
        <v>11</v>
      </c>
      <c r="N67" s="2538"/>
      <c r="Z67" s="1749"/>
      <c r="AI67" s="1750"/>
    </row>
    <row r="68" spans="1:35" ht="14.25" customHeight="1" thickBot="1">
      <c r="A68" s="176" t="s">
        <v>329</v>
      </c>
      <c r="B68" s="177" t="s">
        <v>1388</v>
      </c>
      <c r="C68" s="2564">
        <f ca="1">IF(C67&lt;=0,0,ROUND(C67*D68,0))</f>
        <v>2622</v>
      </c>
      <c r="D68" s="2565">
        <f>'数据-取费表'!B41</f>
        <v>5.5000000000000007E-2</v>
      </c>
      <c r="E68" s="178"/>
      <c r="F68" s="1805"/>
      <c r="G68" s="1805"/>
      <c r="H68" s="1807"/>
      <c r="I68" s="129"/>
      <c r="J68" s="3708"/>
      <c r="K68" s="1329" t="s">
        <v>1389</v>
      </c>
      <c r="L68" s="1329">
        <f ca="1">IF(M49&gt;10000,M49*0.5%,IF(AND(M49&gt;5000,M49&lt;=10000),M49*1%,IF(AND(M49&gt;1000,M49&lt;=5000),M49*2%,IF(AND(M49&gt;200,M49&lt;=1000),M49*3%,M49*5%))))</f>
        <v>250.26500000000001</v>
      </c>
      <c r="M68" s="302">
        <f ca="1">ROUND(L68,1)</f>
        <v>250.3</v>
      </c>
      <c r="N68" s="2538"/>
      <c r="Z68" s="1749"/>
      <c r="AI68" s="1750"/>
    </row>
    <row r="69" spans="1:35" s="1769" customFormat="1" ht="16.5" customHeight="1">
      <c r="A69" s="1808"/>
      <c r="B69" s="1809"/>
      <c r="C69" s="1810"/>
      <c r="D69" s="1811"/>
      <c r="E69" s="1812"/>
      <c r="F69" s="1575"/>
      <c r="G69" s="1575"/>
      <c r="H69" s="1574"/>
      <c r="I69" s="1744"/>
      <c r="J69" s="3708"/>
      <c r="K69" s="1329" t="s">
        <v>1390</v>
      </c>
      <c r="L69" s="1329"/>
      <c r="M69" s="302">
        <f ca="1">ROUND(SUM(M63:M68),0)</f>
        <v>813</v>
      </c>
      <c r="N69" s="2540">
        <f ca="1">M69/M49</f>
        <v>1.6242782650390586E-2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0" t="s">
        <v>1391</v>
      </c>
      <c r="B70" s="3671"/>
      <c r="C70" s="3671"/>
      <c r="D70" s="3671"/>
      <c r="E70" s="3671"/>
      <c r="F70" s="3671"/>
      <c r="G70" s="3671"/>
      <c r="H70" s="3671"/>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9" t="s">
        <v>1372</v>
      </c>
      <c r="B71" s="3650"/>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47670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4" t="s">
        <v>1399</v>
      </c>
      <c r="F76" s="3618"/>
      <c r="G76" s="3618"/>
      <c r="H76" s="366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238</v>
      </c>
      <c r="D78" s="2572">
        <f>'数据-取费表'!B43</f>
        <v>5.000000000000001E-3</v>
      </c>
      <c r="E78" s="3628" t="s">
        <v>1403</v>
      </c>
      <c r="F78" s="3629"/>
      <c r="G78" s="3629"/>
      <c r="H78" s="363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47432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199.29411764705881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28376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0" t="s">
        <v>1407</v>
      </c>
      <c r="B83" s="3671"/>
      <c r="C83" s="3671"/>
      <c r="D83" s="3671"/>
      <c r="E83" s="3671"/>
      <c r="F83" s="3671"/>
      <c r="G83" s="3671"/>
      <c r="H83" s="367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9" t="s">
        <v>1372</v>
      </c>
      <c r="B84" s="3650"/>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47670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45751.601827233426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710" t="s">
        <v>2125</v>
      </c>
      <c r="H90" s="3711"/>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28" t="s">
        <v>1416</v>
      </c>
      <c r="F91" s="3629"/>
      <c r="G91" s="3629"/>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28" t="s">
        <v>1419</v>
      </c>
      <c r="F92" s="3629"/>
      <c r="G92" s="3629"/>
      <c r="H92" s="3638"/>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238</v>
      </c>
      <c r="D93" s="2572">
        <f>'数据-取费表'!B43</f>
        <v>5.000000000000001E-3</v>
      </c>
      <c r="E93" s="3628" t="s">
        <v>1403</v>
      </c>
      <c r="F93" s="3629"/>
      <c r="G93" s="3629"/>
      <c r="H93" s="363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639" t="s">
        <v>1423</v>
      </c>
      <c r="F94" s="3640"/>
      <c r="G94" s="3640"/>
      <c r="H94" s="364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1918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4.1922029467792742E-2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575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30"/>
      <c r="E100" s="3613" t="s">
        <v>1426</v>
      </c>
      <c r="F100" s="3613"/>
      <c r="G100" s="3613"/>
      <c r="H100" s="3630"/>
      <c r="I100" s="129"/>
    </row>
    <row r="101" spans="1:35" ht="18.75" customHeight="1">
      <c r="A101" s="3691" t="s">
        <v>1427</v>
      </c>
      <c r="B101" s="3692"/>
      <c r="C101" s="2580" t="str">
        <f>C4</f>
        <v>比较法-住宅</v>
      </c>
      <c r="D101" s="2581" t="str">
        <f>D4</f>
        <v>成本法 (元)</v>
      </c>
      <c r="E101" s="3705" t="s">
        <v>1428</v>
      </c>
      <c r="F101" s="3662"/>
      <c r="G101" s="1824" t="s">
        <v>1429</v>
      </c>
      <c r="H101" s="2590">
        <f ca="1">H118</f>
        <v>307</v>
      </c>
      <c r="I101" s="129"/>
    </row>
    <row r="102" spans="1:35" ht="18.75" customHeight="1">
      <c r="A102" s="3664" t="s">
        <v>1430</v>
      </c>
      <c r="B102" s="2579" t="s">
        <v>1429</v>
      </c>
      <c r="C102" s="2580">
        <f ca="1">IF(D32="楼面单价",ROUND(C19,0),C19)</f>
        <v>319</v>
      </c>
      <c r="D102" s="2581">
        <f ca="1">IF(D32="楼面单价",ROUND(D19,0),D19)</f>
        <v>295</v>
      </c>
      <c r="E102" s="3705"/>
      <c r="F102" s="3662"/>
      <c r="G102" s="1824" t="s">
        <v>1431</v>
      </c>
      <c r="H102" s="2550">
        <f ca="1">I118</f>
        <v>35274</v>
      </c>
      <c r="I102" s="129"/>
    </row>
    <row r="103" spans="1:35" ht="42.75" customHeight="1">
      <c r="A103" s="3664"/>
      <c r="B103" s="2579" t="s">
        <v>1431</v>
      </c>
      <c r="C103" s="2582">
        <f ca="1">C20</f>
        <v>36657</v>
      </c>
      <c r="D103" s="2583">
        <f ca="1">D20</f>
        <v>33891</v>
      </c>
      <c r="E103" s="3699" t="s">
        <v>1432</v>
      </c>
      <c r="F103" s="3700"/>
      <c r="G103" s="1825" t="s">
        <v>1433</v>
      </c>
      <c r="H103" s="2590">
        <f>IF(D36="正常操作",H104+H105+H106,H105+H106)</f>
        <v>0</v>
      </c>
      <c r="I103" s="129"/>
    </row>
    <row r="104" spans="1:35" ht="18.75" customHeight="1">
      <c r="A104" s="3664"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5"/>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61" t="str">
        <f>IF(项目基本情况!E8="已注销","——","3.房地产抵押价值")</f>
        <v>3.房地产抵押价值</v>
      </c>
      <c r="F107" s="3662"/>
      <c r="G107" s="1824" t="s">
        <v>1429</v>
      </c>
      <c r="H107" s="2590">
        <f ca="1">IF(E107="——","——",H101-H103)</f>
        <v>307</v>
      </c>
      <c r="I107" s="129"/>
    </row>
    <row r="108" spans="1:35" ht="18.75" customHeight="1">
      <c r="A108" s="129"/>
      <c r="B108" s="129"/>
      <c r="C108" s="129"/>
      <c r="D108" s="129"/>
      <c r="E108" s="3661"/>
      <c r="F108" s="3662"/>
      <c r="G108" s="1824" t="s">
        <v>1431</v>
      </c>
      <c r="H108" s="2550">
        <f ca="1">IF(H107=H101,H102,ROUND(H107*10000/'数据-汇总表'!E3,0))</f>
        <v>35274</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v>
      </c>
      <c r="F109" s="3662"/>
      <c r="G109" s="1824" t="s">
        <v>1429</v>
      </c>
      <c r="H109" s="2593" t="str">
        <f>IF(E109="——","——",H101-H105-H106)</f>
        <v>——</v>
      </c>
      <c r="I109" s="129"/>
    </row>
    <row r="110" spans="1:35" ht="18.75" customHeight="1">
      <c r="A110" s="129"/>
      <c r="B110" s="129"/>
      <c r="C110" s="129"/>
      <c r="D110" s="129"/>
      <c r="E110" s="3661"/>
      <c r="F110" s="3662"/>
      <c r="G110" s="1824" t="s">
        <v>1431</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4.抵押净值</v>
      </c>
      <c r="F111" s="3663"/>
      <c r="G111" s="1824" t="s">
        <v>1429</v>
      </c>
      <c r="H111" s="2590">
        <f ca="1">IF(E111="——","——",N59)</f>
        <v>46831</v>
      </c>
      <c r="I111" s="129"/>
    </row>
    <row r="112" spans="1:35" ht="18.75" customHeight="1" thickBot="1">
      <c r="A112" s="129"/>
      <c r="B112" s="129"/>
      <c r="C112" s="129"/>
      <c r="D112" s="129"/>
      <c r="E112" s="3694"/>
      <c r="F112" s="3695"/>
      <c r="G112" s="1827" t="s">
        <v>1431</v>
      </c>
      <c r="H112" s="2594">
        <f ca="1">IF(E111="——","——",N61)</f>
        <v>4035764</v>
      </c>
      <c r="I112" s="129"/>
    </row>
    <row r="113" spans="1:27" ht="18.75" customHeight="1">
      <c r="A113" s="129"/>
      <c r="B113" s="129"/>
      <c r="C113" s="129"/>
      <c r="D113" s="129"/>
      <c r="E113" s="3666" t="s">
        <v>1437</v>
      </c>
      <c r="F113" s="3666"/>
      <c r="G113" s="3666"/>
      <c r="H113" s="3666"/>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2" t="s">
        <v>1440</v>
      </c>
      <c r="B116" s="3667" t="s">
        <v>1441</v>
      </c>
      <c r="C116" s="3667" t="s">
        <v>1442</v>
      </c>
      <c r="D116" s="3680" t="s">
        <v>1443</v>
      </c>
      <c r="E116" s="3681"/>
      <c r="F116" s="3675" t="s">
        <v>1444</v>
      </c>
      <c r="G116" s="3675"/>
      <c r="H116" s="3632" t="s">
        <v>1445</v>
      </c>
      <c r="I116" s="3632"/>
    </row>
    <row r="117" spans="1:27" ht="18.75" customHeight="1">
      <c r="A117" s="3632"/>
      <c r="B117" s="3668"/>
      <c r="C117" s="3668"/>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32" t="s">
        <v>1449</v>
      </c>
      <c r="B119" s="3632"/>
      <c r="C119" s="3632"/>
      <c r="D119" s="3672" t="str">
        <f ca="1">NUMBERSTRING(INT(D118*10000),2)&amp;"元整"</f>
        <v>贰佰伍拾贰万元整</v>
      </c>
      <c r="E119" s="3674"/>
      <c r="F119" s="3672" t="str">
        <f ca="1">NUMBERSTRING(INT(F118*10000),2)&amp;"元整"</f>
        <v>伍拾伍万元整</v>
      </c>
      <c r="G119" s="3674"/>
      <c r="H119" s="3672" t="str">
        <f ca="1">NUMBERSTRING(INT(H118*10000),2)&amp;"元整"</f>
        <v>叁佰零柒万元整</v>
      </c>
      <c r="I119" s="3674"/>
    </row>
    <row r="120" spans="1:27" ht="18.75" customHeight="1">
      <c r="A120" s="3696" t="str">
        <f>IF(项目基本情况!B9="房地产市场价值","",MID(E103,3,LEN(E103)-2))</f>
        <v>估价师知悉的法定优先受偿款</v>
      </c>
      <c r="B120" s="3697"/>
      <c r="C120" s="3698"/>
      <c r="D120" s="3696">
        <f>H103</f>
        <v>0</v>
      </c>
      <c r="E120" s="3697"/>
      <c r="F120" s="3697"/>
      <c r="G120" s="3697"/>
      <c r="H120" s="3697"/>
      <c r="I120" s="369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2" t="s">
        <v>1449</v>
      </c>
      <c r="B121" s="3673"/>
      <c r="C121" s="3674"/>
      <c r="D121" s="3672" t="str">
        <f>IF(D120=0,"零元整",NUMBERSTRING(INT(D120*10000),2)&amp;"元整")</f>
        <v>零元整</v>
      </c>
      <c r="E121" s="3673"/>
      <c r="F121" s="3673"/>
      <c r="G121" s="3673"/>
      <c r="H121" s="3673"/>
      <c r="I121" s="3674"/>
      <c r="AA121" s="724"/>
    </row>
    <row r="122" spans="1:27" ht="18.75" customHeight="1">
      <c r="A122" s="3663" t="str">
        <f>IF(项目基本情况!B9="房地产市场价值","",MID(E107,3,LEN(E107)-2))</f>
        <v>房地产抵押价值</v>
      </c>
      <c r="B122" s="3663"/>
      <c r="C122" s="3663"/>
      <c r="D122" s="3696">
        <f ca="1">H107</f>
        <v>307</v>
      </c>
      <c r="E122" s="3697"/>
      <c r="F122" s="3697"/>
      <c r="G122" s="3697"/>
      <c r="H122" s="3697"/>
      <c r="I122" s="3698"/>
      <c r="AA122" s="724"/>
    </row>
    <row r="123" spans="1:27" ht="18.75" customHeight="1">
      <c r="A123" s="3632" t="s">
        <v>1449</v>
      </c>
      <c r="B123" s="3632"/>
      <c r="C123" s="3632"/>
      <c r="D123" s="3672" t="str">
        <f ca="1">NUMBERSTRING(INT(D122*10000),2)&amp;"元整"</f>
        <v>叁佰零柒万元整</v>
      </c>
      <c r="E123" s="3673"/>
      <c r="F123" s="3673"/>
      <c r="G123" s="3673"/>
      <c r="H123" s="3673"/>
      <c r="I123" s="3674"/>
      <c r="AA123" s="724"/>
    </row>
    <row r="124" spans="1:27" ht="18.75" customHeight="1">
      <c r="A124" s="3663" t="str">
        <f>IF(项目基本情况!B9="房地产市场价值","",MID(E109,3,LEN(E109)-2))</f>
        <v/>
      </c>
      <c r="B124" s="3663"/>
      <c r="C124" s="3663"/>
      <c r="D124" s="3696" t="str">
        <f>H109</f>
        <v>——</v>
      </c>
      <c r="E124" s="3697"/>
      <c r="F124" s="3697"/>
      <c r="G124" s="3697"/>
      <c r="H124" s="3697"/>
      <c r="I124" s="3698"/>
      <c r="AA124" s="724"/>
    </row>
    <row r="125" spans="1:27" ht="18.75" customHeight="1">
      <c r="A125" s="3632" t="s">
        <v>1449</v>
      </c>
      <c r="B125" s="3632"/>
      <c r="C125" s="3632"/>
      <c r="D125" s="3672" t="e">
        <f>NUMBERSTRING(INT(D124*10000),2)&amp;"元整"</f>
        <v>#VALUE!</v>
      </c>
      <c r="E125" s="3673"/>
      <c r="F125" s="3673"/>
      <c r="G125" s="3673"/>
      <c r="H125" s="3673"/>
      <c r="I125" s="3674"/>
      <c r="AA125" s="724"/>
    </row>
    <row r="126" spans="1:27" ht="18.75" customHeight="1">
      <c r="A126" s="3663" t="str">
        <f>IF(项目基本情况!B9="房地产市场价值","",MID(E111,3,LEN(E111)-2))</f>
        <v>抵押净值</v>
      </c>
      <c r="B126" s="3663"/>
      <c r="C126" s="3663"/>
      <c r="D126" s="3696">
        <f ca="1">H111</f>
        <v>46831</v>
      </c>
      <c r="E126" s="3697"/>
      <c r="F126" s="3697"/>
      <c r="G126" s="3697"/>
      <c r="H126" s="3697"/>
      <c r="I126" s="3698"/>
      <c r="AA126" s="724"/>
    </row>
    <row r="127" spans="1:27" ht="18.75" customHeight="1">
      <c r="A127" s="3632" t="s">
        <v>1449</v>
      </c>
      <c r="B127" s="3632"/>
      <c r="C127" s="3632"/>
      <c r="D127" s="3672" t="str">
        <f ca="1">NUMBERSTRING(INT(D126*10000),2)&amp;"元整"</f>
        <v>肆亿陆仟捌佰叁拾壹万元整</v>
      </c>
      <c r="E127" s="3673"/>
      <c r="F127" s="3673"/>
      <c r="G127" s="3673"/>
      <c r="H127" s="3673"/>
      <c r="I127" s="3674"/>
      <c r="AA127" s="724"/>
    </row>
    <row r="128" spans="1:27" ht="21.75" customHeight="1">
      <c r="A128" s="3679" t="s">
        <v>1450</v>
      </c>
      <c r="B128" s="3679"/>
      <c r="C128" s="3679"/>
      <c r="D128" s="3679"/>
      <c r="E128" s="3679"/>
      <c r="F128" s="3679"/>
      <c r="G128" s="3679"/>
      <c r="H128" s="3679"/>
      <c r="I128" s="3679"/>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30" t="s">
        <v>1664</v>
      </c>
      <c r="D4" s="3731"/>
      <c r="E4" s="3732" t="s">
        <v>1665</v>
      </c>
      <c r="F4" s="3733"/>
      <c r="G4" s="3730" t="s">
        <v>1666</v>
      </c>
      <c r="H4" s="3731"/>
      <c r="I4" s="3730" t="s">
        <v>1667</v>
      </c>
      <c r="J4" s="3731"/>
      <c r="K4" s="1886" t="s">
        <v>1668</v>
      </c>
      <c r="L4" s="2710"/>
      <c r="M4" s="2711"/>
      <c r="N4" s="2711"/>
      <c r="O4" s="2711"/>
      <c r="P4" s="3734" t="s">
        <v>1669</v>
      </c>
      <c r="Q4" s="3735"/>
      <c r="R4" s="3740" t="s">
        <v>1665</v>
      </c>
      <c r="S4" s="3741"/>
      <c r="T4" s="3740" t="s">
        <v>1666</v>
      </c>
      <c r="U4" s="3741"/>
      <c r="V4" s="3746" t="s">
        <v>1667</v>
      </c>
      <c r="W4" s="3746"/>
      <c r="X4" s="1352"/>
      <c r="Y4" s="3740" t="s">
        <v>1669</v>
      </c>
      <c r="Z4" s="3741"/>
      <c r="AA4" s="3727" t="s">
        <v>1665</v>
      </c>
      <c r="AB4" s="3727" t="s">
        <v>1666</v>
      </c>
      <c r="AC4" s="3727" t="s">
        <v>1667</v>
      </c>
    </row>
    <row r="5" spans="1:29" ht="15">
      <c r="A5" s="358"/>
      <c r="B5" s="359"/>
      <c r="C5" s="3754" t="s">
        <v>1670</v>
      </c>
      <c r="D5" s="3750"/>
      <c r="E5" s="3757" t="s">
        <v>4078</v>
      </c>
      <c r="F5" s="3758"/>
      <c r="G5" s="3749" t="s">
        <v>4079</v>
      </c>
      <c r="H5" s="3750"/>
      <c r="I5" s="3749" t="s">
        <v>4080</v>
      </c>
      <c r="J5" s="3750"/>
      <c r="K5" s="1887"/>
      <c r="L5" s="2710"/>
      <c r="M5" s="2711"/>
      <c r="N5" s="2711"/>
      <c r="O5" s="2711"/>
      <c r="P5" s="3736"/>
      <c r="Q5" s="3737"/>
      <c r="R5" s="3742"/>
      <c r="S5" s="3743"/>
      <c r="T5" s="3742"/>
      <c r="U5" s="3743"/>
      <c r="V5" s="3746"/>
      <c r="W5" s="3746"/>
      <c r="X5" s="1352"/>
      <c r="Y5" s="3742"/>
      <c r="Z5" s="3743"/>
      <c r="AA5" s="3728"/>
      <c r="AB5" s="3728"/>
      <c r="AC5" s="3728"/>
    </row>
    <row r="6" spans="1:29" ht="15.75" thickBot="1">
      <c r="A6" s="360"/>
      <c r="B6" s="361"/>
      <c r="C6" s="3747" t="s">
        <v>1674</v>
      </c>
      <c r="D6" s="3748"/>
      <c r="E6" s="3755" t="s">
        <v>1674</v>
      </c>
      <c r="F6" s="3756"/>
      <c r="G6" s="3747" t="s">
        <v>1674</v>
      </c>
      <c r="H6" s="3748"/>
      <c r="I6" s="3747" t="s">
        <v>1674</v>
      </c>
      <c r="J6" s="3748"/>
      <c r="K6" s="1887" t="s">
        <v>1675</v>
      </c>
      <c r="L6" s="2710"/>
      <c r="M6" s="2711"/>
      <c r="N6" s="2711"/>
      <c r="O6" s="2711"/>
      <c r="P6" s="3738"/>
      <c r="Q6" s="3739"/>
      <c r="R6" s="3742"/>
      <c r="S6" s="3743"/>
      <c r="T6" s="3744"/>
      <c r="U6" s="3745"/>
      <c r="V6" s="3746"/>
      <c r="W6" s="3746"/>
      <c r="X6" s="1352"/>
      <c r="Y6" s="3744"/>
      <c r="Z6" s="3745"/>
      <c r="AA6" s="3729"/>
      <c r="AB6" s="3729"/>
      <c r="AC6" s="3729"/>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51" t="s">
        <v>1677</v>
      </c>
      <c r="Q7" s="3753"/>
      <c r="R7" s="700" t="s">
        <v>20</v>
      </c>
      <c r="S7" s="701">
        <f t="shared" ref="S7:S15" si="0">F7</f>
        <v>100</v>
      </c>
      <c r="T7" s="700" t="s">
        <v>20</v>
      </c>
      <c r="U7" s="701">
        <f t="shared" ref="U7:U15" si="1">H7</f>
        <v>100</v>
      </c>
      <c r="V7" s="700" t="s">
        <v>20</v>
      </c>
      <c r="W7" s="701">
        <f t="shared" ref="W7:W15" si="2">J7</f>
        <v>100</v>
      </c>
      <c r="X7" s="702"/>
      <c r="Y7" s="3751" t="s">
        <v>1677</v>
      </c>
      <c r="Z7" s="3752"/>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51" t="s">
        <v>1680</v>
      </c>
      <c r="Q8" s="3752"/>
      <c r="R8" s="700" t="s">
        <v>20</v>
      </c>
      <c r="S8" s="701">
        <f t="shared" si="0"/>
        <v>100</v>
      </c>
      <c r="T8" s="700" t="s">
        <v>20</v>
      </c>
      <c r="U8" s="701">
        <f t="shared" si="1"/>
        <v>100</v>
      </c>
      <c r="V8" s="700" t="s">
        <v>20</v>
      </c>
      <c r="W8" s="701">
        <f t="shared" si="2"/>
        <v>100</v>
      </c>
      <c r="X8" s="702"/>
      <c r="Y8" s="3751" t="s">
        <v>1680</v>
      </c>
      <c r="Z8" s="3752"/>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6"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26"/>
      <c r="Q10" s="1340" t="str">
        <f t="shared" si="6"/>
        <v>土地使用年限（年）</v>
      </c>
      <c r="R10" s="700" t="s">
        <v>14</v>
      </c>
      <c r="S10" s="701">
        <f t="shared" si="0"/>
        <v>100</v>
      </c>
      <c r="T10" s="700" t="s">
        <v>14</v>
      </c>
      <c r="U10" s="701">
        <f t="shared" si="1"/>
        <v>100</v>
      </c>
      <c r="V10" s="700" t="s">
        <v>14</v>
      </c>
      <c r="W10" s="701">
        <f t="shared" si="2"/>
        <v>98</v>
      </c>
      <c r="X10" s="702"/>
      <c r="Y10" s="3619"/>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6"/>
      <c r="Q11" s="1340" t="str">
        <f t="shared" si="6"/>
        <v>容积率</v>
      </c>
      <c r="R11" s="700" t="s">
        <v>18</v>
      </c>
      <c r="S11" s="701">
        <f t="shared" si="0"/>
        <v>100</v>
      </c>
      <c r="T11" s="700" t="s">
        <v>18</v>
      </c>
      <c r="U11" s="701">
        <f t="shared" si="1"/>
        <v>100</v>
      </c>
      <c r="V11" s="700" t="s">
        <v>18</v>
      </c>
      <c r="W11" s="701">
        <f t="shared" si="2"/>
        <v>100</v>
      </c>
      <c r="X11" s="702"/>
      <c r="Y11" s="3619"/>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6"/>
      <c r="Q12" s="1340">
        <f t="shared" si="6"/>
        <v>111</v>
      </c>
      <c r="R12" s="700" t="s">
        <v>18</v>
      </c>
      <c r="S12" s="701">
        <f t="shared" si="0"/>
        <v>100</v>
      </c>
      <c r="T12" s="700" t="s">
        <v>18</v>
      </c>
      <c r="U12" s="701">
        <f t="shared" si="1"/>
        <v>100</v>
      </c>
      <c r="V12" s="700" t="s">
        <v>18</v>
      </c>
      <c r="W12" s="701">
        <f t="shared" si="2"/>
        <v>100</v>
      </c>
      <c r="X12" s="702"/>
      <c r="Y12" s="361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6"/>
      <c r="Q13" s="1340">
        <f t="shared" si="6"/>
        <v>111</v>
      </c>
      <c r="R13" s="700" t="s">
        <v>18</v>
      </c>
      <c r="S13" s="701">
        <f t="shared" si="0"/>
        <v>100</v>
      </c>
      <c r="T13" s="700" t="s">
        <v>18</v>
      </c>
      <c r="U13" s="701">
        <f t="shared" si="1"/>
        <v>100</v>
      </c>
      <c r="V13" s="700" t="s">
        <v>18</v>
      </c>
      <c r="W13" s="701">
        <f t="shared" si="2"/>
        <v>100</v>
      </c>
      <c r="X13" s="702"/>
      <c r="Y13" s="3619"/>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6"/>
      <c r="Q14" s="1340">
        <f t="shared" si="6"/>
        <v>111</v>
      </c>
      <c r="R14" s="700" t="s">
        <v>18</v>
      </c>
      <c r="S14" s="701">
        <f t="shared" si="0"/>
        <v>100</v>
      </c>
      <c r="T14" s="700" t="s">
        <v>18</v>
      </c>
      <c r="U14" s="701">
        <f t="shared" si="1"/>
        <v>100</v>
      </c>
      <c r="V14" s="700" t="s">
        <v>18</v>
      </c>
      <c r="W14" s="701">
        <f t="shared" si="2"/>
        <v>100</v>
      </c>
      <c r="X14" s="702"/>
      <c r="Y14" s="3619"/>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24" t="s">
        <v>1688</v>
      </c>
      <c r="Q15" s="1349" t="str">
        <f t="shared" si="6"/>
        <v>居住社区成熟度</v>
      </c>
      <c r="R15" s="704" t="s">
        <v>18</v>
      </c>
      <c r="S15" s="705">
        <f t="shared" si="0"/>
        <v>100</v>
      </c>
      <c r="T15" s="704" t="s">
        <v>18</v>
      </c>
      <c r="U15" s="705">
        <f t="shared" si="1"/>
        <v>100</v>
      </c>
      <c r="V15" s="704" t="s">
        <v>18</v>
      </c>
      <c r="W15" s="705">
        <f t="shared" si="2"/>
        <v>100</v>
      </c>
      <c r="X15" s="1352"/>
      <c r="Y15" s="3717"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25"/>
      <c r="Q16" s="1349"/>
      <c r="R16" s="704"/>
      <c r="S16" s="705"/>
      <c r="T16" s="704"/>
      <c r="U16" s="705"/>
      <c r="V16" s="704"/>
      <c r="W16" s="705"/>
      <c r="X16" s="1352"/>
      <c r="Y16" s="3718"/>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25"/>
      <c r="Q17" s="1349" t="str">
        <f>B17</f>
        <v>交通便捷度</v>
      </c>
      <c r="R17" s="704" t="s">
        <v>18</v>
      </c>
      <c r="S17" s="705">
        <f>F17</f>
        <v>100</v>
      </c>
      <c r="T17" s="704" t="s">
        <v>18</v>
      </c>
      <c r="U17" s="705">
        <f>H17</f>
        <v>100</v>
      </c>
      <c r="V17" s="704" t="s">
        <v>18</v>
      </c>
      <c r="W17" s="705">
        <f>J17</f>
        <v>100</v>
      </c>
      <c r="X17" s="1352"/>
      <c r="Y17" s="3718"/>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25"/>
      <c r="Q18" s="1349"/>
      <c r="R18" s="704"/>
      <c r="S18" s="705"/>
      <c r="T18" s="704"/>
      <c r="U18" s="705"/>
      <c r="V18" s="704"/>
      <c r="W18" s="705"/>
      <c r="X18" s="1352"/>
      <c r="Y18" s="3718"/>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25"/>
      <c r="Q19" s="1349" t="str">
        <f>B19</f>
        <v>公共配套设施</v>
      </c>
      <c r="R19" s="704" t="s">
        <v>18</v>
      </c>
      <c r="S19" s="705">
        <f>F19</f>
        <v>100</v>
      </c>
      <c r="T19" s="704" t="s">
        <v>18</v>
      </c>
      <c r="U19" s="705">
        <f>H19</f>
        <v>100</v>
      </c>
      <c r="V19" s="704" t="s">
        <v>18</v>
      </c>
      <c r="W19" s="705">
        <f>J19</f>
        <v>100</v>
      </c>
      <c r="X19" s="1352"/>
      <c r="Y19" s="3718"/>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25"/>
      <c r="Q20" s="1349"/>
      <c r="R20" s="704"/>
      <c r="S20" s="705"/>
      <c r="T20" s="704"/>
      <c r="U20" s="705"/>
      <c r="V20" s="704"/>
      <c r="W20" s="705"/>
      <c r="X20" s="1352"/>
      <c r="Y20" s="3718"/>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25"/>
      <c r="Q22" s="1349"/>
      <c r="R22" s="704"/>
      <c r="S22" s="705"/>
      <c r="T22" s="704"/>
      <c r="U22" s="705"/>
      <c r="V22" s="704"/>
      <c r="W22" s="705"/>
      <c r="X22" s="1352"/>
      <c r="Y22" s="3718"/>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25"/>
      <c r="Q23" s="1349" t="str">
        <f>B23</f>
        <v>自然及人文环境</v>
      </c>
      <c r="R23" s="704" t="s">
        <v>18</v>
      </c>
      <c r="S23" s="705">
        <f>F23</f>
        <v>100</v>
      </c>
      <c r="T23" s="704" t="s">
        <v>18</v>
      </c>
      <c r="U23" s="705">
        <f>H23</f>
        <v>100</v>
      </c>
      <c r="V23" s="704" t="s">
        <v>18</v>
      </c>
      <c r="W23" s="705">
        <f>J23</f>
        <v>100</v>
      </c>
      <c r="X23" s="1352"/>
      <c r="Y23" s="3718"/>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25"/>
      <c r="Q24" s="1349"/>
      <c r="R24" s="704"/>
      <c r="S24" s="705"/>
      <c r="T24" s="704"/>
      <c r="U24" s="705"/>
      <c r="V24" s="704"/>
      <c r="W24" s="705"/>
      <c r="X24" s="1352"/>
      <c r="Y24" s="3718"/>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25"/>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18"/>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25"/>
      <c r="Q26" s="1349" t="str">
        <f t="shared" si="11"/>
        <v>朝向</v>
      </c>
      <c r="R26" s="704" t="s">
        <v>18</v>
      </c>
      <c r="S26" s="705">
        <f t="shared" si="12"/>
        <v>100</v>
      </c>
      <c r="T26" s="704" t="s">
        <v>18</v>
      </c>
      <c r="U26" s="705">
        <f t="shared" si="13"/>
        <v>100</v>
      </c>
      <c r="V26" s="704" t="s">
        <v>18</v>
      </c>
      <c r="W26" s="705">
        <f t="shared" si="14"/>
        <v>100</v>
      </c>
      <c r="X26" s="1352"/>
      <c r="Y26" s="3718"/>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25"/>
      <c r="Q27" s="1340" t="str">
        <f t="shared" si="11"/>
        <v>楼层</v>
      </c>
      <c r="R27" s="700" t="s">
        <v>18</v>
      </c>
      <c r="S27" s="701">
        <f t="shared" si="12"/>
        <v>100</v>
      </c>
      <c r="T27" s="700" t="s">
        <v>18</v>
      </c>
      <c r="U27" s="701">
        <f t="shared" si="13"/>
        <v>100</v>
      </c>
      <c r="V27" s="700" t="s">
        <v>18</v>
      </c>
      <c r="W27" s="701">
        <f t="shared" si="14"/>
        <v>100</v>
      </c>
      <c r="X27" s="702"/>
      <c r="Y27" s="3718"/>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25"/>
      <c r="Q28" s="1349">
        <f t="shared" si="11"/>
        <v>111</v>
      </c>
      <c r="R28" s="704" t="s">
        <v>18</v>
      </c>
      <c r="S28" s="705">
        <f t="shared" si="12"/>
        <v>100</v>
      </c>
      <c r="T28" s="704" t="s">
        <v>18</v>
      </c>
      <c r="U28" s="705">
        <f t="shared" si="13"/>
        <v>100</v>
      </c>
      <c r="V28" s="704" t="s">
        <v>18</v>
      </c>
      <c r="W28" s="705">
        <f t="shared" si="14"/>
        <v>100</v>
      </c>
      <c r="X28" s="1352"/>
      <c r="Y28" s="3718"/>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25"/>
      <c r="Q29" s="1349">
        <f t="shared" si="11"/>
        <v>111</v>
      </c>
      <c r="R29" s="704" t="s">
        <v>18</v>
      </c>
      <c r="S29" s="705">
        <f t="shared" si="12"/>
        <v>100</v>
      </c>
      <c r="T29" s="704" t="s">
        <v>18</v>
      </c>
      <c r="U29" s="705">
        <f t="shared" si="13"/>
        <v>100</v>
      </c>
      <c r="V29" s="704" t="s">
        <v>18</v>
      </c>
      <c r="W29" s="705">
        <f t="shared" si="14"/>
        <v>100</v>
      </c>
      <c r="X29" s="1352"/>
      <c r="Y29" s="3718"/>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25"/>
      <c r="Q30" s="1349">
        <f t="shared" si="11"/>
        <v>111</v>
      </c>
      <c r="R30" s="704" t="s">
        <v>18</v>
      </c>
      <c r="S30" s="705">
        <f t="shared" si="12"/>
        <v>100</v>
      </c>
      <c r="T30" s="704" t="s">
        <v>18</v>
      </c>
      <c r="U30" s="705">
        <f t="shared" si="13"/>
        <v>100</v>
      </c>
      <c r="V30" s="704" t="s">
        <v>18</v>
      </c>
      <c r="W30" s="705">
        <f t="shared" si="14"/>
        <v>100</v>
      </c>
      <c r="X30" s="1352"/>
      <c r="Y30" s="3718"/>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25"/>
      <c r="Q31" s="1349">
        <f t="shared" si="11"/>
        <v>111</v>
      </c>
      <c r="R31" s="704" t="s">
        <v>18</v>
      </c>
      <c r="S31" s="705">
        <f t="shared" si="12"/>
        <v>100</v>
      </c>
      <c r="T31" s="704" t="s">
        <v>18</v>
      </c>
      <c r="U31" s="705">
        <f t="shared" si="13"/>
        <v>100</v>
      </c>
      <c r="V31" s="704" t="s">
        <v>18</v>
      </c>
      <c r="W31" s="705">
        <f t="shared" si="14"/>
        <v>100</v>
      </c>
      <c r="X31" s="1352"/>
      <c r="Y31" s="3718"/>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19" t="s">
        <v>1693</v>
      </c>
      <c r="Q32" s="1349" t="str">
        <f t="shared" si="11"/>
        <v>建筑类型</v>
      </c>
      <c r="R32" s="704" t="s">
        <v>18</v>
      </c>
      <c r="S32" s="705">
        <f t="shared" si="12"/>
        <v>100</v>
      </c>
      <c r="T32" s="704" t="s">
        <v>18</v>
      </c>
      <c r="U32" s="705">
        <f t="shared" si="13"/>
        <v>98</v>
      </c>
      <c r="V32" s="704" t="s">
        <v>18</v>
      </c>
      <c r="W32" s="705">
        <f t="shared" si="14"/>
        <v>98</v>
      </c>
      <c r="X32" s="1352"/>
      <c r="Y32" s="3722"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20"/>
      <c r="Q33" s="706" t="str">
        <f t="shared" si="11"/>
        <v>项目建筑规模</v>
      </c>
      <c r="R33" s="707" t="s">
        <v>18</v>
      </c>
      <c r="S33" s="708">
        <f t="shared" si="12"/>
        <v>100</v>
      </c>
      <c r="T33" s="707" t="s">
        <v>18</v>
      </c>
      <c r="U33" s="708">
        <f t="shared" si="13"/>
        <v>100</v>
      </c>
      <c r="V33" s="707" t="s">
        <v>18</v>
      </c>
      <c r="W33" s="708">
        <f t="shared" si="14"/>
        <v>99</v>
      </c>
      <c r="X33" s="709"/>
      <c r="Y33" s="3722"/>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20"/>
      <c r="Q34" s="1349" t="str">
        <f t="shared" si="11"/>
        <v>建筑结构</v>
      </c>
      <c r="R34" s="704" t="s">
        <v>18</v>
      </c>
      <c r="S34" s="705">
        <f t="shared" si="12"/>
        <v>100</v>
      </c>
      <c r="T34" s="704" t="s">
        <v>18</v>
      </c>
      <c r="U34" s="705">
        <f t="shared" si="13"/>
        <v>100</v>
      </c>
      <c r="V34" s="704" t="s">
        <v>18</v>
      </c>
      <c r="W34" s="705">
        <f t="shared" si="14"/>
        <v>100</v>
      </c>
      <c r="X34" s="1352"/>
      <c r="Y34" s="3722"/>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20"/>
      <c r="Q35" s="1349" t="str">
        <f t="shared" si="11"/>
        <v>建筑品质</v>
      </c>
      <c r="R35" s="704" t="s">
        <v>18</v>
      </c>
      <c r="S35" s="705">
        <f t="shared" si="12"/>
        <v>100</v>
      </c>
      <c r="T35" s="704" t="s">
        <v>18</v>
      </c>
      <c r="U35" s="705">
        <f t="shared" si="13"/>
        <v>100</v>
      </c>
      <c r="V35" s="704" t="s">
        <v>18</v>
      </c>
      <c r="W35" s="705">
        <f t="shared" si="14"/>
        <v>100</v>
      </c>
      <c r="X35" s="1352"/>
      <c r="Y35" s="3722"/>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20"/>
      <c r="Q36" s="1349" t="str">
        <f t="shared" si="11"/>
        <v>公共部分装修</v>
      </c>
      <c r="R36" s="704" t="s">
        <v>18</v>
      </c>
      <c r="S36" s="705">
        <f t="shared" si="12"/>
        <v>100</v>
      </c>
      <c r="T36" s="704" t="s">
        <v>18</v>
      </c>
      <c r="U36" s="705">
        <f t="shared" si="13"/>
        <v>100</v>
      </c>
      <c r="V36" s="704" t="s">
        <v>18</v>
      </c>
      <c r="W36" s="705">
        <f t="shared" si="14"/>
        <v>100</v>
      </c>
      <c r="X36" s="1352"/>
      <c r="Y36" s="3722"/>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20"/>
      <c r="Q37" s="1340" t="str">
        <f t="shared" si="11"/>
        <v>成新度</v>
      </c>
      <c r="R37" s="700" t="s">
        <v>18</v>
      </c>
      <c r="S37" s="701">
        <f t="shared" si="12"/>
        <v>100</v>
      </c>
      <c r="T37" s="700" t="s">
        <v>18</v>
      </c>
      <c r="U37" s="701">
        <f t="shared" si="13"/>
        <v>100</v>
      </c>
      <c r="V37" s="700" t="s">
        <v>18</v>
      </c>
      <c r="W37" s="701">
        <f t="shared" si="14"/>
        <v>100</v>
      </c>
      <c r="X37" s="702"/>
      <c r="Y37" s="3722"/>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20" t="s">
        <v>1693</v>
      </c>
      <c r="Q38" s="1349" t="str">
        <f t="shared" si="11"/>
        <v>物业管理</v>
      </c>
      <c r="R38" s="704" t="s">
        <v>18</v>
      </c>
      <c r="S38" s="705">
        <f t="shared" si="12"/>
        <v>100</v>
      </c>
      <c r="T38" s="704" t="s">
        <v>18</v>
      </c>
      <c r="U38" s="705">
        <f t="shared" si="13"/>
        <v>100</v>
      </c>
      <c r="V38" s="704" t="s">
        <v>18</v>
      </c>
      <c r="W38" s="705">
        <f t="shared" si="14"/>
        <v>100</v>
      </c>
      <c r="X38" s="1352"/>
      <c r="Y38" s="3722"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20"/>
      <c r="Q39" s="1349" t="str">
        <f t="shared" si="11"/>
        <v>市政基础设施</v>
      </c>
      <c r="R39" s="704" t="s">
        <v>18</v>
      </c>
      <c r="S39" s="705">
        <f t="shared" si="12"/>
        <v>100</v>
      </c>
      <c r="T39" s="704" t="s">
        <v>18</v>
      </c>
      <c r="U39" s="705">
        <f t="shared" si="13"/>
        <v>100</v>
      </c>
      <c r="V39" s="704" t="s">
        <v>18</v>
      </c>
      <c r="W39" s="705">
        <f t="shared" si="14"/>
        <v>100</v>
      </c>
      <c r="X39" s="1352"/>
      <c r="Y39" s="3722"/>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20"/>
      <c r="Q40" s="1349" t="str">
        <f t="shared" si="11"/>
        <v>房型</v>
      </c>
      <c r="R40" s="704" t="s">
        <v>18</v>
      </c>
      <c r="S40" s="705">
        <f t="shared" si="12"/>
        <v>100</v>
      </c>
      <c r="T40" s="704" t="s">
        <v>18</v>
      </c>
      <c r="U40" s="705">
        <f t="shared" si="13"/>
        <v>100</v>
      </c>
      <c r="V40" s="704" t="s">
        <v>18</v>
      </c>
      <c r="W40" s="705">
        <f t="shared" si="14"/>
        <v>100</v>
      </c>
      <c r="X40" s="1352"/>
      <c r="Y40" s="3722"/>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20"/>
      <c r="Q42" s="1349" t="str">
        <f t="shared" si="11"/>
        <v>内部装修</v>
      </c>
      <c r="R42" s="704" t="s">
        <v>18</v>
      </c>
      <c r="S42" s="705">
        <f t="shared" si="12"/>
        <v>97</v>
      </c>
      <c r="T42" s="704" t="s">
        <v>18</v>
      </c>
      <c r="U42" s="705">
        <f t="shared" si="13"/>
        <v>100</v>
      </c>
      <c r="V42" s="704" t="s">
        <v>18</v>
      </c>
      <c r="W42" s="705">
        <f t="shared" si="14"/>
        <v>97</v>
      </c>
      <c r="X42" s="1352"/>
      <c r="Y42" s="3722"/>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20"/>
      <c r="Q43" s="1349" t="str">
        <f t="shared" si="11"/>
        <v>内部装修维护情况</v>
      </c>
      <c r="R43" s="704" t="s">
        <v>18</v>
      </c>
      <c r="S43" s="705">
        <f t="shared" si="12"/>
        <v>100</v>
      </c>
      <c r="T43" s="704" t="s">
        <v>18</v>
      </c>
      <c r="U43" s="705">
        <f t="shared" si="13"/>
        <v>100</v>
      </c>
      <c r="V43" s="704" t="s">
        <v>18</v>
      </c>
      <c r="W43" s="705">
        <f t="shared" si="14"/>
        <v>100</v>
      </c>
      <c r="X43" s="1352"/>
      <c r="Y43" s="3722"/>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20"/>
      <c r="Q44" s="1340" t="str">
        <f t="shared" si="11"/>
        <v>尾盘</v>
      </c>
      <c r="R44" s="700" t="s">
        <v>18</v>
      </c>
      <c r="S44" s="701">
        <f t="shared" si="12"/>
        <v>98</v>
      </c>
      <c r="T44" s="700" t="s">
        <v>18</v>
      </c>
      <c r="U44" s="701">
        <f t="shared" si="13"/>
        <v>98</v>
      </c>
      <c r="V44" s="700" t="s">
        <v>18</v>
      </c>
      <c r="W44" s="701">
        <f t="shared" si="14"/>
        <v>100</v>
      </c>
      <c r="X44" s="702"/>
      <c r="Y44" s="3722"/>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20"/>
      <c r="Q45" s="1349" t="str">
        <f t="shared" si="11"/>
        <v>现房</v>
      </c>
      <c r="R45" s="704" t="s">
        <v>18</v>
      </c>
      <c r="S45" s="705">
        <f t="shared" si="12"/>
        <v>100</v>
      </c>
      <c r="T45" s="704" t="s">
        <v>18</v>
      </c>
      <c r="U45" s="705">
        <f t="shared" si="13"/>
        <v>100</v>
      </c>
      <c r="V45" s="704" t="s">
        <v>18</v>
      </c>
      <c r="W45" s="705">
        <f t="shared" si="14"/>
        <v>100</v>
      </c>
      <c r="X45" s="1352"/>
      <c r="Y45" s="3722"/>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21"/>
      <c r="Q46" s="1349">
        <f t="shared" si="11"/>
        <v>111</v>
      </c>
      <c r="R46" s="704" t="s">
        <v>17</v>
      </c>
      <c r="S46" s="705">
        <f t="shared" si="12"/>
        <v>100</v>
      </c>
      <c r="T46" s="704" t="s">
        <v>17</v>
      </c>
      <c r="U46" s="705">
        <f t="shared" si="13"/>
        <v>100</v>
      </c>
      <c r="V46" s="704" t="s">
        <v>17</v>
      </c>
      <c r="W46" s="705">
        <f t="shared" si="14"/>
        <v>100</v>
      </c>
      <c r="X46" s="1352"/>
      <c r="Y46" s="3723"/>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15" t="str">
        <f>A47</f>
        <v>成交单价（元/平方米）</v>
      </c>
      <c r="Q47" s="3715"/>
      <c r="R47" s="3716">
        <f>E47</f>
        <v>38379</v>
      </c>
      <c r="S47" s="3716"/>
      <c r="T47" s="3716">
        <f>G47</f>
        <v>35578</v>
      </c>
      <c r="U47" s="3716"/>
      <c r="V47" s="3716">
        <f>I47</f>
        <v>30022</v>
      </c>
      <c r="W47" s="3716"/>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15" t="str">
        <f>A48</f>
        <v>比较价值（元/平方米）</v>
      </c>
      <c r="Q48" s="3715"/>
      <c r="R48" s="3716">
        <f>IF(F1="售价",ROUND(PRODUCT(R47,AA7:AA46),0),ROUND(PRODUCT(R47,AA7:AA46),1))</f>
        <v>40373</v>
      </c>
      <c r="S48" s="3716"/>
      <c r="T48" s="3716">
        <f>IF(F1="售价",ROUND(PRODUCT(T47,AB7:AB46),0),ROUND(PRODUCT(T47,AB7:AB46),1))</f>
        <v>37045</v>
      </c>
      <c r="U48" s="3716"/>
      <c r="V48" s="3716">
        <f>IF(F1="售价",ROUND(PRODUCT(V47,AC7:AC46),0),ROUND(PRODUCT(V47,AC7:AC46),1))</f>
        <v>32552</v>
      </c>
      <c r="W48" s="3716"/>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12" t="str">
        <f>A49</f>
        <v>估价对象XX用房的比较价值（楼面单价，元/平方米）</v>
      </c>
      <c r="Q49" s="3713"/>
      <c r="R49" s="3714">
        <f>IF(F1="售价",ROUND(IF(D48="简单平均",AVERAGE(R48:V48),R48*F48+T48*H48+V48*J48),0),ROUND(IF(D48="简单平均",AVERAGE(R48:V48),R48*F48+T48*H48+V48*J48),1))</f>
        <v>36657</v>
      </c>
      <c r="S49" s="3714"/>
      <c r="T49" s="3714"/>
      <c r="U49" s="3714"/>
      <c r="V49" s="3714"/>
      <c r="W49" s="3714"/>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9" t="s">
        <v>1541</v>
      </c>
    </row>
    <row r="43" spans="1:7" ht="13.5" customHeight="1">
      <c r="A43" s="779" t="s">
        <v>347</v>
      </c>
      <c r="B43" s="215" t="s">
        <v>1542</v>
      </c>
      <c r="C43" s="238">
        <f ca="1">ROUND(IF('数据-取费表'!B22&lt;=1,C39*F22*'数据-取费表'!B21/2,C39*(POWER((1+F22),'数据-取费表'!B21/2)-1)),0)</f>
        <v>0</v>
      </c>
      <c r="D43" s="238"/>
      <c r="E43" s="238"/>
      <c r="F43" s="239"/>
      <c r="G43" s="3760"/>
    </row>
    <row r="44" spans="1:7" ht="13.5" customHeight="1">
      <c r="A44" s="779" t="s">
        <v>348</v>
      </c>
      <c r="B44" s="215" t="s">
        <v>1543</v>
      </c>
      <c r="C44" s="238">
        <f ca="1">ROUND(IF('数据-取费表'!B22&lt;=1,C40*F22*'数据-取费表'!B21/2,C40*(POWER((1+F22),'数据-取费表'!B21/2)-1)),4)</f>
        <v>6.9999999999999999E-4</v>
      </c>
      <c r="D44" s="238"/>
      <c r="E44" s="238"/>
      <c r="F44" s="239"/>
      <c r="G44" s="3761"/>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9" t="s">
        <v>1588</v>
      </c>
    </row>
    <row r="43" spans="1:8" ht="13.5" customHeight="1">
      <c r="A43" s="779" t="s">
        <v>347</v>
      </c>
      <c r="B43" s="215" t="s">
        <v>1542</v>
      </c>
      <c r="C43" s="238">
        <f ca="1">ROUND(IF('数据-取费表'!B22&lt;=1,C39*F22*'数据-取费表'!B20/2,C39*(POWER((1+F22),'数据-取费表'!B20/2)-1)),0)</f>
        <v>280</v>
      </c>
      <c r="D43" s="238"/>
      <c r="E43" s="238"/>
      <c r="F43" s="239"/>
      <c r="G43" s="3760"/>
    </row>
    <row r="44" spans="1:8" ht="13.5" customHeight="1">
      <c r="A44" s="779" t="s">
        <v>348</v>
      </c>
      <c r="B44" s="215" t="s">
        <v>1543</v>
      </c>
      <c r="C44" s="238">
        <f ca="1">ROUND(IF('数据-取费表'!B22&lt;=1,C40*F22*'数据-取费表'!B20/2,C40*(POWER((1+F22),'数据-取费表'!B20/2)-1)),4)</f>
        <v>6.9999999999999999E-4</v>
      </c>
      <c r="D44" s="238"/>
      <c r="E44" s="238"/>
      <c r="F44" s="239"/>
      <c r="G44" s="3761"/>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40" t="s">
        <v>1768</v>
      </c>
      <c r="S4" s="3741"/>
      <c r="T4" s="3740" t="s">
        <v>1769</v>
      </c>
      <c r="U4" s="3741"/>
      <c r="V4" s="3746" t="s">
        <v>1770</v>
      </c>
      <c r="W4" s="3746"/>
      <c r="X4" s="1352"/>
      <c r="Y4" s="3740" t="s">
        <v>1772</v>
      </c>
      <c r="Z4" s="3741"/>
      <c r="AA4" s="3727" t="s">
        <v>1768</v>
      </c>
      <c r="AB4" s="3728" t="s">
        <v>1769</v>
      </c>
      <c r="AC4" s="3727" t="s">
        <v>1770</v>
      </c>
    </row>
    <row r="5" spans="1:30" ht="15">
      <c r="A5" s="358"/>
      <c r="B5" s="359"/>
      <c r="C5" s="3754" t="s">
        <v>1670</v>
      </c>
      <c r="D5" s="3750"/>
      <c r="E5" s="3766" t="str">
        <f>土地案例!$A$6</f>
        <v>北京市大兴区大兴新城西片区一期A组团土地一级开发项目DX00-0407-0002地块R2二类居住用地</v>
      </c>
      <c r="F5" s="3758"/>
      <c r="G5" s="3754" t="str">
        <f>土地案例!$A$13</f>
        <v>北京市房山区良乡大学城主园区FS00-0120-0023地块R2二类居住用地</v>
      </c>
      <c r="H5" s="3750"/>
      <c r="I5" s="3754" t="str">
        <f>土地案例!$A$14</f>
        <v>北京市门头沟区永定镇南区棚户区改造和环境整治项目MC00-0015-6050地块R2二类居住用地</v>
      </c>
      <c r="J5" s="3750"/>
      <c r="K5" s="559"/>
      <c r="L5" s="2710"/>
      <c r="M5" s="2711"/>
      <c r="N5" s="2711"/>
      <c r="O5" s="2711"/>
      <c r="P5" s="3736"/>
      <c r="Q5" s="3737"/>
      <c r="R5" s="3742"/>
      <c r="S5" s="3743"/>
      <c r="T5" s="3742"/>
      <c r="U5" s="3743"/>
      <c r="V5" s="3746"/>
      <c r="W5" s="3746"/>
      <c r="X5" s="1352"/>
      <c r="Y5" s="3742"/>
      <c r="Z5" s="3743"/>
      <c r="AA5" s="3728"/>
      <c r="AB5" s="3728"/>
      <c r="AC5" s="3728"/>
    </row>
    <row r="6" spans="1:30" ht="15.75" thickBot="1">
      <c r="A6" s="360"/>
      <c r="B6" s="361"/>
      <c r="C6" s="3747" t="s">
        <v>1674</v>
      </c>
      <c r="D6" s="3748"/>
      <c r="E6" s="3755" t="s">
        <v>1674</v>
      </c>
      <c r="F6" s="3756"/>
      <c r="G6" s="3747" t="s">
        <v>1674</v>
      </c>
      <c r="H6" s="3748"/>
      <c r="I6" s="3747" t="s">
        <v>1674</v>
      </c>
      <c r="J6" s="3748"/>
      <c r="K6" s="559" t="s">
        <v>1675</v>
      </c>
      <c r="L6" s="2710"/>
      <c r="M6" s="2711"/>
      <c r="N6" s="2711"/>
      <c r="O6" s="2711"/>
      <c r="P6" s="3738"/>
      <c r="Q6" s="3739"/>
      <c r="R6" s="3742"/>
      <c r="S6" s="3743"/>
      <c r="T6" s="3744"/>
      <c r="U6" s="3745"/>
      <c r="V6" s="3746"/>
      <c r="W6" s="3746"/>
      <c r="X6" s="1352"/>
      <c r="Y6" s="3744"/>
      <c r="Z6" s="3745"/>
      <c r="AA6" s="3729"/>
      <c r="AB6" s="3729"/>
      <c r="AC6" s="3729"/>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51" t="s">
        <v>1677</v>
      </c>
      <c r="Q7" s="3753"/>
      <c r="R7" s="700" t="s">
        <v>14</v>
      </c>
      <c r="S7" s="701">
        <f t="shared" ref="S7:S15" si="0">F7</f>
        <v>99</v>
      </c>
      <c r="T7" s="700" t="s">
        <v>14</v>
      </c>
      <c r="U7" s="701">
        <f t="shared" ref="U7:U15" si="1">H7</f>
        <v>98.5</v>
      </c>
      <c r="V7" s="700" t="s">
        <v>14</v>
      </c>
      <c r="W7" s="701">
        <f t="shared" ref="W7:W15" si="2">J7</f>
        <v>98</v>
      </c>
      <c r="X7" s="702"/>
      <c r="Y7" s="3751" t="s">
        <v>1677</v>
      </c>
      <c r="Z7" s="3752"/>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51" t="s">
        <v>1680</v>
      </c>
      <c r="Q8" s="3752"/>
      <c r="R8" s="700" t="s">
        <v>14</v>
      </c>
      <c r="S8" s="701">
        <f t="shared" si="0"/>
        <v>100</v>
      </c>
      <c r="T8" s="700" t="s">
        <v>14</v>
      </c>
      <c r="U8" s="701">
        <f t="shared" si="1"/>
        <v>100</v>
      </c>
      <c r="V8" s="700" t="s">
        <v>14</v>
      </c>
      <c r="W8" s="701">
        <f t="shared" si="2"/>
        <v>100</v>
      </c>
      <c r="X8" s="702"/>
      <c r="Y8" s="3751" t="s">
        <v>1680</v>
      </c>
      <c r="Z8" s="3752"/>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15"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15"/>
      <c r="Q10" s="1340" t="str">
        <f t="shared" si="6"/>
        <v>土地使用年限（年）</v>
      </c>
      <c r="R10" s="700" t="s">
        <v>14</v>
      </c>
      <c r="S10" s="701">
        <f t="shared" si="0"/>
        <v>101</v>
      </c>
      <c r="T10" s="700" t="s">
        <v>14</v>
      </c>
      <c r="U10" s="701">
        <f t="shared" si="1"/>
        <v>101</v>
      </c>
      <c r="V10" s="700" t="s">
        <v>14</v>
      </c>
      <c r="W10" s="701">
        <f t="shared" si="2"/>
        <v>101</v>
      </c>
      <c r="X10" s="702"/>
      <c r="Y10" s="3619"/>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15"/>
      <c r="Q11" s="1340" t="str">
        <f t="shared" si="6"/>
        <v>容积率</v>
      </c>
      <c r="R11" s="700" t="s">
        <v>14</v>
      </c>
      <c r="S11" s="701">
        <f t="shared" si="0"/>
        <v>103</v>
      </c>
      <c r="T11" s="700" t="s">
        <v>14</v>
      </c>
      <c r="U11" s="701">
        <f t="shared" si="1"/>
        <v>97</v>
      </c>
      <c r="V11" s="700" t="s">
        <v>14</v>
      </c>
      <c r="W11" s="701">
        <f t="shared" si="2"/>
        <v>106</v>
      </c>
      <c r="X11" s="702"/>
      <c r="Y11" s="3619"/>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5"/>
      <c r="Q12" s="1340" t="str">
        <f t="shared" si="6"/>
        <v>配建</v>
      </c>
      <c r="R12" s="700" t="s">
        <v>14</v>
      </c>
      <c r="S12" s="701">
        <f t="shared" si="0"/>
        <v>100</v>
      </c>
      <c r="T12" s="700" t="s">
        <v>14</v>
      </c>
      <c r="U12" s="701">
        <f t="shared" si="1"/>
        <v>100</v>
      </c>
      <c r="V12" s="700" t="s">
        <v>14</v>
      </c>
      <c r="W12" s="701">
        <f t="shared" si="2"/>
        <v>100</v>
      </c>
      <c r="X12" s="702"/>
      <c r="Y12" s="3619"/>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5"/>
      <c r="Q13" s="1340">
        <f t="shared" si="6"/>
        <v>111</v>
      </c>
      <c r="R13" s="700" t="s">
        <v>14</v>
      </c>
      <c r="S13" s="701">
        <f t="shared" si="0"/>
        <v>100</v>
      </c>
      <c r="T13" s="700" t="s">
        <v>14</v>
      </c>
      <c r="U13" s="701">
        <f t="shared" si="1"/>
        <v>100</v>
      </c>
      <c r="V13" s="700" t="s">
        <v>14</v>
      </c>
      <c r="W13" s="701">
        <f t="shared" si="2"/>
        <v>100</v>
      </c>
      <c r="X13" s="702"/>
      <c r="Y13" s="3619"/>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5"/>
      <c r="Q14" s="1340">
        <f t="shared" si="6"/>
        <v>111</v>
      </c>
      <c r="R14" s="700" t="s">
        <v>14</v>
      </c>
      <c r="S14" s="701">
        <f t="shared" si="0"/>
        <v>100</v>
      </c>
      <c r="T14" s="700" t="s">
        <v>14</v>
      </c>
      <c r="U14" s="701">
        <f t="shared" si="1"/>
        <v>100</v>
      </c>
      <c r="V14" s="700" t="s">
        <v>14</v>
      </c>
      <c r="W14" s="701">
        <f t="shared" si="2"/>
        <v>100</v>
      </c>
      <c r="X14" s="702"/>
      <c r="Y14" s="3619"/>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7" t="s">
        <v>1688</v>
      </c>
      <c r="Q15" s="1349" t="str">
        <f t="shared" si="6"/>
        <v>居住社区成熟度</v>
      </c>
      <c r="R15" s="704" t="s">
        <v>14</v>
      </c>
      <c r="S15" s="705">
        <f t="shared" si="0"/>
        <v>100</v>
      </c>
      <c r="T15" s="704" t="s">
        <v>14</v>
      </c>
      <c r="U15" s="705">
        <f t="shared" si="1"/>
        <v>110</v>
      </c>
      <c r="V15" s="704" t="s">
        <v>14</v>
      </c>
      <c r="W15" s="705">
        <f t="shared" si="2"/>
        <v>110</v>
      </c>
      <c r="X15" s="1352"/>
      <c r="Y15" s="3717"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18"/>
      <c r="Q16" s="1349"/>
      <c r="R16" s="704"/>
      <c r="S16" s="705"/>
      <c r="T16" s="704"/>
      <c r="U16" s="705"/>
      <c r="V16" s="704"/>
      <c r="W16" s="705"/>
      <c r="X16" s="1352"/>
      <c r="Y16" s="3718"/>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8"/>
      <c r="Q17" s="1349" t="str">
        <f>B17</f>
        <v>商业繁华度</v>
      </c>
      <c r="R17" s="704" t="s">
        <v>14</v>
      </c>
      <c r="S17" s="705">
        <f>F17</f>
        <v>100</v>
      </c>
      <c r="T17" s="704" t="s">
        <v>14</v>
      </c>
      <c r="U17" s="705">
        <f>H17</f>
        <v>100</v>
      </c>
      <c r="V17" s="704" t="s">
        <v>14</v>
      </c>
      <c r="W17" s="705">
        <f>J17</f>
        <v>100</v>
      </c>
      <c r="X17" s="1352"/>
      <c r="Y17" s="3718"/>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18"/>
      <c r="Q18" s="1349"/>
      <c r="R18" s="704"/>
      <c r="S18" s="705"/>
      <c r="T18" s="704"/>
      <c r="U18" s="705"/>
      <c r="V18" s="704"/>
      <c r="W18" s="705"/>
      <c r="X18" s="1352"/>
      <c r="Y18" s="3718"/>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8"/>
      <c r="Q19" s="1349" t="str">
        <f>B19</f>
        <v>办公集聚程度</v>
      </c>
      <c r="R19" s="704" t="s">
        <v>14</v>
      </c>
      <c r="S19" s="705">
        <f>F19</f>
        <v>100</v>
      </c>
      <c r="T19" s="704" t="s">
        <v>14</v>
      </c>
      <c r="U19" s="705">
        <f>H19</f>
        <v>100</v>
      </c>
      <c r="V19" s="704" t="s">
        <v>14</v>
      </c>
      <c r="W19" s="705">
        <f>J19</f>
        <v>100</v>
      </c>
      <c r="X19" s="1352"/>
      <c r="Y19" s="3718"/>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18"/>
      <c r="Q20" s="1349"/>
      <c r="R20" s="704"/>
      <c r="S20" s="705"/>
      <c r="T20" s="704"/>
      <c r="U20" s="705"/>
      <c r="V20" s="704"/>
      <c r="W20" s="705"/>
      <c r="X20" s="1352"/>
      <c r="Y20" s="3718"/>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18"/>
      <c r="Q21" s="1349" t="str">
        <f>B21</f>
        <v>交通便捷度</v>
      </c>
      <c r="R21" s="704" t="s">
        <v>14</v>
      </c>
      <c r="S21" s="705">
        <f>F21</f>
        <v>100</v>
      </c>
      <c r="T21" s="704" t="s">
        <v>14</v>
      </c>
      <c r="U21" s="705">
        <f>H21</f>
        <v>103</v>
      </c>
      <c r="V21" s="704" t="s">
        <v>14</v>
      </c>
      <c r="W21" s="705">
        <f>J21</f>
        <v>103</v>
      </c>
      <c r="X21" s="1352"/>
      <c r="Y21" s="3718"/>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18"/>
      <c r="Q22" s="1349"/>
      <c r="R22" s="704"/>
      <c r="S22" s="705"/>
      <c r="T22" s="704"/>
      <c r="U22" s="705"/>
      <c r="V22" s="704"/>
      <c r="W22" s="705"/>
      <c r="X22" s="1352"/>
      <c r="Y22" s="3718"/>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18"/>
      <c r="Q23" s="1349" t="str">
        <f t="shared" ref="Q23:Q37" si="8">B23</f>
        <v>区域土地利用方向</v>
      </c>
      <c r="R23" s="704" t="s">
        <v>14</v>
      </c>
      <c r="S23" s="705">
        <f>F23</f>
        <v>100</v>
      </c>
      <c r="T23" s="704" t="s">
        <v>14</v>
      </c>
      <c r="U23" s="705">
        <f>H23</f>
        <v>100</v>
      </c>
      <c r="V23" s="704" t="s">
        <v>14</v>
      </c>
      <c r="W23" s="705">
        <f>J23</f>
        <v>100</v>
      </c>
      <c r="X23" s="1352"/>
      <c r="Y23" s="3718"/>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18"/>
      <c r="Q24" s="1349"/>
      <c r="R24" s="704"/>
      <c r="S24" s="705"/>
      <c r="T24" s="704"/>
      <c r="U24" s="705"/>
      <c r="V24" s="704"/>
      <c r="W24" s="705"/>
      <c r="X24" s="1352"/>
      <c r="Y24" s="3718"/>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18"/>
      <c r="Q25" s="1349" t="str">
        <f t="shared" si="8"/>
        <v>自然及人文环境状况</v>
      </c>
      <c r="R25" s="704" t="s">
        <v>14</v>
      </c>
      <c r="S25" s="705">
        <f>F25</f>
        <v>103</v>
      </c>
      <c r="T25" s="704" t="s">
        <v>14</v>
      </c>
      <c r="U25" s="705">
        <f>H25</f>
        <v>103</v>
      </c>
      <c r="V25" s="704" t="s">
        <v>14</v>
      </c>
      <c r="W25" s="705">
        <f>J25</f>
        <v>100</v>
      </c>
      <c r="X25" s="1352"/>
      <c r="Y25" s="3718"/>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18"/>
      <c r="Q26" s="1349"/>
      <c r="R26" s="704"/>
      <c r="S26" s="705"/>
      <c r="T26" s="704"/>
      <c r="U26" s="705"/>
      <c r="V26" s="704"/>
      <c r="W26" s="705"/>
      <c r="X26" s="1352"/>
      <c r="Y26" s="3718"/>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18"/>
      <c r="Q27" s="1340" t="str">
        <f t="shared" si="8"/>
        <v>公共配套设施</v>
      </c>
      <c r="R27" s="700" t="s">
        <v>14</v>
      </c>
      <c r="S27" s="701">
        <f>F27</f>
        <v>100</v>
      </c>
      <c r="T27" s="700" t="s">
        <v>14</v>
      </c>
      <c r="U27" s="701">
        <f>H27</f>
        <v>103</v>
      </c>
      <c r="V27" s="700" t="s">
        <v>14</v>
      </c>
      <c r="W27" s="701">
        <f>J27</f>
        <v>103</v>
      </c>
      <c r="X27" s="702"/>
      <c r="Y27" s="3718"/>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18"/>
      <c r="Q28" s="1340"/>
      <c r="R28" s="700"/>
      <c r="S28" s="701"/>
      <c r="T28" s="700"/>
      <c r="U28" s="701"/>
      <c r="V28" s="700"/>
      <c r="W28" s="701"/>
      <c r="X28" s="702"/>
      <c r="Y28" s="3718"/>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18"/>
      <c r="Q29" s="1340"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18"/>
      <c r="Q30" s="1340"/>
      <c r="R30" s="700"/>
      <c r="S30" s="701"/>
      <c r="T30" s="700"/>
      <c r="U30" s="701"/>
      <c r="V30" s="700"/>
      <c r="W30" s="701"/>
      <c r="X30" s="702"/>
      <c r="Y30" s="3718"/>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8"/>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18"/>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8"/>
      <c r="Q32" s="1349" t="str">
        <f t="shared" si="8"/>
        <v>毗邻道路的类型与等级</v>
      </c>
      <c r="R32" s="704" t="s">
        <v>14</v>
      </c>
      <c r="S32" s="705">
        <f t="shared" si="10"/>
        <v>100</v>
      </c>
      <c r="T32" s="704" t="s">
        <v>14</v>
      </c>
      <c r="U32" s="705">
        <f t="shared" si="11"/>
        <v>100</v>
      </c>
      <c r="V32" s="704" t="s">
        <v>14</v>
      </c>
      <c r="W32" s="705">
        <f t="shared" si="12"/>
        <v>100</v>
      </c>
      <c r="X32" s="1352"/>
      <c r="Y32" s="3718"/>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18"/>
      <c r="Q33" s="1349"/>
      <c r="R33" s="704"/>
      <c r="S33" s="705"/>
      <c r="T33" s="704"/>
      <c r="U33" s="705"/>
      <c r="V33" s="704"/>
      <c r="W33" s="705"/>
      <c r="X33" s="1352"/>
      <c r="Y33" s="3718"/>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18"/>
      <c r="Q34" s="1349" t="str">
        <f t="shared" si="8"/>
        <v>土地级别</v>
      </c>
      <c r="R34" s="704" t="s">
        <v>14</v>
      </c>
      <c r="S34" s="705">
        <f t="shared" si="10"/>
        <v>102</v>
      </c>
      <c r="T34" s="704" t="s">
        <v>14</v>
      </c>
      <c r="U34" s="705">
        <f t="shared" si="11"/>
        <v>104</v>
      </c>
      <c r="V34" s="704" t="s">
        <v>14</v>
      </c>
      <c r="W34" s="705">
        <f t="shared" si="12"/>
        <v>104</v>
      </c>
      <c r="X34" s="1352"/>
      <c r="Y34" s="3718"/>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8"/>
      <c r="Q35" s="1349">
        <f t="shared" si="8"/>
        <v>111</v>
      </c>
      <c r="R35" s="704" t="s">
        <v>14</v>
      </c>
      <c r="S35" s="705">
        <f t="shared" si="10"/>
        <v>100</v>
      </c>
      <c r="T35" s="704" t="s">
        <v>14</v>
      </c>
      <c r="U35" s="705">
        <f t="shared" si="11"/>
        <v>100</v>
      </c>
      <c r="V35" s="704" t="s">
        <v>14</v>
      </c>
      <c r="W35" s="705">
        <f t="shared" si="12"/>
        <v>100</v>
      </c>
      <c r="X35" s="1352"/>
      <c r="Y35" s="3718"/>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5" t="s">
        <v>1693</v>
      </c>
      <c r="Q36" s="1349">
        <f t="shared" si="8"/>
        <v>111</v>
      </c>
      <c r="R36" s="704" t="s">
        <v>14</v>
      </c>
      <c r="S36" s="705">
        <f t="shared" si="10"/>
        <v>100</v>
      </c>
      <c r="T36" s="704" t="s">
        <v>14</v>
      </c>
      <c r="U36" s="705">
        <f t="shared" si="11"/>
        <v>100</v>
      </c>
      <c r="V36" s="704" t="s">
        <v>14</v>
      </c>
      <c r="W36" s="705">
        <f t="shared" si="12"/>
        <v>100</v>
      </c>
      <c r="X36" s="1352"/>
      <c r="Y36" s="3722"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2"/>
      <c r="Q37" s="1349">
        <f t="shared" si="8"/>
        <v>111</v>
      </c>
      <c r="R37" s="707" t="s">
        <v>14</v>
      </c>
      <c r="S37" s="708">
        <f t="shared" si="10"/>
        <v>100</v>
      </c>
      <c r="T37" s="707" t="s">
        <v>14</v>
      </c>
      <c r="U37" s="708">
        <f t="shared" si="11"/>
        <v>100</v>
      </c>
      <c r="V37" s="707" t="s">
        <v>14</v>
      </c>
      <c r="W37" s="708">
        <f t="shared" si="12"/>
        <v>100</v>
      </c>
      <c r="X37" s="709"/>
      <c r="Y37" s="3722"/>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22"/>
      <c r="Q38" s="1349" t="str">
        <f>B38</f>
        <v>宗地面积</v>
      </c>
      <c r="R38" s="704" t="s">
        <v>14</v>
      </c>
      <c r="S38" s="705">
        <f t="shared" si="10"/>
        <v>99</v>
      </c>
      <c r="T38" s="704" t="s">
        <v>14</v>
      </c>
      <c r="U38" s="705">
        <f t="shared" si="11"/>
        <v>99</v>
      </c>
      <c r="V38" s="704" t="s">
        <v>14</v>
      </c>
      <c r="W38" s="705">
        <f t="shared" si="12"/>
        <v>99</v>
      </c>
      <c r="X38" s="1352"/>
      <c r="Y38" s="3722"/>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22"/>
      <c r="Q39" s="1349" t="str">
        <f t="shared" ref="Q39:Q45" si="14">B39</f>
        <v>宗地形状</v>
      </c>
      <c r="R39" s="704" t="s">
        <v>14</v>
      </c>
      <c r="S39" s="705">
        <f t="shared" si="10"/>
        <v>100</v>
      </c>
      <c r="T39" s="704" t="s">
        <v>14</v>
      </c>
      <c r="U39" s="705">
        <f t="shared" si="11"/>
        <v>100</v>
      </c>
      <c r="V39" s="704" t="s">
        <v>14</v>
      </c>
      <c r="W39" s="705">
        <f t="shared" si="12"/>
        <v>100</v>
      </c>
      <c r="X39" s="1352"/>
      <c r="Y39" s="3722"/>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22"/>
      <c r="Q40" s="1349" t="str">
        <f t="shared" si="14"/>
        <v>临街宽度及深度</v>
      </c>
      <c r="R40" s="704" t="s">
        <v>14</v>
      </c>
      <c r="S40" s="705">
        <f t="shared" si="10"/>
        <v>100</v>
      </c>
      <c r="T40" s="704" t="s">
        <v>14</v>
      </c>
      <c r="U40" s="705">
        <f t="shared" si="11"/>
        <v>100</v>
      </c>
      <c r="V40" s="704" t="s">
        <v>14</v>
      </c>
      <c r="W40" s="705">
        <f t="shared" si="12"/>
        <v>100</v>
      </c>
      <c r="X40" s="1352"/>
      <c r="Y40" s="3722"/>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22"/>
      <c r="Q41" s="1349" t="str">
        <f t="shared" si="14"/>
        <v>宗地开发程度</v>
      </c>
      <c r="R41" s="700" t="s">
        <v>14</v>
      </c>
      <c r="S41" s="701">
        <f t="shared" si="10"/>
        <v>99</v>
      </c>
      <c r="T41" s="700" t="s">
        <v>14</v>
      </c>
      <c r="U41" s="701">
        <f t="shared" si="11"/>
        <v>99</v>
      </c>
      <c r="V41" s="700" t="s">
        <v>14</v>
      </c>
      <c r="W41" s="701">
        <f t="shared" si="12"/>
        <v>98</v>
      </c>
      <c r="X41" s="702"/>
      <c r="Y41" s="3722"/>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22" t="s">
        <v>1693</v>
      </c>
      <c r="Q42" s="1349" t="str">
        <f t="shared" si="14"/>
        <v>工程地质条件</v>
      </c>
      <c r="R42" s="704" t="s">
        <v>14</v>
      </c>
      <c r="S42" s="705">
        <f t="shared" si="10"/>
        <v>100</v>
      </c>
      <c r="T42" s="704" t="s">
        <v>14</v>
      </c>
      <c r="U42" s="705">
        <f t="shared" si="11"/>
        <v>100</v>
      </c>
      <c r="V42" s="704" t="s">
        <v>14</v>
      </c>
      <c r="W42" s="705">
        <f t="shared" si="12"/>
        <v>100</v>
      </c>
      <c r="X42" s="1352"/>
      <c r="Y42" s="3722"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2"/>
      <c r="Q43" s="1349">
        <f t="shared" si="14"/>
        <v>111</v>
      </c>
      <c r="R43" s="704" t="s">
        <v>14</v>
      </c>
      <c r="S43" s="705">
        <f t="shared" si="10"/>
        <v>100</v>
      </c>
      <c r="T43" s="704" t="s">
        <v>14</v>
      </c>
      <c r="U43" s="705">
        <f t="shared" si="11"/>
        <v>100</v>
      </c>
      <c r="V43" s="704" t="s">
        <v>14</v>
      </c>
      <c r="W43" s="705">
        <f t="shared" si="12"/>
        <v>100</v>
      </c>
      <c r="X43" s="1352"/>
      <c r="Y43" s="3722"/>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2"/>
      <c r="Q44" s="1349">
        <f t="shared" si="14"/>
        <v>111</v>
      </c>
      <c r="R44" s="704" t="s">
        <v>14</v>
      </c>
      <c r="S44" s="705">
        <f t="shared" si="10"/>
        <v>100</v>
      </c>
      <c r="T44" s="704" t="s">
        <v>14</v>
      </c>
      <c r="U44" s="705">
        <f t="shared" si="11"/>
        <v>100</v>
      </c>
      <c r="V44" s="704" t="s">
        <v>14</v>
      </c>
      <c r="W44" s="705">
        <f t="shared" si="12"/>
        <v>100</v>
      </c>
      <c r="X44" s="1352"/>
      <c r="Y44" s="3722"/>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2"/>
      <c r="Q45" s="1349">
        <f t="shared" si="14"/>
        <v>111</v>
      </c>
      <c r="R45" s="707" t="s">
        <v>14</v>
      </c>
      <c r="S45" s="708">
        <f t="shared" si="10"/>
        <v>100</v>
      </c>
      <c r="T45" s="707" t="s">
        <v>14</v>
      </c>
      <c r="U45" s="708">
        <f t="shared" si="11"/>
        <v>100</v>
      </c>
      <c r="V45" s="707" t="s">
        <v>14</v>
      </c>
      <c r="W45" s="708">
        <f t="shared" si="12"/>
        <v>100</v>
      </c>
      <c r="X45" s="709"/>
      <c r="Y45" s="3722"/>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15" t="str">
        <f>A46</f>
        <v>成交单价</v>
      </c>
      <c r="Q46" s="3715"/>
      <c r="R46" s="3746">
        <f>E46</f>
        <v>22464</v>
      </c>
      <c r="S46" s="3746"/>
      <c r="T46" s="3746">
        <f>G46</f>
        <v>22029</v>
      </c>
      <c r="U46" s="3746"/>
      <c r="V46" s="3746">
        <f>I46</f>
        <v>24530</v>
      </c>
      <c r="W46" s="3746"/>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15" t="str">
        <f>A47</f>
        <v>比较价值（元/平方米）</v>
      </c>
      <c r="Q47" s="3715"/>
      <c r="R47" s="3762">
        <f>ROUND(PRODUCT(R46,AA7:AA45),0)</f>
        <v>21183</v>
      </c>
      <c r="S47" s="3762"/>
      <c r="T47" s="3762">
        <f>ROUND(PRODUCT(T46,AB7:AB45),0)</f>
        <v>18632</v>
      </c>
      <c r="U47" s="3762"/>
      <c r="V47" s="3762">
        <f>ROUND(PRODUCT(V46,AC7:AC45),0)</f>
        <v>19856</v>
      </c>
      <c r="W47" s="3762"/>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12" t="str">
        <f>A48</f>
        <v>估价对象XX用房的比较价值（楼面单价，元/平方米）</v>
      </c>
      <c r="Q48" s="3713"/>
      <c r="R48" s="3763">
        <f>ROUND(IF(D47="简单平均",AVERAGE(R47:W47),R47*F47+T47*H47+V47*J47),0)</f>
        <v>19890</v>
      </c>
      <c r="S48" s="3763"/>
      <c r="T48" s="3763"/>
      <c r="U48" s="3763"/>
      <c r="V48" s="3763"/>
      <c r="W48" s="3763"/>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30" t="s">
        <v>1884</v>
      </c>
      <c r="H55" s="3764"/>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26"/>
      <c r="H56" s="3715"/>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7" t="s">
        <v>3894</v>
      </c>
      <c r="B29" s="3767" t="s">
        <v>3895</v>
      </c>
      <c r="C29" s="3767" t="s">
        <v>3896</v>
      </c>
      <c r="D29" s="3767" t="s">
        <v>3897</v>
      </c>
      <c r="E29" s="3767" t="s">
        <v>3898</v>
      </c>
      <c r="F29" s="3767" t="s">
        <v>3899</v>
      </c>
      <c r="G29" s="3767" t="s">
        <v>3900</v>
      </c>
      <c r="H29" s="3767" t="s">
        <v>3901</v>
      </c>
      <c r="I29" s="3767" t="s">
        <v>3902</v>
      </c>
      <c r="J29" s="3767" t="s">
        <v>3903</v>
      </c>
      <c r="K29" s="3767" t="s">
        <v>3905</v>
      </c>
      <c r="L29" s="3767" t="s">
        <v>3906</v>
      </c>
      <c r="M29" s="3767" t="s">
        <v>3907</v>
      </c>
      <c r="N29" s="3767" t="s">
        <v>3908</v>
      </c>
      <c r="O29" s="3767" t="s">
        <v>3909</v>
      </c>
      <c r="P29" s="3767" t="s">
        <v>3910</v>
      </c>
      <c r="Q29" s="3767" t="s">
        <v>3911</v>
      </c>
      <c r="R29" s="3767" t="s">
        <v>3913</v>
      </c>
      <c r="S29" s="3767" t="s">
        <v>3914</v>
      </c>
      <c r="T29" s="3767" t="s">
        <v>3916</v>
      </c>
      <c r="U29" s="3767" t="s">
        <v>3917</v>
      </c>
      <c r="V29" s="3767" t="s">
        <v>4048</v>
      </c>
      <c r="W29" s="3767" t="s">
        <v>3919</v>
      </c>
    </row>
    <row r="30" spans="1:26" s="3515" customFormat="1">
      <c r="A30" s="3767" t="s">
        <v>4047</v>
      </c>
      <c r="B30" s="3767" t="s">
        <v>3377</v>
      </c>
      <c r="C30" s="3767" t="s">
        <v>4046</v>
      </c>
      <c r="D30" s="3767" t="s">
        <v>4045</v>
      </c>
      <c r="E30" s="3767">
        <v>88404.4</v>
      </c>
      <c r="F30" s="3767">
        <v>173209</v>
      </c>
      <c r="G30" s="3767" t="s">
        <v>4044</v>
      </c>
      <c r="H30" s="3767" t="s">
        <v>3923</v>
      </c>
      <c r="I30" s="3767" t="s">
        <v>4043</v>
      </c>
      <c r="J30" s="3767" t="s">
        <v>3925</v>
      </c>
      <c r="K30" s="3768">
        <v>43733.000497685185</v>
      </c>
      <c r="L30" s="3767" t="s">
        <v>3926</v>
      </c>
      <c r="M30" s="3767" t="s">
        <v>4042</v>
      </c>
      <c r="N30" s="3767">
        <v>330000</v>
      </c>
      <c r="O30" s="3767">
        <v>66000</v>
      </c>
      <c r="P30" s="3767" t="s">
        <v>4041</v>
      </c>
      <c r="Q30" s="3767">
        <v>330000</v>
      </c>
      <c r="R30" s="3767">
        <v>19052</v>
      </c>
      <c r="S30" s="3767">
        <v>0</v>
      </c>
      <c r="T30" s="3767" t="s">
        <v>3930</v>
      </c>
      <c r="U30" s="3767" t="s">
        <v>3931</v>
      </c>
      <c r="V30" s="3767" t="s">
        <v>3931</v>
      </c>
      <c r="W30" s="3767" t="s">
        <v>3931</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71" t="s">
        <v>691</v>
      </c>
      <c r="C6" s="1072">
        <f ca="1">ROUND(F6*F8*F7*(1-F9)/10000,0)</f>
        <v>0</v>
      </c>
      <c r="D6" s="155" t="s">
        <v>2105</v>
      </c>
      <c r="E6" s="302" t="s">
        <v>693</v>
      </c>
      <c r="F6" s="303">
        <f ca="1">INDIRECT("'数据-取费表'!u"&amp;$G$1)</f>
        <v>0</v>
      </c>
      <c r="G6" s="1381"/>
      <c r="H6" s="1067" t="s">
        <v>398</v>
      </c>
      <c r="I6" s="3771" t="s">
        <v>691</v>
      </c>
      <c r="J6" s="301">
        <f ca="1">ROUND(M6*M8*M7*(1-M9)/10000,0)</f>
        <v>0</v>
      </c>
      <c r="K6" s="155" t="s">
        <v>2104</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0</v>
      </c>
      <c r="G7" s="1381"/>
      <c r="H7" s="304"/>
      <c r="I7" s="3772"/>
      <c r="J7" s="306"/>
      <c r="K7" s="307"/>
      <c r="L7" s="302" t="s">
        <v>694</v>
      </c>
      <c r="M7" s="303">
        <f ca="1">F7</f>
        <v>0</v>
      </c>
    </row>
    <row r="8" spans="1:37" ht="18" customHeight="1">
      <c r="A8" s="304"/>
      <c r="B8" s="3772"/>
      <c r="C8" s="306"/>
      <c r="D8" s="307"/>
      <c r="E8" s="302" t="s">
        <v>695</v>
      </c>
      <c r="F8" s="303">
        <f ca="1">INDIRECT("'数据-取费表'!ai"&amp;$G$1)</f>
        <v>0</v>
      </c>
      <c r="G8" s="1381"/>
      <c r="H8" s="304"/>
      <c r="I8" s="3772"/>
      <c r="J8" s="306"/>
      <c r="K8" s="307"/>
      <c r="L8" s="302" t="s">
        <v>695</v>
      </c>
      <c r="M8" s="303">
        <f ca="1">INDIRECT("'数据-取费表'!ai"&amp;$G$1)</f>
        <v>0</v>
      </c>
    </row>
    <row r="9" spans="1:37" ht="18" customHeight="1">
      <c r="A9" s="304"/>
      <c r="B9" s="3773"/>
      <c r="C9" s="306"/>
      <c r="D9" s="307"/>
      <c r="E9" s="302" t="s">
        <v>696</v>
      </c>
      <c r="F9" s="312">
        <f ca="1">INDIRECT("'数据-取费表'!w"&amp;$G$1)</f>
        <v>0</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9" t="s">
        <v>834</v>
      </c>
      <c r="L53" s="3770"/>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
        <v>4106</v>
      </c>
      <c r="G17" s="3527" t="s">
        <v>4107</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v>96</v>
      </c>
      <c r="G18" s="1021">
        <v>96</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50053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34931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7" t="s">
        <v>27</v>
      </c>
      <c r="D22" s="3778"/>
      <c r="E22" s="3778"/>
      <c r="F22" s="3778"/>
      <c r="G22" s="3778"/>
      <c r="H22" s="3778"/>
      <c r="I22" s="3778"/>
      <c r="J22" s="3778"/>
      <c r="K22" s="3778"/>
      <c r="L22" s="3778"/>
      <c r="M22" s="3778"/>
      <c r="N22" s="3778"/>
      <c r="O22" s="3778"/>
      <c r="P22" s="3778"/>
      <c r="Q22" s="3779"/>
      <c r="R22" s="662">
        <f ca="1">ROUND(S22*10000/B22,0)</f>
        <v>34931</v>
      </c>
      <c r="S22" s="21">
        <f ca="1">SUM(S24:S10000)</f>
        <v>50053</v>
      </c>
      <c r="T22" s="724">
        <f ca="1">S22-S24</f>
        <v>49746</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一层</v>
      </c>
      <c r="Q25" s="21">
        <f>(SUMIF($17:$17,P25,$18:$18)-SUMIF($17:$17,$P$24,$18:$18)+100)/100</f>
        <v>0.96</v>
      </c>
      <c r="R25" s="662">
        <f ca="1">IF(B25="",0,ROUND($R$24*C25*E25*G25*I25*K25*M25*O25*Q25,0))</f>
        <v>33863</v>
      </c>
      <c r="S25" s="316">
        <f t="shared" ca="1" si="5"/>
        <v>304</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一层</v>
      </c>
      <c r="Q33" s="21">
        <f t="shared" si="13"/>
        <v>0.96</v>
      </c>
      <c r="R33" s="662">
        <f t="shared" ca="1" si="14"/>
        <v>33863</v>
      </c>
      <c r="S33" s="316">
        <f t="shared" ca="1" si="5"/>
        <v>294</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一层</v>
      </c>
      <c r="Q35" s="21">
        <f t="shared" si="13"/>
        <v>0.96</v>
      </c>
      <c r="R35" s="662">
        <f t="shared" ca="1" si="14"/>
        <v>33863</v>
      </c>
      <c r="S35" s="316">
        <f t="shared" ca="1" si="5"/>
        <v>304</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0.96</v>
      </c>
      <c r="R36" s="662">
        <f t="shared" ca="1" si="14"/>
        <v>33863</v>
      </c>
      <c r="S36" s="316">
        <f t="shared" ca="1" si="5"/>
        <v>295</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一层</v>
      </c>
      <c r="Q39" s="21">
        <f t="shared" si="13"/>
        <v>0.96</v>
      </c>
      <c r="R39" s="662">
        <f t="shared" ca="1" si="14"/>
        <v>33863</v>
      </c>
      <c r="S39" s="316">
        <f t="shared" ca="1" si="5"/>
        <v>304</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一层</v>
      </c>
      <c r="Q42" s="21">
        <f t="shared" si="13"/>
        <v>0.96</v>
      </c>
      <c r="R42" s="662">
        <f t="shared" ca="1" si="14"/>
        <v>33863</v>
      </c>
      <c r="S42" s="316">
        <f t="shared" ca="1" si="5"/>
        <v>285</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一层</v>
      </c>
      <c r="Q45" s="21">
        <f t="shared" si="13"/>
        <v>0.96</v>
      </c>
      <c r="R45" s="662">
        <f t="shared" ca="1" si="14"/>
        <v>33186</v>
      </c>
      <c r="S45" s="316">
        <f t="shared" ca="1" si="5"/>
        <v>559</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0.96</v>
      </c>
      <c r="R49" s="662">
        <f t="shared" ca="1" si="14"/>
        <v>33524</v>
      </c>
      <c r="S49" s="316">
        <f t="shared" ca="1" si="5"/>
        <v>367</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0.96</v>
      </c>
      <c r="R50" s="662">
        <f t="shared" ca="1" si="14"/>
        <v>33863</v>
      </c>
      <c r="S50" s="316">
        <f t="shared" ca="1" si="5"/>
        <v>285</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一层</v>
      </c>
      <c r="Q51" s="21">
        <f t="shared" si="13"/>
        <v>0.96</v>
      </c>
      <c r="R51" s="662">
        <f t="shared" ca="1" si="14"/>
        <v>33863</v>
      </c>
      <c r="S51" s="316">
        <f t="shared" ca="1" si="5"/>
        <v>304</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一层</v>
      </c>
      <c r="Q53" s="21">
        <f t="shared" si="13"/>
        <v>0.96</v>
      </c>
      <c r="R53" s="662">
        <f t="shared" ca="1" si="14"/>
        <v>33863</v>
      </c>
      <c r="S53" s="316">
        <f t="shared" ca="1" si="5"/>
        <v>304</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0.96</v>
      </c>
      <c r="R54" s="662">
        <f t="shared" ca="1" si="14"/>
        <v>33863</v>
      </c>
      <c r="S54" s="316">
        <f t="shared" ca="1" si="5"/>
        <v>293</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0.96</v>
      </c>
      <c r="R57" s="662">
        <f t="shared" ca="1" si="14"/>
        <v>33863</v>
      </c>
      <c r="S57" s="316">
        <f t="shared" ca="1" si="5"/>
        <v>280</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0.96</v>
      </c>
      <c r="R58" s="662">
        <f t="shared" ca="1" si="14"/>
        <v>33863</v>
      </c>
      <c r="S58" s="316">
        <f t="shared" ca="1" si="5"/>
        <v>293</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0.96</v>
      </c>
      <c r="R63" s="662">
        <f t="shared" ca="1" si="14"/>
        <v>33863</v>
      </c>
      <c r="S63" s="316">
        <f t="shared" ca="1" si="5"/>
        <v>296</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一层</v>
      </c>
      <c r="Q64" s="21">
        <f t="shared" si="13"/>
        <v>0.96</v>
      </c>
      <c r="R64" s="662">
        <f t="shared" ca="1" si="14"/>
        <v>33863</v>
      </c>
      <c r="S64" s="316">
        <f t="shared" ca="1" si="5"/>
        <v>291</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0.96</v>
      </c>
      <c r="R77" s="662">
        <f t="shared" ca="1" si="14"/>
        <v>33863</v>
      </c>
      <c r="S77" s="316">
        <f t="shared" ca="1" si="5"/>
        <v>291</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一层</v>
      </c>
      <c r="Q78" s="21">
        <f t="shared" si="13"/>
        <v>0.96</v>
      </c>
      <c r="R78" s="662">
        <f t="shared" ca="1" si="14"/>
        <v>33863</v>
      </c>
      <c r="S78" s="316">
        <f t="shared" ca="1" si="5"/>
        <v>291</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0.96</v>
      </c>
      <c r="R89" s="662">
        <f t="shared" ca="1" si="14"/>
        <v>33863</v>
      </c>
      <c r="S89" s="316">
        <f t="shared" ca="1" si="15"/>
        <v>291</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0.96</v>
      </c>
      <c r="R100" s="662">
        <f t="shared" ca="1" si="24"/>
        <v>33863</v>
      </c>
      <c r="S100" s="316">
        <f t="shared" ca="1" si="15"/>
        <v>295</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0.96</v>
      </c>
      <c r="R101" s="662">
        <f t="shared" ca="1" si="24"/>
        <v>33863</v>
      </c>
      <c r="S101" s="316">
        <f t="shared" ca="1" si="15"/>
        <v>282</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一层</v>
      </c>
      <c r="Q106" s="21">
        <f t="shared" si="23"/>
        <v>0.96</v>
      </c>
      <c r="R106" s="662">
        <f t="shared" ca="1" si="24"/>
        <v>33863</v>
      </c>
      <c r="S106" s="316">
        <f t="shared" ca="1" si="15"/>
        <v>295</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一层</v>
      </c>
      <c r="Q107" s="21">
        <f t="shared" si="23"/>
        <v>0.96</v>
      </c>
      <c r="R107" s="662">
        <f t="shared" ca="1" si="24"/>
        <v>34202</v>
      </c>
      <c r="S107" s="316">
        <f t="shared" ca="1" si="15"/>
        <v>251</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0.96</v>
      </c>
      <c r="R126" s="662">
        <f t="shared" ca="1" si="24"/>
        <v>33863</v>
      </c>
      <c r="S126" s="316">
        <f t="shared" ca="1" si="15"/>
        <v>295</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0.96</v>
      </c>
      <c r="R127" s="662">
        <f t="shared" ca="1" si="24"/>
        <v>33863</v>
      </c>
      <c r="S127" s="316">
        <f t="shared" ca="1" si="15"/>
        <v>304</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一层</v>
      </c>
      <c r="Q128" s="21">
        <f t="shared" si="23"/>
        <v>0.96</v>
      </c>
      <c r="R128" s="662">
        <f t="shared" ca="1" si="24"/>
        <v>33863</v>
      </c>
      <c r="S128" s="316">
        <f t="shared" ca="1" si="15"/>
        <v>304</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一层</v>
      </c>
      <c r="Q129" s="21">
        <f t="shared" si="23"/>
        <v>0.96</v>
      </c>
      <c r="R129" s="662">
        <f t="shared" ca="1" si="24"/>
        <v>34202</v>
      </c>
      <c r="S129" s="316">
        <f t="shared" ca="1" si="15"/>
        <v>251</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0.96</v>
      </c>
      <c r="R147" s="662">
        <f t="shared" ca="1" si="24"/>
        <v>33863</v>
      </c>
      <c r="S147" s="316">
        <f t="shared" ca="1" si="15"/>
        <v>304</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一层</v>
      </c>
      <c r="Q148" s="21">
        <f t="shared" si="23"/>
        <v>0.96</v>
      </c>
      <c r="R148" s="662">
        <f t="shared" ca="1" si="24"/>
        <v>34202</v>
      </c>
      <c r="S148" s="316">
        <f t="shared" ca="1" si="15"/>
        <v>251</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一层</v>
      </c>
      <c r="Q149" s="21">
        <f t="shared" si="23"/>
        <v>0.96</v>
      </c>
      <c r="R149" s="662">
        <f t="shared" ca="1" si="24"/>
        <v>33863</v>
      </c>
      <c r="S149" s="316">
        <f t="shared" ca="1" si="15"/>
        <v>304</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0.96</v>
      </c>
      <c r="R161" s="662">
        <f t="shared" ca="1" si="34"/>
        <v>33863</v>
      </c>
      <c r="S161" s="316">
        <f t="shared" ca="1" si="25"/>
        <v>304</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0.96</v>
      </c>
      <c r="R162" s="662">
        <f t="shared" ca="1" si="34"/>
        <v>33863</v>
      </c>
      <c r="S162" s="316">
        <f t="shared" ca="1" si="25"/>
        <v>304</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一层</v>
      </c>
      <c r="Q163" s="21">
        <f t="shared" si="33"/>
        <v>0.96</v>
      </c>
      <c r="R163" s="662">
        <f t="shared" ca="1" si="34"/>
        <v>34202</v>
      </c>
      <c r="S163" s="316">
        <f t="shared" ca="1" si="25"/>
        <v>251</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0.96</v>
      </c>
      <c r="R180" s="662">
        <f t="shared" ca="1" si="34"/>
        <v>33863</v>
      </c>
      <c r="S180" s="316">
        <f t="shared" ca="1" si="25"/>
        <v>304</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0.96</v>
      </c>
      <c r="R181" s="662">
        <f t="shared" ca="1" si="34"/>
        <v>33863</v>
      </c>
      <c r="S181" s="316">
        <f t="shared" ca="1" si="25"/>
        <v>295</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一层</v>
      </c>
      <c r="Q182" s="21">
        <f t="shared" si="33"/>
        <v>0.96</v>
      </c>
      <c r="R182" s="662">
        <f t="shared" ca="1" si="34"/>
        <v>34202</v>
      </c>
      <c r="S182" s="316">
        <f t="shared" ca="1" si="25"/>
        <v>265</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一层</v>
      </c>
      <c r="Q185" s="21">
        <f t="shared" si="33"/>
        <v>0.96</v>
      </c>
      <c r="R185" s="662">
        <f t="shared" ca="1" si="34"/>
        <v>34202</v>
      </c>
      <c r="S185" s="316">
        <f t="shared" ca="1" si="25"/>
        <v>265</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94"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52" t="str">
        <f>项目基本情况!S2</f>
        <v>北京市房地产</v>
      </c>
      <c r="B2" s="3653"/>
      <c r="C2" s="3653"/>
      <c r="D2" s="3653"/>
      <c r="E2" s="3653"/>
      <c r="F2" s="3653"/>
      <c r="G2" s="3653"/>
      <c r="H2" s="3653"/>
      <c r="I2" s="3654"/>
    </row>
    <row r="3" spans="1:12" ht="12.75">
      <c r="A3" s="3656" t="s">
        <v>1261</v>
      </c>
      <c r="B3" s="3657"/>
      <c r="C3" s="3657"/>
      <c r="D3" s="3657"/>
      <c r="E3" s="3657"/>
      <c r="F3" s="3657"/>
      <c r="G3" s="3657"/>
      <c r="H3" s="3657"/>
      <c r="I3" s="3657"/>
    </row>
    <row r="4" spans="1:12" ht="14.25">
      <c r="A4" s="1751" t="s">
        <v>1262</v>
      </c>
      <c r="B4" s="1752" t="s">
        <v>1263</v>
      </c>
      <c r="C4" s="1753" t="s">
        <v>4071</v>
      </c>
      <c r="D4" s="1753" t="s">
        <v>3855</v>
      </c>
      <c r="E4" s="3658" t="s">
        <v>1264</v>
      </c>
      <c r="F4" s="3659"/>
      <c r="G4" s="3659"/>
      <c r="H4" s="3659"/>
      <c r="I4" s="3660"/>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2" t="s">
        <v>1265</v>
      </c>
      <c r="B5" s="3619">
        <v>25</v>
      </c>
      <c r="C5" s="3635"/>
      <c r="D5" s="3655"/>
      <c r="E5" s="131" t="s">
        <v>1266</v>
      </c>
      <c r="F5" s="1754"/>
      <c r="G5" s="1754"/>
      <c r="H5" s="1754"/>
      <c r="I5" s="1370"/>
    </row>
    <row r="6" spans="1:12" ht="12.75">
      <c r="A6" s="3632"/>
      <c r="B6" s="3619"/>
      <c r="C6" s="3636"/>
      <c r="D6" s="3655"/>
      <c r="E6" s="131" t="s">
        <v>1267</v>
      </c>
      <c r="F6" s="1754"/>
      <c r="G6" s="1754"/>
      <c r="H6" s="1754"/>
      <c r="I6" s="1370"/>
    </row>
    <row r="7" spans="1:12" ht="12.75">
      <c r="A7" s="3632"/>
      <c r="B7" s="3619"/>
      <c r="C7" s="3637"/>
      <c r="D7" s="3655"/>
      <c r="E7" s="131" t="s">
        <v>1268</v>
      </c>
      <c r="F7" s="1754"/>
      <c r="G7" s="1754"/>
      <c r="H7" s="1754"/>
      <c r="I7" s="1370"/>
    </row>
    <row r="8" spans="1:12" ht="12.75">
      <c r="A8" s="3632" t="s">
        <v>1269</v>
      </c>
      <c r="B8" s="3619">
        <v>15</v>
      </c>
      <c r="C8" s="3635"/>
      <c r="D8" s="3655"/>
      <c r="E8" s="131" t="s">
        <v>1270</v>
      </c>
      <c r="F8" s="1754"/>
      <c r="G8" s="1754"/>
      <c r="H8" s="1754"/>
      <c r="I8" s="1370"/>
    </row>
    <row r="9" spans="1:12" ht="12.75">
      <c r="A9" s="3632"/>
      <c r="B9" s="3619"/>
      <c r="C9" s="3637"/>
      <c r="D9" s="3655"/>
      <c r="E9" s="131" t="s">
        <v>1271</v>
      </c>
      <c r="F9" s="1754"/>
      <c r="G9" s="1754"/>
      <c r="H9" s="1754"/>
      <c r="I9" s="1370"/>
    </row>
    <row r="10" spans="1:12" ht="12.75">
      <c r="A10" s="3632" t="s">
        <v>1272</v>
      </c>
      <c r="B10" s="3619">
        <v>15</v>
      </c>
      <c r="C10" s="3635"/>
      <c r="D10" s="3655"/>
      <c r="E10" s="131" t="s">
        <v>1273</v>
      </c>
      <c r="F10" s="1754"/>
      <c r="G10" s="1754"/>
      <c r="H10" s="1754"/>
      <c r="I10" s="1370"/>
    </row>
    <row r="11" spans="1:12" ht="12.75">
      <c r="A11" s="3632"/>
      <c r="B11" s="3619"/>
      <c r="C11" s="3637"/>
      <c r="D11" s="3655"/>
      <c r="E11" s="131" t="s">
        <v>1274</v>
      </c>
      <c r="F11" s="1754"/>
      <c r="G11" s="1754"/>
      <c r="H11" s="1754"/>
      <c r="I11" s="1370"/>
    </row>
    <row r="12" spans="1:12" ht="12.75">
      <c r="A12" s="3632" t="s">
        <v>1275</v>
      </c>
      <c r="B12" s="3619">
        <v>15</v>
      </c>
      <c r="C12" s="3635"/>
      <c r="D12" s="3655"/>
      <c r="E12" s="131" t="s">
        <v>1276</v>
      </c>
      <c r="F12" s="1754"/>
      <c r="G12" s="1754"/>
      <c r="H12" s="1754"/>
      <c r="I12" s="1370"/>
    </row>
    <row r="13" spans="1:12" ht="12.75">
      <c r="A13" s="3632"/>
      <c r="B13" s="3619"/>
      <c r="C13" s="3637"/>
      <c r="D13" s="3655"/>
      <c r="E13" s="131" t="s">
        <v>1277</v>
      </c>
      <c r="F13" s="1754"/>
      <c r="G13" s="1754"/>
      <c r="H13" s="1754"/>
      <c r="I13" s="1370"/>
    </row>
    <row r="14" spans="1:12" ht="12.75">
      <c r="A14" s="3632" t="s">
        <v>1278</v>
      </c>
      <c r="B14" s="3619">
        <v>30</v>
      </c>
      <c r="C14" s="3635">
        <v>6</v>
      </c>
      <c r="D14" s="3655">
        <v>4</v>
      </c>
      <c r="E14" s="131" t="s">
        <v>1279</v>
      </c>
      <c r="F14" s="1754"/>
      <c r="G14" s="1754"/>
      <c r="H14" s="1754"/>
      <c r="I14" s="1370"/>
    </row>
    <row r="15" spans="1:12" ht="12.75">
      <c r="A15" s="3632"/>
      <c r="B15" s="3619"/>
      <c r="C15" s="3636"/>
      <c r="D15" s="3655"/>
      <c r="E15" s="131" t="s">
        <v>1280</v>
      </c>
      <c r="F15" s="1754"/>
      <c r="G15" s="1754"/>
      <c r="H15" s="1754"/>
      <c r="I15" s="1370"/>
    </row>
    <row r="16" spans="1:12" ht="12.75">
      <c r="A16" s="3632"/>
      <c r="B16" s="3619"/>
      <c r="C16" s="3637"/>
      <c r="D16" s="3655"/>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642" t="s">
        <v>2127</v>
      </c>
      <c r="F18" s="3643"/>
      <c r="G18" s="3643"/>
      <c r="H18" s="3643"/>
      <c r="I18" s="3643"/>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14</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4819</v>
      </c>
      <c r="D20" s="138">
        <f ca="1">SUMIF(INDIRECT("'"&amp;D4&amp;"'"&amp;"!A:A"),结果表车库!B20,INDIRECT("'"&amp;D4&amp;"'"&amp;"!B:B"))</f>
        <v>2863</v>
      </c>
      <c r="E20" s="1761"/>
      <c r="F20" s="1024" t="s">
        <v>1292</v>
      </c>
      <c r="G20" s="139">
        <f ca="1">ROUND(C20*$C$18+D20*$D$18,0)</f>
        <v>4037</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0.68340046894727369</v>
      </c>
      <c r="E22" s="129"/>
      <c r="F22" s="129"/>
      <c r="G22" s="129"/>
      <c r="H22" s="129"/>
      <c r="I22" s="129"/>
    </row>
    <row r="23" spans="1:36" ht="13.5" thickBot="1">
      <c r="A23" s="1744"/>
      <c r="B23" s="1744"/>
      <c r="C23" s="1744"/>
      <c r="D23" s="1744"/>
      <c r="E23" s="129"/>
      <c r="F23" s="129"/>
      <c r="G23" s="129"/>
      <c r="H23" s="129"/>
      <c r="I23" s="129"/>
    </row>
    <row r="24" spans="1:36" ht="14.25">
      <c r="A24" s="3626" t="s">
        <v>1296</v>
      </c>
      <c r="B24" s="1759" t="s">
        <v>1288</v>
      </c>
      <c r="C24" s="136">
        <f>IF(B30=0,0,D30)</f>
        <v>0</v>
      </c>
      <c r="D24" s="1766"/>
      <c r="E24" s="129"/>
      <c r="F24" s="129"/>
      <c r="G24" s="129"/>
      <c r="H24" s="129"/>
      <c r="I24" s="129"/>
    </row>
    <row r="25" spans="1:36" ht="14.25">
      <c r="A25" s="3627"/>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4037</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-5995</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10032</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46" t="s">
        <v>1309</v>
      </c>
      <c r="B36" s="1784" t="s">
        <v>1310</v>
      </c>
      <c r="C36" s="145"/>
      <c r="D36" s="1785"/>
      <c r="E36" s="1786"/>
      <c r="F36" s="1787"/>
      <c r="G36" s="129"/>
      <c r="H36" s="129"/>
      <c r="I36" s="129"/>
    </row>
    <row r="37" spans="1:15" ht="15.75" thickBot="1">
      <c r="A37" s="3647"/>
      <c r="B37" s="1671" t="s">
        <v>1311</v>
      </c>
      <c r="C37" s="147"/>
      <c r="D37" s="1137"/>
      <c r="E37" s="1137"/>
      <c r="F37" s="1787"/>
      <c r="G37" s="129"/>
      <c r="H37" s="129"/>
      <c r="I37" s="129"/>
    </row>
    <row r="38" spans="1:15" ht="15.75" thickBot="1">
      <c r="A38" s="3648"/>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3" t="s">
        <v>1323</v>
      </c>
      <c r="B45" s="3624"/>
      <c r="C45" s="3625"/>
      <c r="D45" s="155">
        <f ca="1">'典型户型修正-车库'!S22</f>
        <v>964</v>
      </c>
      <c r="E45" s="156" t="s">
        <v>1324</v>
      </c>
      <c r="F45" s="157">
        <v>1</v>
      </c>
      <c r="G45" s="158" t="s">
        <v>1325</v>
      </c>
      <c r="H45" s="129"/>
      <c r="I45" s="129"/>
      <c r="J45" s="3701" t="s">
        <v>1326</v>
      </c>
      <c r="K45" s="3701"/>
      <c r="L45" s="3701"/>
      <c r="M45" s="3701"/>
      <c r="N45" s="3701"/>
      <c r="O45" s="3701"/>
    </row>
    <row r="46" spans="1:15" ht="14.25" customHeight="1">
      <c r="A46" s="3620" t="s">
        <v>1327</v>
      </c>
      <c r="B46" s="3621"/>
      <c r="C46" s="3621"/>
      <c r="D46" s="3621"/>
      <c r="E46" s="3621"/>
      <c r="F46" s="3621"/>
      <c r="G46" s="3622"/>
      <c r="H46" s="1803"/>
      <c r="I46" s="159"/>
      <c r="J46" s="3458">
        <v>1</v>
      </c>
      <c r="K46" s="3682" t="s">
        <v>1328</v>
      </c>
      <c r="L46" s="3682"/>
      <c r="M46" s="3702"/>
      <c r="N46" s="3702"/>
      <c r="O46" s="3702"/>
    </row>
    <row r="47" spans="1:15" ht="12" customHeight="1">
      <c r="A47" s="160" t="s">
        <v>1329</v>
      </c>
      <c r="B47" s="161"/>
      <c r="C47" s="162"/>
      <c r="D47" s="1085" t="s">
        <v>1330</v>
      </c>
      <c r="E47" s="302" t="s">
        <v>1331</v>
      </c>
      <c r="F47" s="163" t="s">
        <v>1332</v>
      </c>
      <c r="G47" s="2541" t="s">
        <v>1333</v>
      </c>
      <c r="H47" s="2542"/>
      <c r="I47" s="159"/>
      <c r="J47" s="3458">
        <v>2</v>
      </c>
      <c r="K47" s="3682" t="s">
        <v>1334</v>
      </c>
      <c r="L47" s="3682"/>
      <c r="M47" s="3703">
        <f>'数据-取费表'!B2</f>
        <v>45216</v>
      </c>
      <c r="N47" s="3703"/>
      <c r="O47" s="3703"/>
    </row>
    <row r="48" spans="1:15" ht="25.5">
      <c r="A48" s="3651" t="s">
        <v>1335</v>
      </c>
      <c r="B48" s="3634"/>
      <c r="C48" s="3634"/>
      <c r="D48" s="3460">
        <f ca="1">IF(H48="情况1",0,IF(H48="情况2",D52,IF(H48="情况3",D53,IF(H48="情况4",D54))))</f>
        <v>50</v>
      </c>
      <c r="E48" s="3451" t="str">
        <f>IF(H48="情况4","(销售额-原购置价)×税（费）率","销售额×税（费）率")</f>
        <v>销售额×税（费）率</v>
      </c>
      <c r="F48" s="2543">
        <f>IF(H48="情况1","免征",'数据-取费表'!B41)</f>
        <v>5.5000000000000007E-2</v>
      </c>
      <c r="G48" s="2544" t="s">
        <v>1336</v>
      </c>
      <c r="H48" s="2545" t="s">
        <v>4087</v>
      </c>
      <c r="I48" s="1803"/>
      <c r="J48" s="3458">
        <v>3</v>
      </c>
      <c r="K48" s="3682" t="s">
        <v>1337</v>
      </c>
      <c r="L48" s="3682"/>
      <c r="M48" s="3704">
        <f ca="1">'典型户型修正-车库'!S22</f>
        <v>964</v>
      </c>
      <c r="N48" s="3704"/>
      <c r="O48" s="3704"/>
    </row>
    <row r="49" spans="1:35" ht="25.5" customHeight="1">
      <c r="A49" s="3455" t="s">
        <v>1338</v>
      </c>
      <c r="B49" s="3618" t="s">
        <v>1339</v>
      </c>
      <c r="C49" s="3618"/>
      <c r="D49" s="1587">
        <v>0</v>
      </c>
      <c r="E49" s="324" t="s">
        <v>1340</v>
      </c>
      <c r="F49" s="3445" t="s">
        <v>28</v>
      </c>
      <c r="G49" s="3688"/>
      <c r="H49" s="2305" t="s">
        <v>2130</v>
      </c>
      <c r="I49" s="2306"/>
      <c r="J49" s="3458">
        <v>4</v>
      </c>
      <c r="K49" s="3682" t="str">
        <f>IF(项目基本情况!E8="房地产抵押价值","房地产抵押价值","抵押担保权已注销时的房地产抵押价值")</f>
        <v>房地产抵押价值</v>
      </c>
      <c r="L49" s="3682"/>
      <c r="M49" s="3704">
        <f ca="1">M48</f>
        <v>964</v>
      </c>
      <c r="N49" s="3704"/>
      <c r="O49" s="3704"/>
    </row>
    <row r="50" spans="1:35" ht="25.5" customHeight="1">
      <c r="A50" s="2546"/>
      <c r="B50" s="3618" t="s">
        <v>1341</v>
      </c>
      <c r="C50" s="3618"/>
      <c r="D50" s="2547"/>
      <c r="E50" s="332"/>
      <c r="F50" s="3445"/>
      <c r="G50" s="3689"/>
      <c r="H50" s="2307" t="s">
        <v>2131</v>
      </c>
      <c r="I50" s="2306"/>
      <c r="J50" s="3701" t="s">
        <v>1342</v>
      </c>
      <c r="K50" s="3701"/>
      <c r="L50" s="3701"/>
      <c r="M50" s="3701"/>
      <c r="N50" s="3701"/>
      <c r="O50" s="3701"/>
    </row>
    <row r="51" spans="1:35" ht="20.45" customHeight="1">
      <c r="A51" s="2548"/>
      <c r="B51" s="3618" t="s">
        <v>1343</v>
      </c>
      <c r="C51" s="3618"/>
      <c r="D51" s="1085"/>
      <c r="E51" s="327"/>
      <c r="F51" s="3445"/>
      <c r="G51" s="3690"/>
      <c r="H51" s="2307" t="s">
        <v>2132</v>
      </c>
      <c r="I51" s="2306"/>
      <c r="J51" s="3457" t="s">
        <v>1344</v>
      </c>
      <c r="K51" s="3682" t="s">
        <v>1345</v>
      </c>
      <c r="L51" s="3682"/>
      <c r="M51" s="3457" t="s">
        <v>1346</v>
      </c>
      <c r="N51" s="3457" t="s">
        <v>1347</v>
      </c>
      <c r="O51" s="3457" t="s">
        <v>1348</v>
      </c>
    </row>
    <row r="52" spans="1:35" ht="24" customHeight="1">
      <c r="A52" s="3450" t="s">
        <v>1349</v>
      </c>
      <c r="B52" s="3618" t="s">
        <v>1350</v>
      </c>
      <c r="C52" s="3618"/>
      <c r="D52" s="1085">
        <f ca="1">ROUND(D45*'数据-取费表'!B41/(1+'数据-取费表'!C42),0)</f>
        <v>50</v>
      </c>
      <c r="E52" s="3451" t="s">
        <v>1351</v>
      </c>
      <c r="F52" s="2549">
        <f>'数据-取费表'!B41</f>
        <v>5.5000000000000007E-2</v>
      </c>
      <c r="G52" s="2550"/>
      <c r="H52" s="2539"/>
      <c r="I52" s="1804"/>
      <c r="J52" s="3458">
        <v>1</v>
      </c>
      <c r="K52" s="3683" t="s">
        <v>1352</v>
      </c>
      <c r="L52" s="3683"/>
      <c r="M52" s="2520">
        <f ca="1">D48</f>
        <v>50</v>
      </c>
      <c r="N52" s="3458" t="str">
        <f>E48</f>
        <v>销售额×税（费）率</v>
      </c>
      <c r="O52" s="2521">
        <f>F48</f>
        <v>5.5000000000000007E-2</v>
      </c>
    </row>
    <row r="53" spans="1:35" ht="12" customHeight="1">
      <c r="A53" s="3450" t="s">
        <v>1353</v>
      </c>
      <c r="B53" s="3644" t="s">
        <v>2287</v>
      </c>
      <c r="C53" s="3645"/>
      <c r="D53" s="1085">
        <f ca="1">ROUND(D45*'数据-取费表'!B41/(1+'数据-取费表'!C42),0)</f>
        <v>50</v>
      </c>
      <c r="E53" s="3451" t="s">
        <v>1351</v>
      </c>
      <c r="F53" s="2549">
        <f>'数据-取费表'!B41</f>
        <v>5.5000000000000007E-2</v>
      </c>
      <c r="G53" s="2550"/>
      <c r="H53" s="2539"/>
      <c r="I53" s="1804"/>
      <c r="J53" s="3458">
        <v>2</v>
      </c>
      <c r="K53" s="3683" t="s">
        <v>1354</v>
      </c>
      <c r="L53" s="3683"/>
      <c r="M53" s="2520">
        <f t="shared" ref="M53:O54" ca="1" si="0">D55</f>
        <v>0</v>
      </c>
      <c r="N53" s="3458" t="str">
        <f t="shared" si="0"/>
        <v>销售额×税（费）率</v>
      </c>
      <c r="O53" s="2521">
        <f t="shared" si="0"/>
        <v>5.0000000000000001E-4</v>
      </c>
    </row>
    <row r="54" spans="1:35" ht="12" customHeight="1">
      <c r="A54" s="3450" t="s">
        <v>1355</v>
      </c>
      <c r="B54" s="3644" t="s">
        <v>2288</v>
      </c>
      <c r="C54" s="3645"/>
      <c r="D54" s="1085">
        <f ca="1">C68</f>
        <v>50</v>
      </c>
      <c r="E54" s="327" t="s">
        <v>1356</v>
      </c>
      <c r="F54" s="2549">
        <f>'数据-取费表'!B41</f>
        <v>5.5000000000000007E-2</v>
      </c>
      <c r="G54" s="2550"/>
      <c r="H54" s="2551"/>
      <c r="I54" s="1804"/>
      <c r="J54" s="3458">
        <v>3</v>
      </c>
      <c r="K54" s="3683" t="s">
        <v>1357</v>
      </c>
      <c r="L54" s="3683"/>
      <c r="M54" s="2520">
        <f t="shared" ca="1" si="0"/>
        <v>264</v>
      </c>
      <c r="N54" s="3458" t="str">
        <f t="shared" si="0"/>
        <v>增值额×税（费）率</v>
      </c>
      <c r="O54" s="2522" t="str">
        <f t="shared" si="0"/>
        <v>——</v>
      </c>
    </row>
    <row r="55" spans="1:35" ht="24" customHeight="1">
      <c r="A55" s="3633" t="s">
        <v>1358</v>
      </c>
      <c r="B55" s="3634"/>
      <c r="C55" s="3634"/>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83" t="str">
        <f>IF(H59="非个人房产","——","个人所得税")</f>
        <v>——</v>
      </c>
      <c r="L55" s="3683"/>
      <c r="M55" s="2523" t="str">
        <f>D59</f>
        <v>——</v>
      </c>
      <c r="N55" s="3459" t="str">
        <f>E59</f>
        <v>——</v>
      </c>
      <c r="O55" s="2524" t="str">
        <f>F59</f>
        <v>——</v>
      </c>
    </row>
    <row r="56" spans="1:35" ht="24.75">
      <c r="A56" s="3633" t="s">
        <v>1360</v>
      </c>
      <c r="B56" s="3634"/>
      <c r="C56" s="3634"/>
      <c r="D56" s="3460">
        <f ca="1">IF(H56="个人住宅",D57,D58)</f>
        <v>264</v>
      </c>
      <c r="E56" s="3451" t="s">
        <v>1361</v>
      </c>
      <c r="F56" s="2549" t="str">
        <f>IF(H56="正常",F58,"免征")</f>
        <v>——</v>
      </c>
      <c r="G56" s="2552" t="s">
        <v>1362</v>
      </c>
      <c r="H56" s="2553" t="s">
        <v>3862</v>
      </c>
      <c r="I56" s="1805"/>
      <c r="J56" s="3458" t="str">
        <f>IF(项目基本情况!K6="上海银行",IF(J55="",4,J55+1),"")</f>
        <v/>
      </c>
      <c r="K56" s="3706" t="str">
        <f>IF(项目基本情况!K6="上海银行","其他处置费用","")</f>
        <v/>
      </c>
      <c r="L56" s="3707"/>
      <c r="M56" s="2520" t="str">
        <f>IF(项目基本情况!K6="上海银行",M69,"")</f>
        <v/>
      </c>
      <c r="N56" s="3706" t="str">
        <f>IF(项目基本情况!K6="上海银行","包含处置中涉及的律师、诉讼、拍卖、评估等费用","")</f>
        <v/>
      </c>
      <c r="O56" s="3709"/>
    </row>
    <row r="57" spans="1:35" ht="12.75">
      <c r="A57" s="3450" t="s">
        <v>1338</v>
      </c>
      <c r="B57" s="3644" t="s">
        <v>1363</v>
      </c>
      <c r="C57" s="3645"/>
      <c r="D57" s="1587">
        <v>0</v>
      </c>
      <c r="E57" s="324" t="s">
        <v>1340</v>
      </c>
      <c r="F57" s="302"/>
      <c r="G57" s="2550"/>
      <c r="H57" s="2554"/>
      <c r="I57" s="1805"/>
      <c r="J57" s="3683">
        <f>IF(AND(J55="",J56=""),4,IF(项目基本情况!K6="上海银行",结果表车库!J56+1,结果表车库!J55+1))</f>
        <v>4</v>
      </c>
      <c r="K57" s="3683" t="s">
        <v>1364</v>
      </c>
      <c r="L57" s="2525" t="s">
        <v>1365</v>
      </c>
      <c r="M57" s="2526"/>
      <c r="N57" s="2527">
        <f ca="1">SUMIF(M52:M56,"&lt;9e307")</f>
        <v>314</v>
      </c>
      <c r="O57" s="2528"/>
      <c r="P57" s="2685">
        <f ca="1">N57/M49</f>
        <v>0.32572614107883818</v>
      </c>
    </row>
    <row r="58" spans="1:35" ht="24.75">
      <c r="A58" s="3450" t="s">
        <v>1349</v>
      </c>
      <c r="B58" s="3644" t="s">
        <v>1366</v>
      </c>
      <c r="C58" s="3618"/>
      <c r="D58" s="3460">
        <f ca="1">IF(H58="转让取得",C81,C97)</f>
        <v>264</v>
      </c>
      <c r="E58" s="3451" t="s">
        <v>1361</v>
      </c>
      <c r="F58" s="302" t="s">
        <v>28</v>
      </c>
      <c r="G58" s="2550"/>
      <c r="H58" s="2553" t="s">
        <v>4088</v>
      </c>
      <c r="I58" s="1805"/>
      <c r="J58" s="3683"/>
      <c r="K58" s="3683"/>
      <c r="L58" s="2525" t="s">
        <v>1367</v>
      </c>
      <c r="M58" s="2529"/>
      <c r="N58" s="2530" t="str">
        <f ca="1">NUMBERSTRING(INT(N57*10000),2)&amp;"元整"</f>
        <v>叁佰壹拾肆万元整</v>
      </c>
      <c r="O58" s="2531"/>
    </row>
    <row r="59" spans="1:35" ht="24.75" thickBot="1">
      <c r="A59" s="3686" t="s">
        <v>1368</v>
      </c>
      <c r="B59" s="3687"/>
      <c r="C59" s="3687"/>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4">
        <f>J57+1</f>
        <v>5</v>
      </c>
      <c r="K59" s="3683" t="s">
        <v>1369</v>
      </c>
      <c r="L59" s="3458" t="s">
        <v>1365</v>
      </c>
      <c r="M59" s="2532"/>
      <c r="N59" s="2533">
        <f ca="1">M49-N57</f>
        <v>650</v>
      </c>
      <c r="O59" s="2534"/>
      <c r="P59" s="724">
        <f ca="1">N59*10000/二期车位清单!E81</f>
        <v>2724.8870219919354</v>
      </c>
    </row>
    <row r="60" spans="1:35" ht="12" customHeight="1">
      <c r="A60" s="1806"/>
      <c r="B60" s="1744"/>
      <c r="C60" s="1744"/>
      <c r="D60" s="1744"/>
      <c r="E60" s="1575"/>
      <c r="F60" s="1805"/>
      <c r="G60" s="1805"/>
      <c r="H60" s="1807"/>
      <c r="I60" s="129"/>
      <c r="J60" s="3685"/>
      <c r="K60" s="3683"/>
      <c r="L60" s="2525" t="s">
        <v>1367</v>
      </c>
      <c r="M60" s="2529"/>
      <c r="N60" s="2530" t="str">
        <f ca="1">NUMBERSTRING(INT(N59*10000),2)&amp;"元整"</f>
        <v>陆佰伍拾万元整</v>
      </c>
      <c r="O60" s="2531"/>
    </row>
    <row r="61" spans="1:35" ht="13.5" thickBot="1">
      <c r="A61" s="3631" t="s">
        <v>1370</v>
      </c>
      <c r="B61" s="3631"/>
      <c r="C61" s="3631"/>
      <c r="D61" s="3631"/>
      <c r="E61" s="3631"/>
      <c r="F61" s="1805"/>
      <c r="G61" s="1805"/>
      <c r="H61" s="1807"/>
      <c r="I61" s="129"/>
      <c r="J61" s="3458">
        <f>J59+1</f>
        <v>6</v>
      </c>
      <c r="K61" s="3683" t="s">
        <v>1371</v>
      </c>
      <c r="L61" s="3683"/>
      <c r="M61" s="2535"/>
      <c r="N61" s="2536">
        <f ca="1">ROUND(N59*10000/'数据-汇总表'!E3,0)</f>
        <v>56015</v>
      </c>
      <c r="O61" s="2537"/>
    </row>
    <row r="62" spans="1:35" ht="12.75">
      <c r="A62" s="3649" t="s">
        <v>1372</v>
      </c>
      <c r="B62" s="3650"/>
      <c r="C62" s="3454"/>
      <c r="D62" s="3454" t="s">
        <v>1373</v>
      </c>
      <c r="E62" s="166" t="s">
        <v>1374</v>
      </c>
      <c r="F62" s="1805"/>
      <c r="G62" s="1805"/>
      <c r="H62" s="1807"/>
      <c r="I62" s="129"/>
    </row>
    <row r="63" spans="1:35" ht="12.75">
      <c r="A63" s="173" t="s">
        <v>330</v>
      </c>
      <c r="B63" s="167" t="s">
        <v>1375</v>
      </c>
      <c r="C63" s="2559">
        <f ca="1">ROUND((C64+C65)/(1+'数据-取费表'!C42),0)</f>
        <v>918</v>
      </c>
      <c r="D63" s="167"/>
      <c r="E63" s="168"/>
      <c r="F63" s="1805"/>
      <c r="G63" s="1805"/>
      <c r="H63" s="1807"/>
      <c r="I63" s="129"/>
      <c r="J63" s="3708" t="s">
        <v>1376</v>
      </c>
      <c r="K63" s="3461" t="s">
        <v>1377</v>
      </c>
      <c r="L63" s="3461">
        <f ca="1">IF(M49&gt;10000,M49*0.5%,IF(AND(M49&gt;1000,M49&lt;=10000),M49*1%,IF(AND(M49&gt;100,M49&lt;=1000),M49*3%,IF(AND(M49&gt;10,M49&lt;=100),M49*5%,M49*8%))))</f>
        <v>28.919999999999998</v>
      </c>
      <c r="M63" s="302">
        <f ca="1">ROUND(L63,1)</f>
        <v>28.9</v>
      </c>
      <c r="N63" s="2538"/>
      <c r="Z63" s="1749"/>
      <c r="AI63" s="1750"/>
    </row>
    <row r="64" spans="1:35" ht="14.25" customHeight="1">
      <c r="A64" s="169" t="s">
        <v>325</v>
      </c>
      <c r="B64" s="170" t="s">
        <v>1378</v>
      </c>
      <c r="C64" s="2560">
        <f ca="1">D45</f>
        <v>964</v>
      </c>
      <c r="D64" s="170" t="s">
        <v>26</v>
      </c>
      <c r="E64" s="172"/>
      <c r="F64" s="1805"/>
      <c r="G64" s="1805"/>
      <c r="H64" s="1807"/>
      <c r="I64" s="129"/>
      <c r="J64" s="3708"/>
      <c r="K64" s="3461" t="s">
        <v>1379</v>
      </c>
      <c r="L64" s="3461">
        <f ca="1">IF(M49&gt;2000,M49*0.5%,IF(AND(M49&gt;1000,M49&lt;=2000),M49*0.6%,IF(AND(M49&gt;500,M49&lt;=1000),M49*0.7%,IF(AND(M49&gt;200,M49&lt;=500),M49*0.8%,IF(AND(M49&gt;100,M49&lt;=200),M49*0.9%,IF(AND(M49&gt;50,M49&lt;=100),M49*1%,IF(AND(M49&gt;20,M49&lt;=50),M49*1.5%,IF(AND(M49&gt;10,M49&lt;=20),M49*2%,IF(AND(M49&gt;1,M49&lt;=10),M49*2.5%)))))))))</f>
        <v>6.7479999999999993</v>
      </c>
      <c r="M64" s="302">
        <f t="shared" ref="M64:M65" ca="1" si="1">ROUND(L64,1)</f>
        <v>6.7</v>
      </c>
      <c r="N64" s="2539" t="s">
        <v>1380</v>
      </c>
      <c r="Z64" s="1749"/>
      <c r="AI64" s="1750"/>
    </row>
    <row r="65" spans="1:35" ht="14.25" customHeight="1">
      <c r="A65" s="169" t="s">
        <v>326</v>
      </c>
      <c r="B65" s="170" t="s">
        <v>1381</v>
      </c>
      <c r="C65" s="2561"/>
      <c r="D65" s="170"/>
      <c r="E65" s="172"/>
      <c r="F65" s="1805"/>
      <c r="G65" s="1805"/>
      <c r="H65" s="1807"/>
      <c r="I65" s="129"/>
      <c r="J65" s="3708"/>
      <c r="K65" s="3461" t="s">
        <v>1382</v>
      </c>
      <c r="L65" s="3461">
        <f ca="1">IF(M49&gt;1000,M49*0.1%,IF(AND(M49&gt;500,M49&lt;=1000),M49*0.5%,IF(AND(M49&gt;50,M49&lt;=500),M49*1%,IF(AND(M49&gt;1,M49&lt;=50),M49*1.5%))))</f>
        <v>4.82</v>
      </c>
      <c r="M65" s="302">
        <f t="shared" ca="1" si="1"/>
        <v>4.8</v>
      </c>
      <c r="N65" s="2539" t="s">
        <v>1380</v>
      </c>
      <c r="Z65" s="1749"/>
      <c r="AI65" s="1750"/>
    </row>
    <row r="66" spans="1:35" ht="14.25" customHeight="1">
      <c r="A66" s="173" t="s">
        <v>327</v>
      </c>
      <c r="B66" s="174" t="s">
        <v>1383</v>
      </c>
      <c r="C66" s="2562"/>
      <c r="D66" s="174" t="s">
        <v>26</v>
      </c>
      <c r="E66" s="1335" t="s">
        <v>668</v>
      </c>
      <c r="F66" s="1805"/>
      <c r="G66" s="1805"/>
      <c r="H66" s="1807"/>
      <c r="I66" s="129"/>
      <c r="J66" s="3708"/>
      <c r="K66" s="3461" t="s">
        <v>1384</v>
      </c>
      <c r="L66" s="3461">
        <f ca="1">M49*0.5%</f>
        <v>4.82</v>
      </c>
      <c r="M66" s="302">
        <f ca="1">IF(L66&gt;0.5,0.5,ROUND(L66,0))</f>
        <v>0.5</v>
      </c>
      <c r="N66" s="2539" t="s">
        <v>1385</v>
      </c>
      <c r="Z66" s="1749"/>
      <c r="AI66" s="1750"/>
    </row>
    <row r="67" spans="1:35" ht="14.25" customHeight="1">
      <c r="A67" s="173" t="s">
        <v>328</v>
      </c>
      <c r="B67" s="174" t="s">
        <v>1386</v>
      </c>
      <c r="C67" s="2563">
        <f ca="1">C63-C66</f>
        <v>918</v>
      </c>
      <c r="D67" s="170" t="s">
        <v>26</v>
      </c>
      <c r="E67" s="172"/>
      <c r="F67" s="1805"/>
      <c r="G67" s="1805"/>
      <c r="H67" s="1807"/>
      <c r="I67" s="129"/>
      <c r="J67" s="3708"/>
      <c r="K67" s="3461" t="s">
        <v>1387</v>
      </c>
      <c r="L67" s="3461">
        <f ca="1">IF(M49&gt;=10000,(8.25+(M49-10000)*0.01%),IF(AND(M49&gt;=8000,M49&lt;10000),(7.85+(M49-8000)*0.02%),IF(AND(M49&gt;=5000,M49&lt;8000),(6.65+(M49-5000)*0.04%),IF(AND(M49&gt;=2000,M49&lt;5000),(4.25+(PM49-2000)*0.08%),IF(AND(M49&gt;=1000,M49&lt;2000),(2.75+(M49-1000)*0.15%),IF(AND(M49&gt;=100,M49&lt;1000),(0.5+(M49-100)*0.25%),IF(AND(M49&gt;0,M49&lt;100),M49*0.5%)))))))</f>
        <v>2.66</v>
      </c>
      <c r="M67" s="302">
        <f ca="1">ROUND(L67*0.9,1)</f>
        <v>2.4</v>
      </c>
      <c r="N67" s="2538"/>
      <c r="Z67" s="1749"/>
      <c r="AI67" s="1750"/>
    </row>
    <row r="68" spans="1:35" ht="14.25" customHeight="1" thickBot="1">
      <c r="A68" s="176" t="s">
        <v>329</v>
      </c>
      <c r="B68" s="177" t="s">
        <v>1388</v>
      </c>
      <c r="C68" s="2564">
        <f ca="1">IF(C67&lt;=0,0,ROUND(C67*D68,0))</f>
        <v>50</v>
      </c>
      <c r="D68" s="2565">
        <f>'数据-取费表'!B41</f>
        <v>5.5000000000000007E-2</v>
      </c>
      <c r="E68" s="178"/>
      <c r="F68" s="1805"/>
      <c r="G68" s="1805"/>
      <c r="H68" s="1807"/>
      <c r="I68" s="129"/>
      <c r="J68" s="3708"/>
      <c r="K68" s="3461" t="s">
        <v>1389</v>
      </c>
      <c r="L68" s="3461">
        <f ca="1">IF(M49&gt;10000,M49*0.5%,IF(AND(M49&gt;5000,M49&lt;=10000),M49*1%,IF(AND(M49&gt;1000,M49&lt;=5000),M49*2%,IF(AND(M49&gt;200,M49&lt;=1000),M49*3%,M49*5%))))</f>
        <v>28.919999999999998</v>
      </c>
      <c r="M68" s="302">
        <f ca="1">ROUND(L68,1)</f>
        <v>28.9</v>
      </c>
      <c r="N68" s="2538"/>
      <c r="Z68" s="1749"/>
      <c r="AI68" s="1750"/>
    </row>
    <row r="69" spans="1:35" s="1769" customFormat="1" ht="16.5" customHeight="1">
      <c r="A69" s="1808"/>
      <c r="B69" s="1809"/>
      <c r="C69" s="1810"/>
      <c r="D69" s="1811"/>
      <c r="E69" s="1812"/>
      <c r="F69" s="1575"/>
      <c r="G69" s="1575"/>
      <c r="H69" s="1574"/>
      <c r="I69" s="1744"/>
      <c r="J69" s="3708"/>
      <c r="K69" s="3461" t="s">
        <v>1390</v>
      </c>
      <c r="L69" s="3461"/>
      <c r="M69" s="302">
        <f ca="1">ROUND(SUM(M63:M68),0)</f>
        <v>72</v>
      </c>
      <c r="N69" s="2540">
        <f ca="1">M69/M49</f>
        <v>7.4688796680497924E-2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0" t="s">
        <v>1391</v>
      </c>
      <c r="B70" s="3671"/>
      <c r="C70" s="3671"/>
      <c r="D70" s="3671"/>
      <c r="E70" s="3671"/>
      <c r="F70" s="3671"/>
      <c r="G70" s="3671"/>
      <c r="H70" s="3671"/>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9" t="s">
        <v>1372</v>
      </c>
      <c r="B71" s="3650"/>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918</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4" t="s">
        <v>1399</v>
      </c>
      <c r="F76" s="3618"/>
      <c r="G76" s="3618"/>
      <c r="H76" s="366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28" t="s">
        <v>1403</v>
      </c>
      <c r="F78" s="3629"/>
      <c r="G78" s="3629"/>
      <c r="H78" s="363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913</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182.6</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0" t="s">
        <v>1407</v>
      </c>
      <c r="B83" s="3671"/>
      <c r="C83" s="3671"/>
      <c r="D83" s="3671"/>
      <c r="E83" s="3671"/>
      <c r="F83" s="3671"/>
      <c r="G83" s="3671"/>
      <c r="H83" s="367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9" t="s">
        <v>1372</v>
      </c>
      <c r="B84" s="3650"/>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918</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710" t="s">
        <v>2125</v>
      </c>
      <c r="H90" s="3711"/>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28" t="s">
        <v>1416</v>
      </c>
      <c r="F91" s="3629"/>
      <c r="G91" s="3629"/>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28" t="s">
        <v>1419</v>
      </c>
      <c r="F92" s="3629"/>
      <c r="G92" s="3629"/>
      <c r="H92" s="3638"/>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28" t="s">
        <v>1403</v>
      </c>
      <c r="F93" s="3629"/>
      <c r="G93" s="3629"/>
      <c r="H93" s="363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639" t="s">
        <v>1423</v>
      </c>
      <c r="F94" s="3640"/>
      <c r="G94" s="3640"/>
      <c r="H94" s="364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616</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2.0421498664957296</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30"/>
      <c r="E100" s="3613" t="s">
        <v>1426</v>
      </c>
      <c r="F100" s="3613"/>
      <c r="G100" s="3613"/>
      <c r="H100" s="3630"/>
      <c r="I100" s="129"/>
    </row>
    <row r="101" spans="1:35" ht="18.75" customHeight="1">
      <c r="A101" s="3691" t="s">
        <v>1427</v>
      </c>
      <c r="B101" s="3692"/>
      <c r="C101" s="2580" t="str">
        <f>C4</f>
        <v>比较法-车位</v>
      </c>
      <c r="D101" s="2581" t="str">
        <f>D4</f>
        <v>收益法 (元)</v>
      </c>
      <c r="E101" s="3705" t="s">
        <v>1428</v>
      </c>
      <c r="F101" s="3662"/>
      <c r="G101" s="1824" t="s">
        <v>1429</v>
      </c>
      <c r="H101" s="2590">
        <f ca="1">H118</f>
        <v>12</v>
      </c>
      <c r="I101" s="129"/>
    </row>
    <row r="102" spans="1:35" ht="18.75" customHeight="1">
      <c r="A102" s="3664" t="s">
        <v>1430</v>
      </c>
      <c r="B102" s="2579" t="s">
        <v>1429</v>
      </c>
      <c r="C102" s="2580">
        <f ca="1">IF(D32="楼面单价",ROUND(C19,0),C19)</f>
        <v>14</v>
      </c>
      <c r="D102" s="2581">
        <f ca="1">IF(D32="楼面单价",ROUND(D19,0),D19)</f>
        <v>8</v>
      </c>
      <c r="E102" s="3705"/>
      <c r="F102" s="3662"/>
      <c r="G102" s="1824" t="s">
        <v>1431</v>
      </c>
      <c r="H102" s="2550">
        <f ca="1">I118</f>
        <v>4037</v>
      </c>
      <c r="I102" s="129"/>
    </row>
    <row r="103" spans="1:35" ht="42.75" customHeight="1">
      <c r="A103" s="3664"/>
      <c r="B103" s="2579" t="s">
        <v>1431</v>
      </c>
      <c r="C103" s="2582">
        <f ca="1">C20</f>
        <v>4819</v>
      </c>
      <c r="D103" s="2583">
        <f ca="1">D20</f>
        <v>2863</v>
      </c>
      <c r="E103" s="3699" t="s">
        <v>1432</v>
      </c>
      <c r="F103" s="3700"/>
      <c r="G103" s="1825" t="s">
        <v>1433</v>
      </c>
      <c r="H103" s="2590">
        <f>IF(D36="正常操作",H104+H105+H106,H105+H106)</f>
        <v>0</v>
      </c>
      <c r="I103" s="129"/>
    </row>
    <row r="104" spans="1:35" ht="18.75" customHeight="1">
      <c r="A104" s="3664"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5"/>
      <c r="B105" s="2587" t="s">
        <v>1431</v>
      </c>
      <c r="C105" s="2588">
        <f ca="1">I118</f>
        <v>4037</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61" t="str">
        <f>IF(项目基本情况!E8="已注销","——","3.房地产抵押价值")</f>
        <v>3.房地产抵押价值</v>
      </c>
      <c r="F107" s="3662"/>
      <c r="G107" s="1824" t="s">
        <v>1429</v>
      </c>
      <c r="H107" s="2590">
        <f ca="1">IF(E107="——","——",H101-H103)</f>
        <v>12</v>
      </c>
      <c r="I107" s="129"/>
    </row>
    <row r="108" spans="1:35" ht="18.75" customHeight="1">
      <c r="A108" s="129"/>
      <c r="B108" s="129"/>
      <c r="C108" s="129"/>
      <c r="D108" s="129"/>
      <c r="E108" s="3661"/>
      <c r="F108" s="3662"/>
      <c r="G108" s="1824" t="s">
        <v>1431</v>
      </c>
      <c r="H108" s="2550">
        <f ca="1">IF(H107=H101,H102,ROUND(H107*10000/'数据-汇总表'!E3,0))</f>
        <v>4037</v>
      </c>
      <c r="I108" s="129"/>
    </row>
    <row r="109" spans="1:35" ht="18.75" customHeight="1">
      <c r="A109" s="129"/>
      <c r="B109" s="129"/>
      <c r="C109" s="129"/>
      <c r="D109" s="129"/>
      <c r="E109" s="3661" t="str">
        <f>IF(项目基本情况!E8="已注销及未注销","4.抵押担保权已注销时的房地产抵押价值",IF(项目基本情况!E8="已注销","3.抵押担保权已注销时的房地产抵押价值","——"))</f>
        <v>——</v>
      </c>
      <c r="F109" s="3662"/>
      <c r="G109" s="1824" t="s">
        <v>1429</v>
      </c>
      <c r="H109" s="2593" t="str">
        <f>IF(E109="——","——",H101-H105-H106)</f>
        <v>——</v>
      </c>
      <c r="I109" s="129"/>
    </row>
    <row r="110" spans="1:35" ht="18.75" customHeight="1">
      <c r="A110" s="129"/>
      <c r="B110" s="129"/>
      <c r="C110" s="129"/>
      <c r="D110" s="129"/>
      <c r="E110" s="3661"/>
      <c r="F110" s="3662"/>
      <c r="G110" s="1824" t="s">
        <v>1431</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4.抵押净值</v>
      </c>
      <c r="F111" s="3663"/>
      <c r="G111" s="1824" t="s">
        <v>1429</v>
      </c>
      <c r="H111" s="2590">
        <f ca="1">IF(E111="——","——",N59)</f>
        <v>650</v>
      </c>
      <c r="I111" s="129"/>
    </row>
    <row r="112" spans="1:35" ht="18.75" customHeight="1" thickBot="1">
      <c r="A112" s="129"/>
      <c r="B112" s="129"/>
      <c r="C112" s="129"/>
      <c r="D112" s="129"/>
      <c r="E112" s="3694"/>
      <c r="F112" s="3695"/>
      <c r="G112" s="1827" t="s">
        <v>1431</v>
      </c>
      <c r="H112" s="2594">
        <f ca="1">IF(E111="——","——",N61)</f>
        <v>56015</v>
      </c>
      <c r="I112" s="129"/>
    </row>
    <row r="113" spans="1:27" ht="18.75" customHeight="1">
      <c r="A113" s="129"/>
      <c r="B113" s="129"/>
      <c r="C113" s="129"/>
      <c r="D113" s="129"/>
      <c r="E113" s="3666" t="s">
        <v>1437</v>
      </c>
      <c r="F113" s="3666"/>
      <c r="G113" s="3666"/>
      <c r="H113" s="3666"/>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2" t="s">
        <v>1440</v>
      </c>
      <c r="B116" s="3667" t="s">
        <v>1441</v>
      </c>
      <c r="C116" s="3667" t="s">
        <v>1442</v>
      </c>
      <c r="D116" s="3680" t="s">
        <v>1443</v>
      </c>
      <c r="E116" s="3681"/>
      <c r="F116" s="3675" t="s">
        <v>1444</v>
      </c>
      <c r="G116" s="3675"/>
      <c r="H116" s="3632" t="s">
        <v>1445</v>
      </c>
      <c r="I116" s="3632"/>
    </row>
    <row r="117" spans="1:27" ht="18.75" customHeight="1">
      <c r="A117" s="3632"/>
      <c r="B117" s="3668"/>
      <c r="C117" s="3668"/>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-17</v>
      </c>
      <c r="E118" s="3449">
        <f ca="1">ROUND(IF(C33="自定义",IF(D32="楼面单价",C34,D118*10000/B118),I118-G118),0)</f>
        <v>-5995</v>
      </c>
      <c r="F118" s="3449">
        <f ca="1">ROUND(IF(D32="总价",C35,G118*B118/10000),0)</f>
        <v>29</v>
      </c>
      <c r="G118" s="3449">
        <f ca="1">ROUND(IF(D32="楼面单价",C35,F118*10000/B118),0)</f>
        <v>10032</v>
      </c>
      <c r="H118" s="3449">
        <f ca="1">ROUND(IF(D32="总价",C32,I118*B118/10000),0)</f>
        <v>12</v>
      </c>
      <c r="I118" s="3449">
        <f ca="1">ROUND(IF(D32="楼面单价",C32,H118*10000/B118),0)</f>
        <v>4037</v>
      </c>
    </row>
    <row r="119" spans="1:27" ht="18.75" customHeight="1">
      <c r="A119" s="3632" t="s">
        <v>1449</v>
      </c>
      <c r="B119" s="3632"/>
      <c r="C119" s="3632"/>
      <c r="D119" s="3672" t="e">
        <f ca="1">NUMBERSTRING(INT(D118*10000),2)&amp;"元整"</f>
        <v>#NUM!</v>
      </c>
      <c r="E119" s="3674"/>
      <c r="F119" s="3672" t="str">
        <f ca="1">NUMBERSTRING(INT(F118*10000),2)&amp;"元整"</f>
        <v>贰拾玖万元整</v>
      </c>
      <c r="G119" s="3674"/>
      <c r="H119" s="3672" t="str">
        <f ca="1">NUMBERSTRING(INT(H118*10000),2)&amp;"元整"</f>
        <v>壹拾贰万元整</v>
      </c>
      <c r="I119" s="3674"/>
    </row>
    <row r="120" spans="1:27" ht="18.75" customHeight="1">
      <c r="A120" s="3696" t="str">
        <f>IF(项目基本情况!B9="房地产市场价值","",MID(E103,3,LEN(E103)-2))</f>
        <v>估价师知悉的法定优先受偿款</v>
      </c>
      <c r="B120" s="3697"/>
      <c r="C120" s="3698"/>
      <c r="D120" s="3696">
        <f>H103</f>
        <v>0</v>
      </c>
      <c r="E120" s="3697"/>
      <c r="F120" s="3697"/>
      <c r="G120" s="3697"/>
      <c r="H120" s="3697"/>
      <c r="I120" s="369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2" t="s">
        <v>1449</v>
      </c>
      <c r="B121" s="3673"/>
      <c r="C121" s="3674"/>
      <c r="D121" s="3672" t="str">
        <f>IF(D120=0,"零元整",NUMBERSTRING(INT(D120*10000),2)&amp;"元整")</f>
        <v>零元整</v>
      </c>
      <c r="E121" s="3673"/>
      <c r="F121" s="3673"/>
      <c r="G121" s="3673"/>
      <c r="H121" s="3673"/>
      <c r="I121" s="3674"/>
      <c r="AA121" s="724"/>
    </row>
    <row r="122" spans="1:27" ht="18.75" customHeight="1">
      <c r="A122" s="3663" t="str">
        <f>IF(项目基本情况!B9="房地产市场价值","",MID(E107,3,LEN(E107)-2))</f>
        <v>房地产抵押价值</v>
      </c>
      <c r="B122" s="3663"/>
      <c r="C122" s="3663"/>
      <c r="D122" s="3696">
        <f ca="1">H107</f>
        <v>12</v>
      </c>
      <c r="E122" s="3697"/>
      <c r="F122" s="3697"/>
      <c r="G122" s="3697"/>
      <c r="H122" s="3697"/>
      <c r="I122" s="3698"/>
      <c r="AA122" s="724"/>
    </row>
    <row r="123" spans="1:27" ht="18.75" customHeight="1">
      <c r="A123" s="3632" t="s">
        <v>1449</v>
      </c>
      <c r="B123" s="3632"/>
      <c r="C123" s="3632"/>
      <c r="D123" s="3672" t="str">
        <f ca="1">NUMBERSTRING(INT(D122*10000),2)&amp;"元整"</f>
        <v>壹拾贰万元整</v>
      </c>
      <c r="E123" s="3673"/>
      <c r="F123" s="3673"/>
      <c r="G123" s="3673"/>
      <c r="H123" s="3673"/>
      <c r="I123" s="3674"/>
      <c r="AA123" s="724"/>
    </row>
    <row r="124" spans="1:27" ht="18.75" customHeight="1">
      <c r="A124" s="3663" t="str">
        <f>IF(项目基本情况!B9="房地产市场价值","",MID(E109,3,LEN(E109)-2))</f>
        <v/>
      </c>
      <c r="B124" s="3663"/>
      <c r="C124" s="3663"/>
      <c r="D124" s="3696" t="str">
        <f>H109</f>
        <v>——</v>
      </c>
      <c r="E124" s="3697"/>
      <c r="F124" s="3697"/>
      <c r="G124" s="3697"/>
      <c r="H124" s="3697"/>
      <c r="I124" s="3698"/>
      <c r="AA124" s="724"/>
    </row>
    <row r="125" spans="1:27" ht="18.75" customHeight="1">
      <c r="A125" s="3632" t="s">
        <v>1449</v>
      </c>
      <c r="B125" s="3632"/>
      <c r="C125" s="3632"/>
      <c r="D125" s="3672" t="e">
        <f>NUMBERSTRING(INT(D124*10000),2)&amp;"元整"</f>
        <v>#VALUE!</v>
      </c>
      <c r="E125" s="3673"/>
      <c r="F125" s="3673"/>
      <c r="G125" s="3673"/>
      <c r="H125" s="3673"/>
      <c r="I125" s="3674"/>
      <c r="AA125" s="724"/>
    </row>
    <row r="126" spans="1:27" ht="18.75" customHeight="1">
      <c r="A126" s="3663" t="str">
        <f>IF(项目基本情况!B9="房地产市场价值","",MID(E111,3,LEN(E111)-2))</f>
        <v>抵押净值</v>
      </c>
      <c r="B126" s="3663"/>
      <c r="C126" s="3663"/>
      <c r="D126" s="3696">
        <f ca="1">H111</f>
        <v>650</v>
      </c>
      <c r="E126" s="3697"/>
      <c r="F126" s="3697"/>
      <c r="G126" s="3697"/>
      <c r="H126" s="3697"/>
      <c r="I126" s="3698"/>
      <c r="AA126" s="724"/>
    </row>
    <row r="127" spans="1:27" ht="18.75" customHeight="1">
      <c r="A127" s="3632" t="s">
        <v>1449</v>
      </c>
      <c r="B127" s="3632"/>
      <c r="C127" s="3632"/>
      <c r="D127" s="3672" t="str">
        <f ca="1">NUMBERSTRING(INT(D126*10000),2)&amp;"元整"</f>
        <v>陆佰伍拾万元整</v>
      </c>
      <c r="E127" s="3673"/>
      <c r="F127" s="3673"/>
      <c r="G127" s="3673"/>
      <c r="H127" s="3673"/>
      <c r="I127" s="3674"/>
      <c r="AA127" s="724"/>
    </row>
    <row r="128" spans="1:27" ht="21.75" customHeight="1">
      <c r="A128" s="3679" t="s">
        <v>1450</v>
      </c>
      <c r="B128" s="3679"/>
      <c r="C128" s="3679"/>
      <c r="D128" s="3679"/>
      <c r="E128" s="3679"/>
      <c r="F128" s="3679"/>
      <c r="G128" s="3679"/>
      <c r="H128" s="3679"/>
      <c r="I128" s="3679"/>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F93" sqref="F93"/>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14</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4819</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14</v>
      </c>
      <c r="N3" s="2730"/>
      <c r="O3" s="2730"/>
      <c r="P3" s="1163"/>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40" t="s">
        <v>1768</v>
      </c>
      <c r="S4" s="3741"/>
      <c r="T4" s="3740" t="s">
        <v>1769</v>
      </c>
      <c r="U4" s="3741"/>
      <c r="V4" s="3746" t="s">
        <v>1770</v>
      </c>
      <c r="W4" s="3746"/>
      <c r="X4" s="1352"/>
      <c r="Y4" s="3740" t="s">
        <v>1772</v>
      </c>
      <c r="Z4" s="3741"/>
      <c r="AA4" s="3727" t="s">
        <v>1768</v>
      </c>
      <c r="AB4" s="3728" t="s">
        <v>1769</v>
      </c>
      <c r="AC4" s="3727" t="s">
        <v>1770</v>
      </c>
    </row>
    <row r="5" spans="1:29" ht="15">
      <c r="A5" s="358"/>
      <c r="B5" s="359"/>
      <c r="C5" s="3754" t="s">
        <v>1670</v>
      </c>
      <c r="D5" s="3750"/>
      <c r="E5" s="3757" t="s">
        <v>4081</v>
      </c>
      <c r="F5" s="3758"/>
      <c r="G5" s="3749" t="s">
        <v>4082</v>
      </c>
      <c r="H5" s="3750"/>
      <c r="I5" s="3749" t="s">
        <v>4083</v>
      </c>
      <c r="J5" s="3750"/>
      <c r="K5" s="559"/>
      <c r="L5" s="2710"/>
      <c r="M5" s="2711"/>
      <c r="N5" s="2711"/>
      <c r="O5" s="2711"/>
      <c r="P5" s="3736"/>
      <c r="Q5" s="3737"/>
      <c r="R5" s="3742"/>
      <c r="S5" s="3743"/>
      <c r="T5" s="3742"/>
      <c r="U5" s="3743"/>
      <c r="V5" s="3746"/>
      <c r="W5" s="3746"/>
      <c r="X5" s="1352"/>
      <c r="Y5" s="3742"/>
      <c r="Z5" s="3743"/>
      <c r="AA5" s="3728"/>
      <c r="AB5" s="3728"/>
      <c r="AC5" s="3728"/>
    </row>
    <row r="6" spans="1:29" ht="15.75" thickBot="1">
      <c r="A6" s="360"/>
      <c r="B6" s="361"/>
      <c r="C6" s="3747" t="s">
        <v>1674</v>
      </c>
      <c r="D6" s="3748"/>
      <c r="E6" s="3755" t="s">
        <v>1674</v>
      </c>
      <c r="F6" s="3756"/>
      <c r="G6" s="3747" t="s">
        <v>1674</v>
      </c>
      <c r="H6" s="3748"/>
      <c r="I6" s="3747" t="s">
        <v>1674</v>
      </c>
      <c r="J6" s="3748"/>
      <c r="K6" s="559" t="s">
        <v>1675</v>
      </c>
      <c r="L6" s="2710"/>
      <c r="M6" s="2711"/>
      <c r="N6" s="2711"/>
      <c r="O6" s="2711"/>
      <c r="P6" s="3738"/>
      <c r="Q6" s="3739"/>
      <c r="R6" s="3742"/>
      <c r="S6" s="3743"/>
      <c r="T6" s="3744"/>
      <c r="U6" s="3745"/>
      <c r="V6" s="3746"/>
      <c r="W6" s="3746"/>
      <c r="X6" s="1352"/>
      <c r="Y6" s="3744"/>
      <c r="Z6" s="3745"/>
      <c r="AA6" s="3729"/>
      <c r="AB6" s="3729"/>
      <c r="AC6" s="3729"/>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51" t="s">
        <v>1677</v>
      </c>
      <c r="Q7" s="3753"/>
      <c r="R7" s="700" t="s">
        <v>14</v>
      </c>
      <c r="S7" s="701">
        <f t="shared" ref="S7:S14" si="0">F7</f>
        <v>100</v>
      </c>
      <c r="T7" s="700" t="s">
        <v>14</v>
      </c>
      <c r="U7" s="701">
        <f t="shared" ref="U7:U14" si="1">H7</f>
        <v>100</v>
      </c>
      <c r="V7" s="700" t="s">
        <v>14</v>
      </c>
      <c r="W7" s="701">
        <f t="shared" ref="W7:W14" si="2">J7</f>
        <v>100</v>
      </c>
      <c r="X7" s="702"/>
      <c r="Y7" s="3751" t="s">
        <v>1677</v>
      </c>
      <c r="Z7" s="3752"/>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51" t="s">
        <v>1680</v>
      </c>
      <c r="Q8" s="3752"/>
      <c r="R8" s="700" t="s">
        <v>14</v>
      </c>
      <c r="S8" s="701">
        <f t="shared" si="0"/>
        <v>100</v>
      </c>
      <c r="T8" s="700" t="s">
        <v>14</v>
      </c>
      <c r="U8" s="701">
        <f t="shared" si="1"/>
        <v>100</v>
      </c>
      <c r="V8" s="700" t="s">
        <v>14</v>
      </c>
      <c r="W8" s="701">
        <f t="shared" si="2"/>
        <v>100</v>
      </c>
      <c r="X8" s="702"/>
      <c r="Y8" s="3751" t="s">
        <v>1680</v>
      </c>
      <c r="Z8" s="3752"/>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15" t="s">
        <v>1683</v>
      </c>
      <c r="Q9" s="1340" t="str">
        <f t="shared" ref="Q9:Q14" si="6">B9</f>
        <v>用途</v>
      </c>
      <c r="R9" s="700" t="s">
        <v>14</v>
      </c>
      <c r="S9" s="701">
        <f t="shared" si="0"/>
        <v>100</v>
      </c>
      <c r="T9" s="700" t="s">
        <v>14</v>
      </c>
      <c r="U9" s="701">
        <f t="shared" si="1"/>
        <v>100</v>
      </c>
      <c r="V9" s="700" t="s">
        <v>14</v>
      </c>
      <c r="W9" s="701">
        <f t="shared" si="2"/>
        <v>100</v>
      </c>
      <c r="X9" s="702"/>
      <c r="Y9" s="3619"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5"/>
      <c r="Q10" s="1340"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5"/>
      <c r="Q11" s="1340">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5"/>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5"/>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17" t="s">
        <v>1688</v>
      </c>
      <c r="Q14" s="1349" t="str">
        <f t="shared" si="6"/>
        <v>交通便捷度</v>
      </c>
      <c r="R14" s="704" t="s">
        <v>14</v>
      </c>
      <c r="S14" s="705">
        <f t="shared" si="0"/>
        <v>100</v>
      </c>
      <c r="T14" s="704" t="s">
        <v>14</v>
      </c>
      <c r="U14" s="705">
        <f t="shared" si="1"/>
        <v>103</v>
      </c>
      <c r="V14" s="704" t="s">
        <v>14</v>
      </c>
      <c r="W14" s="705">
        <f t="shared" si="2"/>
        <v>100</v>
      </c>
      <c r="X14" s="1352"/>
      <c r="Y14" s="3717"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18"/>
      <c r="Q15" s="1349"/>
      <c r="R15" s="704"/>
      <c r="S15" s="705"/>
      <c r="T15" s="704"/>
      <c r="U15" s="705"/>
      <c r="V15" s="704"/>
      <c r="W15" s="705"/>
      <c r="X15" s="1352"/>
      <c r="Y15" s="3718"/>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18"/>
      <c r="Q16" s="1349" t="str">
        <f>B16</f>
        <v>公共配套设施</v>
      </c>
      <c r="R16" s="704" t="s">
        <v>14</v>
      </c>
      <c r="S16" s="705">
        <f>F16</f>
        <v>100</v>
      </c>
      <c r="T16" s="704" t="s">
        <v>14</v>
      </c>
      <c r="U16" s="705">
        <f>H16</f>
        <v>103</v>
      </c>
      <c r="V16" s="704" t="s">
        <v>14</v>
      </c>
      <c r="W16" s="705">
        <f>J16</f>
        <v>100</v>
      </c>
      <c r="X16" s="1352"/>
      <c r="Y16" s="3718"/>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18"/>
      <c r="Q17" s="1349"/>
      <c r="R17" s="704"/>
      <c r="S17" s="705"/>
      <c r="T17" s="704"/>
      <c r="U17" s="705"/>
      <c r="V17" s="704"/>
      <c r="W17" s="705"/>
      <c r="X17" s="1352"/>
      <c r="Y17" s="3718"/>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18"/>
      <c r="Q18" s="1349" t="str">
        <f>B18</f>
        <v>基础设施水平</v>
      </c>
      <c r="R18" s="704" t="s">
        <v>14</v>
      </c>
      <c r="S18" s="705">
        <f>F18</f>
        <v>100</v>
      </c>
      <c r="T18" s="704" t="s">
        <v>14</v>
      </c>
      <c r="U18" s="705">
        <f>H18</f>
        <v>100</v>
      </c>
      <c r="V18" s="704" t="s">
        <v>14</v>
      </c>
      <c r="W18" s="705">
        <f>J18</f>
        <v>100</v>
      </c>
      <c r="X18" s="1352"/>
      <c r="Y18" s="3718"/>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18"/>
      <c r="Q19" s="1349"/>
      <c r="R19" s="704"/>
      <c r="S19" s="705"/>
      <c r="T19" s="704"/>
      <c r="U19" s="705"/>
      <c r="V19" s="704"/>
      <c r="W19" s="705"/>
      <c r="X19" s="1352"/>
      <c r="Y19" s="3718"/>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18"/>
      <c r="Q20" s="1349" t="str">
        <f>B20</f>
        <v>自然及人文环境</v>
      </c>
      <c r="R20" s="704" t="s">
        <v>14</v>
      </c>
      <c r="S20" s="705">
        <f>F20</f>
        <v>100</v>
      </c>
      <c r="T20" s="704" t="s">
        <v>14</v>
      </c>
      <c r="U20" s="705">
        <f>H20</f>
        <v>100</v>
      </c>
      <c r="V20" s="704" t="s">
        <v>14</v>
      </c>
      <c r="W20" s="705">
        <f>J20</f>
        <v>100</v>
      </c>
      <c r="X20" s="1352"/>
      <c r="Y20" s="3718"/>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18"/>
      <c r="Q21" s="1349"/>
      <c r="R21" s="704"/>
      <c r="S21" s="705"/>
      <c r="T21" s="704"/>
      <c r="U21" s="705"/>
      <c r="V21" s="704"/>
      <c r="W21" s="705"/>
      <c r="X21" s="1352"/>
      <c r="Y21" s="3718"/>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8"/>
      <c r="Q22" s="1349" t="str">
        <f>B22</f>
        <v>楼层</v>
      </c>
      <c r="R22" s="704" t="s">
        <v>14</v>
      </c>
      <c r="S22" s="705">
        <f>F22</f>
        <v>100</v>
      </c>
      <c r="T22" s="704" t="s">
        <v>14</v>
      </c>
      <c r="U22" s="705">
        <f>H22</f>
        <v>100</v>
      </c>
      <c r="V22" s="704" t="s">
        <v>14</v>
      </c>
      <c r="W22" s="705">
        <f>J22</f>
        <v>100</v>
      </c>
      <c r="X22" s="1352"/>
      <c r="Y22" s="371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8"/>
      <c r="Q23" s="1349">
        <f>B23</f>
        <v>111</v>
      </c>
      <c r="R23" s="704" t="s">
        <v>14</v>
      </c>
      <c r="S23" s="705">
        <f>F23</f>
        <v>100</v>
      </c>
      <c r="T23" s="704" t="s">
        <v>14</v>
      </c>
      <c r="U23" s="705">
        <f>H23</f>
        <v>100</v>
      </c>
      <c r="V23" s="704" t="s">
        <v>14</v>
      </c>
      <c r="W23" s="705">
        <f>J23</f>
        <v>100</v>
      </c>
      <c r="X23" s="1352"/>
      <c r="Y23" s="371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8"/>
      <c r="Q24" s="1349">
        <f t="shared" ref="Q24:Q36" si="11">B24</f>
        <v>111</v>
      </c>
      <c r="R24" s="704" t="s">
        <v>14</v>
      </c>
      <c r="S24" s="705">
        <f>F24</f>
        <v>100</v>
      </c>
      <c r="T24" s="704" t="s">
        <v>14</v>
      </c>
      <c r="U24" s="705">
        <f>H24</f>
        <v>100</v>
      </c>
      <c r="V24" s="704" t="s">
        <v>14</v>
      </c>
      <c r="W24" s="705">
        <f>J24</f>
        <v>100</v>
      </c>
      <c r="X24" s="1352"/>
      <c r="Y24" s="371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8"/>
      <c r="Q25" s="1340">
        <f t="shared" si="11"/>
        <v>111</v>
      </c>
      <c r="R25" s="700" t="s">
        <v>14</v>
      </c>
      <c r="S25" s="701">
        <f>F25</f>
        <v>100</v>
      </c>
      <c r="T25" s="700" t="s">
        <v>14</v>
      </c>
      <c r="U25" s="701">
        <f>H25</f>
        <v>100</v>
      </c>
      <c r="V25" s="700" t="s">
        <v>14</v>
      </c>
      <c r="W25" s="701">
        <f>J25</f>
        <v>100</v>
      </c>
      <c r="X25" s="702"/>
      <c r="Y25" s="3718"/>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5"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22"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22"/>
      <c r="Q28" s="1349" t="str">
        <f t="shared" si="11"/>
        <v>公共部分装修</v>
      </c>
      <c r="R28" s="704" t="s">
        <v>14</v>
      </c>
      <c r="S28" s="705">
        <f t="shared" si="12"/>
        <v>100</v>
      </c>
      <c r="T28" s="704" t="s">
        <v>14</v>
      </c>
      <c r="U28" s="705">
        <f t="shared" si="13"/>
        <v>100</v>
      </c>
      <c r="V28" s="704" t="s">
        <v>14</v>
      </c>
      <c r="W28" s="705">
        <f t="shared" si="14"/>
        <v>100</v>
      </c>
      <c r="X28" s="1352"/>
      <c r="Y28" s="3722"/>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22"/>
      <c r="Q29" s="1349" t="str">
        <f t="shared" si="11"/>
        <v>成新率</v>
      </c>
      <c r="R29" s="704" t="s">
        <v>14</v>
      </c>
      <c r="S29" s="705">
        <f t="shared" si="12"/>
        <v>100</v>
      </c>
      <c r="T29" s="704" t="s">
        <v>14</v>
      </c>
      <c r="U29" s="705">
        <f t="shared" si="13"/>
        <v>100</v>
      </c>
      <c r="V29" s="704" t="s">
        <v>14</v>
      </c>
      <c r="W29" s="705">
        <f t="shared" si="14"/>
        <v>100</v>
      </c>
      <c r="X29" s="1352"/>
      <c r="Y29" s="3722"/>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2"/>
      <c r="Q30" s="1349" t="str">
        <f t="shared" si="11"/>
        <v>物业等级</v>
      </c>
      <c r="R30" s="704" t="s">
        <v>14</v>
      </c>
      <c r="S30" s="705">
        <f t="shared" si="12"/>
        <v>100</v>
      </c>
      <c r="T30" s="704" t="s">
        <v>14</v>
      </c>
      <c r="U30" s="705">
        <f t="shared" si="13"/>
        <v>100</v>
      </c>
      <c r="V30" s="704" t="s">
        <v>14</v>
      </c>
      <c r="W30" s="705">
        <f t="shared" si="14"/>
        <v>100</v>
      </c>
      <c r="X30" s="1352"/>
      <c r="Y30" s="3722"/>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110</v>
      </c>
      <c r="G31" s="420">
        <v>31.58</v>
      </c>
      <c r="H31" s="386">
        <f>LOOKUP(G31,91:91,92:92)-LOOKUP(C31,91:91,92:92)+100</f>
        <v>110</v>
      </c>
      <c r="I31" s="420">
        <v>31.6</v>
      </c>
      <c r="J31" s="386">
        <f>LOOKUP(I31,91:91,92:92)-LOOKUP(C31,91:91,92:92)+100</f>
        <v>110</v>
      </c>
      <c r="K31" s="561"/>
      <c r="L31" s="2712"/>
      <c r="M31" s="2713"/>
      <c r="N31" s="2713"/>
      <c r="O31" s="2713"/>
      <c r="P31" s="3722"/>
      <c r="Q31" s="1340" t="str">
        <f t="shared" si="11"/>
        <v>停车位面积</v>
      </c>
      <c r="R31" s="700" t="s">
        <v>14</v>
      </c>
      <c r="S31" s="701">
        <f t="shared" si="12"/>
        <v>110</v>
      </c>
      <c r="T31" s="700" t="s">
        <v>14</v>
      </c>
      <c r="U31" s="701">
        <f t="shared" si="13"/>
        <v>110</v>
      </c>
      <c r="V31" s="700" t="s">
        <v>14</v>
      </c>
      <c r="W31" s="701">
        <f t="shared" si="14"/>
        <v>110</v>
      </c>
      <c r="X31" s="702"/>
      <c r="Y31" s="3722"/>
      <c r="Z31" s="52" t="str">
        <f t="shared" si="15"/>
        <v>停车位面积</v>
      </c>
      <c r="AA31" s="703">
        <f t="shared" si="3"/>
        <v>0.90909090909090906</v>
      </c>
      <c r="AB31" s="703">
        <f t="shared" si="4"/>
        <v>0.90909090909090906</v>
      </c>
      <c r="AC31" s="703">
        <f t="shared" si="5"/>
        <v>0.90909090909090906</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22" t="s">
        <v>1693</v>
      </c>
      <c r="Q32" s="1349" t="str">
        <f t="shared" si="11"/>
        <v>车位类型</v>
      </c>
      <c r="R32" s="704" t="s">
        <v>14</v>
      </c>
      <c r="S32" s="705">
        <f t="shared" si="12"/>
        <v>100</v>
      </c>
      <c r="T32" s="704" t="s">
        <v>14</v>
      </c>
      <c r="U32" s="705">
        <f t="shared" si="13"/>
        <v>100</v>
      </c>
      <c r="V32" s="704" t="s">
        <v>14</v>
      </c>
      <c r="W32" s="705">
        <f t="shared" si="14"/>
        <v>100</v>
      </c>
      <c r="X32" s="1352"/>
      <c r="Y32" s="3722"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2"/>
      <c r="Q33" s="1349" t="str">
        <f t="shared" si="11"/>
        <v>是否直接入户</v>
      </c>
      <c r="R33" s="704" t="s">
        <v>14</v>
      </c>
      <c r="S33" s="705">
        <f t="shared" si="12"/>
        <v>100</v>
      </c>
      <c r="T33" s="704" t="s">
        <v>14</v>
      </c>
      <c r="U33" s="705">
        <f t="shared" si="13"/>
        <v>100</v>
      </c>
      <c r="V33" s="704" t="s">
        <v>14</v>
      </c>
      <c r="W33" s="705">
        <f t="shared" si="14"/>
        <v>100</v>
      </c>
      <c r="X33" s="1352"/>
      <c r="Y33" s="372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2"/>
      <c r="Q36" s="1349">
        <f t="shared" si="11"/>
        <v>111</v>
      </c>
      <c r="R36" s="704" t="s">
        <v>14</v>
      </c>
      <c r="S36" s="705">
        <f t="shared" si="12"/>
        <v>100</v>
      </c>
      <c r="T36" s="704" t="s">
        <v>14</v>
      </c>
      <c r="U36" s="705">
        <f t="shared" si="13"/>
        <v>100</v>
      </c>
      <c r="V36" s="704" t="s">
        <v>14</v>
      </c>
      <c r="W36" s="705">
        <f t="shared" si="14"/>
        <v>100</v>
      </c>
      <c r="X36" s="1352"/>
      <c r="Y36" s="3722"/>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15" t="str">
        <f>A37</f>
        <v>成交单价</v>
      </c>
      <c r="Q37" s="3715"/>
      <c r="R37" s="3716">
        <f>E37</f>
        <v>132000</v>
      </c>
      <c r="S37" s="3716"/>
      <c r="T37" s="3716">
        <f>G37</f>
        <v>169833</v>
      </c>
      <c r="U37" s="3716"/>
      <c r="V37" s="3716">
        <f>I37</f>
        <v>160000</v>
      </c>
      <c r="W37" s="3716"/>
      <c r="X37" s="689"/>
      <c r="Y37" s="711"/>
      <c r="Z37" s="689"/>
      <c r="AA37" s="689"/>
      <c r="AB37" s="689"/>
      <c r="AC37" s="689"/>
    </row>
    <row r="38" spans="1:29" ht="15.75" thickBot="1">
      <c r="A38" s="437" t="s">
        <v>1842</v>
      </c>
      <c r="B38" s="438" t="str">
        <f>B37</f>
        <v>元/车位</v>
      </c>
      <c r="C38" s="1158">
        <f>R39</f>
        <v>136995</v>
      </c>
      <c r="D38" s="2312" t="s">
        <v>2134</v>
      </c>
      <c r="E38" s="1159">
        <f>R38</f>
        <v>120000</v>
      </c>
      <c r="F38" s="2313"/>
      <c r="G38" s="1158">
        <f>T38</f>
        <v>145531</v>
      </c>
      <c r="H38" s="2313"/>
      <c r="I38" s="1159">
        <f>V38</f>
        <v>145455</v>
      </c>
      <c r="J38" s="2313"/>
      <c r="K38" s="2315">
        <f>F38+H38+J38</f>
        <v>0</v>
      </c>
      <c r="L38" s="2719"/>
      <c r="M38" s="2720"/>
      <c r="N38" s="2720"/>
      <c r="O38" s="2720"/>
      <c r="P38" s="3715" t="str">
        <f>A38</f>
        <v>比较价值（元/平方米）</v>
      </c>
      <c r="Q38" s="3715"/>
      <c r="R38" s="3716">
        <f>IF(F1="售价",ROUND(PRODUCT(R37,AA7:AA36),0),ROUND(PRODUCT(R37,AA7:AA36),1))</f>
        <v>120000</v>
      </c>
      <c r="S38" s="3716"/>
      <c r="T38" s="3716">
        <f>IF(F1="售价",ROUND(PRODUCT(T37,AB7:AB36),0),ROUND(PRODUCT(T37,AB7:AB36),1))</f>
        <v>145531</v>
      </c>
      <c r="U38" s="3716"/>
      <c r="V38" s="3716">
        <f>IF(F1="售价",ROUND(PRODUCT(V37,AC7:AC36),0),ROUND(PRODUCT(V37,AC7:AC36),1))</f>
        <v>145455</v>
      </c>
      <c r="W38" s="3716"/>
      <c r="X38" s="689"/>
      <c r="Y38" s="689"/>
      <c r="Z38" s="689"/>
      <c r="AA38" s="689"/>
      <c r="AB38" s="689"/>
      <c r="AC38" s="689"/>
    </row>
    <row r="39" spans="1:29" ht="15.75" thickBot="1">
      <c r="A39" s="441" t="s">
        <v>1843</v>
      </c>
      <c r="B39" s="442"/>
      <c r="C39" s="1161">
        <f>R39</f>
        <v>136995</v>
      </c>
      <c r="D39" s="1161"/>
      <c r="E39" s="1161"/>
      <c r="F39" s="1161"/>
      <c r="G39" s="1161"/>
      <c r="H39" s="1161"/>
      <c r="I39" s="1161"/>
      <c r="J39" s="1161"/>
      <c r="K39" s="569"/>
      <c r="L39" s="2719"/>
      <c r="M39" s="2720"/>
      <c r="N39" s="2720"/>
      <c r="O39" s="2720"/>
      <c r="P39" s="3712" t="str">
        <f>A39</f>
        <v>估价对象XX用房的比较价值（楼面单价，元/平方米）</v>
      </c>
      <c r="Q39" s="3713"/>
      <c r="R39" s="3780">
        <f>IF(F1="售价",ROUND(IF(D38="简单平均",AVERAGE(R38:W38),R38*F38+T38*H38+V38*J38),0),ROUND(IF(D38="简单平均",AVERAGE(R38:V38),R38*F38+T38*H38+V38*J38),1))</f>
        <v>136995</v>
      </c>
      <c r="S39" s="3780"/>
      <c r="T39" s="3780"/>
      <c r="U39" s="3780"/>
      <c r="V39" s="3780"/>
      <c r="W39" s="3780"/>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0.10000000000000009</v>
      </c>
      <c r="F42" s="449" t="str">
        <f>IF(OR(E42&gt;=0.3,E42&lt;=-0.3),"超过30%","")</f>
        <v/>
      </c>
      <c r="G42" s="448">
        <f>IF(G37&lt;G38,G38/G37-1,G37/G38-1)</f>
        <v>0.16698847668194405</v>
      </c>
      <c r="H42" s="449" t="str">
        <f>IF(OR(G42&gt;=0.3,G42&lt;=-0.3),"超过30%","")</f>
        <v/>
      </c>
      <c r="I42" s="448">
        <f>IF(I37&lt;I38,I38/I37-1,I37/I38-1)</f>
        <v>9.9996562510742182E-2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0.21275833333333338</v>
      </c>
      <c r="F43" s="449" t="str">
        <f>IF(OR(E43&gt;=0.2,E43&lt;=-0.2),"超过20%","")</f>
        <v>超过20%</v>
      </c>
      <c r="G43" s="448">
        <f>IF(G38&lt;I38,I38/G38-1,G38/I38-1)</f>
        <v>5.2249836719253651E-4</v>
      </c>
      <c r="H43" s="449" t="str">
        <f>IF(OR(G43&gt;=0.2,G43&lt;=-0.2),"超过20%","")</f>
        <v/>
      </c>
      <c r="I43" s="448">
        <f>IF(I38&lt;E38,E38/I38-1,I38/E38-1)</f>
        <v>0.2121249999999999</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20(含)-25</v>
      </c>
      <c r="D90" s="527" t="str">
        <f t="shared" ref="D90:L90" si="21">D91&amp;"(含)"&amp;"-"&amp;E91</f>
        <v>25(含)-30</v>
      </c>
      <c r="E90" s="527" t="str">
        <f t="shared" si="21"/>
        <v>30(含)-35</v>
      </c>
      <c r="F90" s="527" t="str">
        <f t="shared" si="21"/>
        <v>35(含)-40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20</v>
      </c>
      <c r="D91" s="544">
        <v>25</v>
      </c>
      <c r="E91" s="544">
        <v>30</v>
      </c>
      <c r="F91" s="544">
        <v>35</v>
      </c>
      <c r="G91" s="544">
        <v>40</v>
      </c>
      <c r="H91" s="544">
        <v>50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125</v>
      </c>
      <c r="E92" s="485">
        <v>135</v>
      </c>
      <c r="F92" s="485">
        <v>145</v>
      </c>
      <c r="G92" s="485">
        <v>155</v>
      </c>
      <c r="H92" s="485">
        <v>165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71" t="s">
        <v>691</v>
      </c>
      <c r="C6" s="1072">
        <f ca="1">ROUND(F6*F8*F7*(1-F9),0)</f>
        <v>4860</v>
      </c>
      <c r="D6" s="155" t="s">
        <v>2102</v>
      </c>
      <c r="E6" s="302" t="s">
        <v>693</v>
      </c>
      <c r="F6" s="303">
        <f ca="1">INDIRECT("'数据-取费表'!u"&amp;$G$1)</f>
        <v>450</v>
      </c>
      <c r="G6" s="1381"/>
      <c r="H6" s="1067" t="s">
        <v>398</v>
      </c>
      <c r="I6" s="3771" t="s">
        <v>691</v>
      </c>
      <c r="J6" s="301">
        <f ca="1">ROUND(M6*M8*M7*(1-M9),0)</f>
        <v>0</v>
      </c>
      <c r="K6" s="1373" t="s">
        <v>2103</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1</v>
      </c>
      <c r="G7" s="1381"/>
      <c r="H7" s="304"/>
      <c r="I7" s="3772"/>
      <c r="J7" s="306"/>
      <c r="K7" s="307"/>
      <c r="L7" s="302" t="s">
        <v>694</v>
      </c>
      <c r="M7" s="303">
        <f ca="1">F7</f>
        <v>1</v>
      </c>
    </row>
    <row r="8" spans="1:37" ht="18" customHeight="1">
      <c r="A8" s="304"/>
      <c r="B8" s="3772"/>
      <c r="C8" s="306"/>
      <c r="D8" s="307"/>
      <c r="E8" s="302" t="s">
        <v>695</v>
      </c>
      <c r="F8" s="303">
        <f ca="1">INDIRECT("'数据-取费表'!ai"&amp;$G$1)</f>
        <v>12</v>
      </c>
      <c r="G8" s="1381"/>
      <c r="H8" s="304"/>
      <c r="I8" s="3772"/>
      <c r="J8" s="306"/>
      <c r="K8" s="307"/>
      <c r="L8" s="302" t="s">
        <v>695</v>
      </c>
      <c r="M8" s="303">
        <f ca="1">INDIRECT("'数据-取费表'!ai"&amp;$G$1)</f>
        <v>12</v>
      </c>
    </row>
    <row r="9" spans="1:37" ht="18" customHeight="1">
      <c r="A9" s="304"/>
      <c r="B9" s="3773"/>
      <c r="C9" s="306"/>
      <c r="D9" s="307"/>
      <c r="E9" s="302" t="s">
        <v>696</v>
      </c>
      <c r="F9" s="312">
        <f ca="1">INDIRECT("'数据-取费表'!w"&amp;$G$1)</f>
        <v>0.1</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9" t="s">
        <v>834</v>
      </c>
      <c r="L53" s="3770"/>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7" t="s">
        <v>2317</v>
      </c>
      <c r="K2" s="3788"/>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9" t="s">
        <v>2327</v>
      </c>
      <c r="K3" s="3790"/>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9" t="s">
        <v>2329</v>
      </c>
      <c r="K4" s="3790"/>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95" t="s">
        <v>2333</v>
      </c>
      <c r="B6" s="3796"/>
      <c r="C6" s="3797"/>
      <c r="D6" s="2865"/>
      <c r="E6" s="2866"/>
      <c r="F6" s="2867"/>
      <c r="G6" s="2868"/>
      <c r="H6" s="2843"/>
      <c r="I6" s="2844"/>
      <c r="J6" s="3781">
        <v>1</v>
      </c>
      <c r="K6" s="3782"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81"/>
      <c r="K7" s="3783"/>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8" t="s">
        <v>2347</v>
      </c>
      <c r="C8" s="3799"/>
      <c r="D8" s="2884" t="s">
        <v>2348</v>
      </c>
      <c r="E8" s="2885" t="s">
        <v>2349</v>
      </c>
      <c r="F8" s="2886" t="s">
        <v>2350</v>
      </c>
      <c r="G8" s="2887"/>
      <c r="H8" s="2843"/>
      <c r="I8" s="2844"/>
      <c r="J8" s="3781"/>
      <c r="K8" s="3783"/>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8" t="s">
        <v>2353</v>
      </c>
      <c r="C9" s="3799"/>
      <c r="D9" s="2884">
        <f>ROUND(D6*E9,0)</f>
        <v>0</v>
      </c>
      <c r="E9" s="2888"/>
      <c r="F9" s="2889" t="s">
        <v>2354</v>
      </c>
      <c r="G9" s="2868"/>
      <c r="H9" s="2843"/>
      <c r="I9" s="2844"/>
      <c r="J9" s="3781"/>
      <c r="K9" s="3783"/>
      <c r="L9" s="2878" t="s">
        <v>2355</v>
      </c>
      <c r="M9" s="2879"/>
      <c r="N9" s="2855"/>
      <c r="O9" s="2880"/>
      <c r="P9" s="2880"/>
      <c r="Q9" s="2881">
        <v>365</v>
      </c>
      <c r="R9" s="2882">
        <f t="shared" si="0"/>
        <v>0</v>
      </c>
      <c r="S9" s="2836"/>
      <c r="T9" s="2836"/>
      <c r="U9" s="2836"/>
      <c r="V9" s="2844"/>
    </row>
    <row r="10" spans="1:22" s="2848" customFormat="1" ht="13.15" customHeight="1">
      <c r="A10" s="2883">
        <v>2</v>
      </c>
      <c r="B10" s="3798" t="s">
        <v>2356</v>
      </c>
      <c r="C10" s="3799"/>
      <c r="D10" s="2884">
        <f>ROUND(D6*E10,0)</f>
        <v>0</v>
      </c>
      <c r="E10" s="2888"/>
      <c r="F10" s="2889" t="s">
        <v>2357</v>
      </c>
      <c r="G10" s="2868"/>
      <c r="H10" s="2843"/>
      <c r="I10" s="2844"/>
      <c r="J10" s="3781"/>
      <c r="K10" s="3783"/>
      <c r="L10" s="2878" t="s">
        <v>2358</v>
      </c>
      <c r="M10" s="2879"/>
      <c r="N10" s="2855"/>
      <c r="O10" s="2880"/>
      <c r="P10" s="2880"/>
      <c r="Q10" s="2881">
        <v>365</v>
      </c>
      <c r="R10" s="2882">
        <f t="shared" si="0"/>
        <v>0</v>
      </c>
      <c r="S10" s="2836"/>
      <c r="T10" s="2836"/>
      <c r="U10" s="2836"/>
      <c r="V10" s="2844"/>
    </row>
    <row r="11" spans="1:22" s="2848" customFormat="1" ht="13.15" customHeight="1">
      <c r="A11" s="2883">
        <v>3</v>
      </c>
      <c r="B11" s="3798" t="s">
        <v>2359</v>
      </c>
      <c r="C11" s="3799"/>
      <c r="D11" s="2884">
        <f>D12+D14+D15+D16</f>
        <v>0</v>
      </c>
      <c r="E11" s="2890" t="e">
        <f>D11/D6</f>
        <v>#DIV/0!</v>
      </c>
      <c r="F11" s="2886"/>
      <c r="G11" s="2887"/>
      <c r="H11" s="2843"/>
      <c r="I11" s="2844"/>
      <c r="J11" s="3781"/>
      <c r="K11" s="3783"/>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91" t="s">
        <v>2362</v>
      </c>
      <c r="C12" s="3792"/>
      <c r="D12" s="2892">
        <f>ROUND(D13*1.2%*(1-30%),0)</f>
        <v>0</v>
      </c>
      <c r="E12" s="2893">
        <v>1.2E-2</v>
      </c>
      <c r="F12" s="2886" t="s">
        <v>2363</v>
      </c>
      <c r="G12" s="2887"/>
      <c r="H12" s="2843"/>
      <c r="I12" s="2844"/>
      <c r="J12" s="3781"/>
      <c r="K12" s="3783"/>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81"/>
      <c r="K13" s="3783"/>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91" t="s">
        <v>2368</v>
      </c>
      <c r="C14" s="3792"/>
      <c r="D14" s="2892">
        <f>ROUND(E14*B5/10000,0)</f>
        <v>0</v>
      </c>
      <c r="E14" s="2881"/>
      <c r="F14" s="2886" t="s">
        <v>2369</v>
      </c>
      <c r="G14" s="2887"/>
      <c r="H14" s="2843"/>
      <c r="I14" s="2844"/>
      <c r="J14" s="3781"/>
      <c r="K14" s="3784"/>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91" t="s">
        <v>2372</v>
      </c>
      <c r="C15" s="3792"/>
      <c r="D15" s="2892">
        <f>ROUND(D6*E15,0)</f>
        <v>0</v>
      </c>
      <c r="E15" s="2893">
        <v>5.5E-2</v>
      </c>
      <c r="F15" s="2886" t="s">
        <v>2373</v>
      </c>
      <c r="G15" s="2868"/>
      <c r="H15" s="2843"/>
      <c r="I15" s="2844"/>
      <c r="J15" s="3781">
        <v>2</v>
      </c>
      <c r="K15" s="3782"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91" t="s">
        <v>2381</v>
      </c>
      <c r="C16" s="3792"/>
      <c r="D16" s="2903">
        <f>D6*E16</f>
        <v>0</v>
      </c>
      <c r="E16" s="2904"/>
      <c r="F16" s="2889" t="s">
        <v>2382</v>
      </c>
      <c r="G16" s="2868"/>
      <c r="H16" s="2843"/>
      <c r="I16" s="2844"/>
      <c r="J16" s="3781"/>
      <c r="K16" s="3783"/>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3" t="s">
        <v>2384</v>
      </c>
      <c r="C17" s="3794"/>
      <c r="D17" s="2906">
        <f>ROUND(D6*E17,0)</f>
        <v>0</v>
      </c>
      <c r="E17" s="2907"/>
      <c r="F17" s="2908" t="s">
        <v>2385</v>
      </c>
      <c r="G17" s="2868"/>
      <c r="H17" s="2843"/>
      <c r="I17" s="2844"/>
      <c r="J17" s="3781"/>
      <c r="K17" s="3783"/>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81"/>
      <c r="K18" s="3783"/>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81"/>
      <c r="K19" s="3784"/>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1">
        <v>3</v>
      </c>
      <c r="K20" s="3782"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81"/>
      <c r="K21" s="3783"/>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81"/>
      <c r="K22" s="3783"/>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81"/>
      <c r="K23" s="3783"/>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81"/>
      <c r="K24" s="3784"/>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85">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8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7" t="s">
        <v>2317</v>
      </c>
      <c r="K32" s="3788"/>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9" t="s">
        <v>2327</v>
      </c>
      <c r="K33" s="3790"/>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9" t="s">
        <v>2329</v>
      </c>
      <c r="K34" s="379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81">
        <v>1</v>
      </c>
      <c r="K36" s="3782"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81"/>
      <c r="K37" s="3783"/>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1"/>
      <c r="K38" s="3783"/>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81"/>
      <c r="K39" s="3783"/>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81"/>
      <c r="K40" s="3784"/>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5">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8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800" t="s">
        <v>1651</v>
      </c>
      <c r="C5" s="3801"/>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40" t="s">
        <v>1768</v>
      </c>
      <c r="S4" s="3741"/>
      <c r="T4" s="3740" t="s">
        <v>1769</v>
      </c>
      <c r="U4" s="3741"/>
      <c r="V4" s="3746" t="s">
        <v>1770</v>
      </c>
      <c r="W4" s="3746"/>
      <c r="X4" s="1352"/>
      <c r="Y4" s="3740" t="s">
        <v>1772</v>
      </c>
      <c r="Z4" s="3741"/>
      <c r="AA4" s="3727" t="s">
        <v>1768</v>
      </c>
      <c r="AB4" s="3746" t="s">
        <v>1769</v>
      </c>
      <c r="AC4" s="3727" t="s">
        <v>1770</v>
      </c>
    </row>
    <row r="5" spans="1:29" ht="15">
      <c r="A5" s="358"/>
      <c r="B5" s="359"/>
      <c r="C5" s="3754" t="s">
        <v>1670</v>
      </c>
      <c r="D5" s="3750"/>
      <c r="E5" s="3766" t="s">
        <v>1671</v>
      </c>
      <c r="F5" s="3758"/>
      <c r="G5" s="3754" t="s">
        <v>1672</v>
      </c>
      <c r="H5" s="3750"/>
      <c r="I5" s="3754" t="s">
        <v>1673</v>
      </c>
      <c r="J5" s="3750"/>
      <c r="K5" s="559"/>
      <c r="L5" s="2710"/>
      <c r="M5" s="2711"/>
      <c r="N5" s="2711"/>
      <c r="O5" s="2711"/>
      <c r="P5" s="3736"/>
      <c r="Q5" s="3737"/>
      <c r="R5" s="3742"/>
      <c r="S5" s="3743"/>
      <c r="T5" s="3742"/>
      <c r="U5" s="3743"/>
      <c r="V5" s="3746"/>
      <c r="W5" s="3746"/>
      <c r="X5" s="1352"/>
      <c r="Y5" s="3742"/>
      <c r="Z5" s="3743"/>
      <c r="AA5" s="3728"/>
      <c r="AB5" s="3746"/>
      <c r="AC5" s="3728"/>
    </row>
    <row r="6" spans="1:29" ht="15.75" thickBot="1">
      <c r="A6" s="360"/>
      <c r="B6" s="361"/>
      <c r="C6" s="3747" t="s">
        <v>1674</v>
      </c>
      <c r="D6" s="3748"/>
      <c r="E6" s="3755" t="s">
        <v>1674</v>
      </c>
      <c r="F6" s="3756"/>
      <c r="G6" s="3747" t="s">
        <v>1674</v>
      </c>
      <c r="H6" s="3748"/>
      <c r="I6" s="3747" t="s">
        <v>1674</v>
      </c>
      <c r="J6" s="3748"/>
      <c r="K6" s="559" t="s">
        <v>1675</v>
      </c>
      <c r="L6" s="2710"/>
      <c r="M6" s="2711"/>
      <c r="N6" s="2711"/>
      <c r="O6" s="2711"/>
      <c r="P6" s="3738"/>
      <c r="Q6" s="3739"/>
      <c r="R6" s="3742"/>
      <c r="S6" s="3743"/>
      <c r="T6" s="3744"/>
      <c r="U6" s="3745"/>
      <c r="V6" s="3746"/>
      <c r="W6" s="3746"/>
      <c r="X6" s="1352"/>
      <c r="Y6" s="3744"/>
      <c r="Z6" s="3745"/>
      <c r="AA6" s="3729"/>
      <c r="AB6" s="3746"/>
      <c r="AC6" s="3729"/>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51" t="s">
        <v>1677</v>
      </c>
      <c r="Q7" s="3753"/>
      <c r="R7" s="700" t="s">
        <v>14</v>
      </c>
      <c r="S7" s="701">
        <f t="shared" ref="S7:S15" si="0">F7</f>
        <v>0</v>
      </c>
      <c r="T7" s="700" t="s">
        <v>14</v>
      </c>
      <c r="U7" s="701">
        <f t="shared" ref="U7:U15" si="1">H7</f>
        <v>0</v>
      </c>
      <c r="V7" s="700" t="s">
        <v>14</v>
      </c>
      <c r="W7" s="701">
        <f t="shared" ref="W7:W15" si="2">J7</f>
        <v>0</v>
      </c>
      <c r="X7" s="702"/>
      <c r="Y7" s="3751" t="s">
        <v>1677</v>
      </c>
      <c r="Z7" s="3752"/>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51" t="s">
        <v>1680</v>
      </c>
      <c r="Q8" s="3752"/>
      <c r="R8" s="700" t="s">
        <v>14</v>
      </c>
      <c r="S8" s="701">
        <f t="shared" si="0"/>
        <v>100</v>
      </c>
      <c r="T8" s="700" t="s">
        <v>14</v>
      </c>
      <c r="U8" s="701">
        <f t="shared" si="1"/>
        <v>100</v>
      </c>
      <c r="V8" s="700" t="s">
        <v>14</v>
      </c>
      <c r="W8" s="701">
        <f t="shared" si="2"/>
        <v>100</v>
      </c>
      <c r="X8" s="702"/>
      <c r="Y8" s="3751" t="s">
        <v>1680</v>
      </c>
      <c r="Z8" s="3752"/>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6"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6"/>
      <c r="Q10" s="1340"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6"/>
      <c r="Q11" s="1340"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6"/>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6"/>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6"/>
      <c r="Q14" s="1340">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4" t="s">
        <v>1688</v>
      </c>
      <c r="Q15" s="1349" t="str">
        <f t="shared" si="6"/>
        <v>商业繁华度</v>
      </c>
      <c r="R15" s="704" t="s">
        <v>14</v>
      </c>
      <c r="S15" s="705">
        <f t="shared" si="0"/>
        <v>100</v>
      </c>
      <c r="T15" s="704" t="s">
        <v>14</v>
      </c>
      <c r="U15" s="705">
        <f t="shared" si="1"/>
        <v>100</v>
      </c>
      <c r="V15" s="704" t="s">
        <v>14</v>
      </c>
      <c r="W15" s="705">
        <f t="shared" si="2"/>
        <v>100</v>
      </c>
      <c r="X15" s="1352"/>
      <c r="Y15" s="3717"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25"/>
      <c r="Q16" s="1349"/>
      <c r="R16" s="704"/>
      <c r="S16" s="705"/>
      <c r="T16" s="704"/>
      <c r="U16" s="705"/>
      <c r="V16" s="704"/>
      <c r="W16" s="705"/>
      <c r="X16" s="1352"/>
      <c r="Y16" s="3718"/>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5"/>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25"/>
      <c r="Q18" s="1349"/>
      <c r="R18" s="704"/>
      <c r="S18" s="705"/>
      <c r="T18" s="704"/>
      <c r="U18" s="705"/>
      <c r="V18" s="704"/>
      <c r="W18" s="705"/>
      <c r="X18" s="1352"/>
      <c r="Y18" s="3718"/>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5"/>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25"/>
      <c r="Q20" s="1349"/>
      <c r="R20" s="704"/>
      <c r="S20" s="705"/>
      <c r="T20" s="704"/>
      <c r="U20" s="705"/>
      <c r="V20" s="704"/>
      <c r="W20" s="705"/>
      <c r="X20" s="1352"/>
      <c r="Y20" s="3718"/>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25"/>
      <c r="Q22" s="1349"/>
      <c r="R22" s="704"/>
      <c r="S22" s="705"/>
      <c r="T22" s="704"/>
      <c r="U22" s="705"/>
      <c r="V22" s="704"/>
      <c r="W22" s="705"/>
      <c r="X22" s="1352"/>
      <c r="Y22" s="3718"/>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5"/>
      <c r="Q23" s="1349" t="str">
        <f>B23</f>
        <v>自然及人文环境</v>
      </c>
      <c r="R23" s="704" t="s">
        <v>14</v>
      </c>
      <c r="S23" s="705">
        <f>F23</f>
        <v>100</v>
      </c>
      <c r="T23" s="704" t="s">
        <v>14</v>
      </c>
      <c r="U23" s="705">
        <f>H23</f>
        <v>100</v>
      </c>
      <c r="V23" s="704" t="s">
        <v>14</v>
      </c>
      <c r="W23" s="705">
        <f>J23</f>
        <v>100</v>
      </c>
      <c r="X23" s="1352"/>
      <c r="Y23" s="371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25"/>
      <c r="Q24" s="1349"/>
      <c r="R24" s="704"/>
      <c r="S24" s="705"/>
      <c r="T24" s="704"/>
      <c r="U24" s="705"/>
      <c r="V24" s="704"/>
      <c r="W24" s="705"/>
      <c r="X24" s="1352"/>
      <c r="Y24" s="3718"/>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5"/>
      <c r="Q25" s="1349" t="str">
        <f t="shared" ref="Q25:Q46" si="11">B25</f>
        <v>临街状况</v>
      </c>
      <c r="R25" s="704" t="s">
        <v>14</v>
      </c>
      <c r="S25" s="705">
        <f>F25</f>
        <v>100</v>
      </c>
      <c r="T25" s="704" t="s">
        <v>14</v>
      </c>
      <c r="U25" s="705">
        <f>H25</f>
        <v>100</v>
      </c>
      <c r="V25" s="704" t="s">
        <v>14</v>
      </c>
      <c r="W25" s="705">
        <f>J25</f>
        <v>100</v>
      </c>
      <c r="X25" s="1352"/>
      <c r="Y25" s="3718"/>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5"/>
      <c r="Q26" s="1349" t="str">
        <f t="shared" si="11"/>
        <v>平面位置/可视性</v>
      </c>
      <c r="R26" s="704" t="s">
        <v>14</v>
      </c>
      <c r="S26" s="705">
        <f>F26</f>
        <v>100</v>
      </c>
      <c r="T26" s="704" t="s">
        <v>14</v>
      </c>
      <c r="U26" s="705">
        <f>H26</f>
        <v>100</v>
      </c>
      <c r="V26" s="704" t="s">
        <v>14</v>
      </c>
      <c r="W26" s="705">
        <f>J26</f>
        <v>100</v>
      </c>
      <c r="X26" s="1352"/>
      <c r="Y26" s="3718"/>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25"/>
      <c r="Q27" s="1340" t="str">
        <f t="shared" si="11"/>
        <v>人流量</v>
      </c>
      <c r="R27" s="700" t="s">
        <v>14</v>
      </c>
      <c r="S27" s="701">
        <f>F27</f>
        <v>100</v>
      </c>
      <c r="T27" s="700" t="s">
        <v>14</v>
      </c>
      <c r="U27" s="701">
        <f>H27</f>
        <v>100</v>
      </c>
      <c r="V27" s="700" t="s">
        <v>14</v>
      </c>
      <c r="W27" s="701">
        <f>J27</f>
        <v>100</v>
      </c>
      <c r="X27" s="702"/>
      <c r="Y27" s="3718"/>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5"/>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18"/>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5"/>
      <c r="Q29" s="1349">
        <f t="shared" si="11"/>
        <v>111</v>
      </c>
      <c r="R29" s="704" t="s">
        <v>14</v>
      </c>
      <c r="S29" s="705">
        <f t="shared" si="12"/>
        <v>100</v>
      </c>
      <c r="T29" s="704" t="s">
        <v>14</v>
      </c>
      <c r="U29" s="705">
        <f t="shared" si="13"/>
        <v>100</v>
      </c>
      <c r="V29" s="704" t="s">
        <v>14</v>
      </c>
      <c r="W29" s="705">
        <f t="shared" si="14"/>
        <v>100</v>
      </c>
      <c r="X29" s="1352"/>
      <c r="Y29" s="371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5"/>
      <c r="Q30" s="1349">
        <f t="shared" si="11"/>
        <v>111</v>
      </c>
      <c r="R30" s="704" t="s">
        <v>14</v>
      </c>
      <c r="S30" s="705">
        <f t="shared" si="12"/>
        <v>100</v>
      </c>
      <c r="T30" s="704" t="s">
        <v>14</v>
      </c>
      <c r="U30" s="705">
        <f t="shared" si="13"/>
        <v>100</v>
      </c>
      <c r="V30" s="704" t="s">
        <v>14</v>
      </c>
      <c r="W30" s="705">
        <f t="shared" si="14"/>
        <v>100</v>
      </c>
      <c r="X30" s="1352"/>
      <c r="Y30" s="371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5"/>
      <c r="Q31" s="1349">
        <f t="shared" si="11"/>
        <v>111</v>
      </c>
      <c r="R31" s="704" t="s">
        <v>14</v>
      </c>
      <c r="S31" s="705">
        <f t="shared" si="12"/>
        <v>100</v>
      </c>
      <c r="T31" s="704" t="s">
        <v>14</v>
      </c>
      <c r="U31" s="705">
        <f t="shared" si="13"/>
        <v>100</v>
      </c>
      <c r="V31" s="704" t="s">
        <v>14</v>
      </c>
      <c r="W31" s="705">
        <f t="shared" si="14"/>
        <v>100</v>
      </c>
      <c r="X31" s="1352"/>
      <c r="Y31" s="3718"/>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19" t="s">
        <v>1693</v>
      </c>
      <c r="Q32" s="1349" t="str">
        <f t="shared" si="11"/>
        <v>商业类型</v>
      </c>
      <c r="R32" s="704" t="s">
        <v>14</v>
      </c>
      <c r="S32" s="705">
        <f t="shared" si="12"/>
        <v>100</v>
      </c>
      <c r="T32" s="704" t="s">
        <v>14</v>
      </c>
      <c r="U32" s="705">
        <f t="shared" si="13"/>
        <v>100</v>
      </c>
      <c r="V32" s="704" t="s">
        <v>14</v>
      </c>
      <c r="W32" s="705">
        <f t="shared" si="14"/>
        <v>100</v>
      </c>
      <c r="X32" s="1352"/>
      <c r="Y32" s="3722"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0"/>
      <c r="Q33" s="706" t="str">
        <f t="shared" si="11"/>
        <v>项目建筑规模</v>
      </c>
      <c r="R33" s="707" t="s">
        <v>14</v>
      </c>
      <c r="S33" s="708" t="e">
        <f t="shared" si="12"/>
        <v>#N/A</v>
      </c>
      <c r="T33" s="707" t="s">
        <v>14</v>
      </c>
      <c r="U33" s="708" t="e">
        <f t="shared" si="13"/>
        <v>#N/A</v>
      </c>
      <c r="V33" s="707" t="s">
        <v>14</v>
      </c>
      <c r="W33" s="708" t="e">
        <f t="shared" si="14"/>
        <v>#N/A</v>
      </c>
      <c r="X33" s="709"/>
      <c r="Y33" s="3722"/>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20"/>
      <c r="Q34" s="1349" t="str">
        <f t="shared" si="11"/>
        <v>建筑结构</v>
      </c>
      <c r="R34" s="704" t="s">
        <v>14</v>
      </c>
      <c r="S34" s="705">
        <f t="shared" si="12"/>
        <v>100</v>
      </c>
      <c r="T34" s="704" t="s">
        <v>14</v>
      </c>
      <c r="U34" s="705">
        <f t="shared" si="13"/>
        <v>100</v>
      </c>
      <c r="V34" s="704" t="s">
        <v>14</v>
      </c>
      <c r="W34" s="705">
        <f t="shared" si="14"/>
        <v>100</v>
      </c>
      <c r="X34" s="1352"/>
      <c r="Y34" s="3722"/>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20"/>
      <c r="Q35" s="1349" t="str">
        <f t="shared" si="11"/>
        <v>公共部分装修</v>
      </c>
      <c r="R35" s="704" t="s">
        <v>14</v>
      </c>
      <c r="S35" s="705">
        <f t="shared" si="12"/>
        <v>100</v>
      </c>
      <c r="T35" s="704" t="s">
        <v>14</v>
      </c>
      <c r="U35" s="705">
        <f t="shared" si="13"/>
        <v>100</v>
      </c>
      <c r="V35" s="704" t="s">
        <v>14</v>
      </c>
      <c r="W35" s="705">
        <f t="shared" si="14"/>
        <v>100</v>
      </c>
      <c r="X35" s="1352"/>
      <c r="Y35" s="3722"/>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0"/>
      <c r="Q36" s="1349" t="str">
        <f t="shared" si="11"/>
        <v>成新度</v>
      </c>
      <c r="R36" s="704" t="s">
        <v>14</v>
      </c>
      <c r="S36" s="705" t="e">
        <f t="shared" si="12"/>
        <v>#N/A</v>
      </c>
      <c r="T36" s="704" t="s">
        <v>14</v>
      </c>
      <c r="U36" s="705" t="e">
        <f t="shared" si="13"/>
        <v>#N/A</v>
      </c>
      <c r="V36" s="704" t="s">
        <v>14</v>
      </c>
      <c r="W36" s="705" t="e">
        <f t="shared" si="14"/>
        <v>#N/A</v>
      </c>
      <c r="X36" s="1352"/>
      <c r="Y36" s="3722"/>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20"/>
      <c r="Q37" s="1340"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20" t="s">
        <v>1693</v>
      </c>
      <c r="Q38" s="1349" t="str">
        <f t="shared" si="11"/>
        <v>业态</v>
      </c>
      <c r="R38" s="704" t="s">
        <v>14</v>
      </c>
      <c r="S38" s="705">
        <f t="shared" si="12"/>
        <v>100</v>
      </c>
      <c r="T38" s="704" t="s">
        <v>14</v>
      </c>
      <c r="U38" s="705">
        <f t="shared" si="13"/>
        <v>100</v>
      </c>
      <c r="V38" s="704" t="s">
        <v>14</v>
      </c>
      <c r="W38" s="705">
        <f t="shared" si="14"/>
        <v>100</v>
      </c>
      <c r="X38" s="1352"/>
      <c r="Y38" s="3722"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20"/>
      <c r="Q39" s="1349" t="str">
        <f t="shared" si="11"/>
        <v>层高</v>
      </c>
      <c r="R39" s="704" t="s">
        <v>14</v>
      </c>
      <c r="S39" s="705">
        <f t="shared" si="12"/>
        <v>100</v>
      </c>
      <c r="T39" s="704" t="s">
        <v>14</v>
      </c>
      <c r="U39" s="705">
        <f t="shared" si="13"/>
        <v>100</v>
      </c>
      <c r="V39" s="704" t="s">
        <v>14</v>
      </c>
      <c r="W39" s="705">
        <f t="shared" si="14"/>
        <v>100</v>
      </c>
      <c r="X39" s="1352"/>
      <c r="Y39" s="3722"/>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0"/>
      <c r="Q40" s="1349" t="str">
        <f t="shared" si="11"/>
        <v>单套建筑面积</v>
      </c>
      <c r="R40" s="704" t="s">
        <v>14</v>
      </c>
      <c r="S40" s="705">
        <f t="shared" si="12"/>
        <v>100</v>
      </c>
      <c r="T40" s="704" t="s">
        <v>14</v>
      </c>
      <c r="U40" s="705">
        <f t="shared" si="13"/>
        <v>100</v>
      </c>
      <c r="V40" s="704" t="s">
        <v>14</v>
      </c>
      <c r="W40" s="705">
        <f t="shared" si="14"/>
        <v>100</v>
      </c>
      <c r="X40" s="1352"/>
      <c r="Y40" s="3722"/>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20"/>
      <c r="Q42" s="1349" t="str">
        <f t="shared" si="11"/>
        <v>内部装修</v>
      </c>
      <c r="R42" s="704" t="s">
        <v>14</v>
      </c>
      <c r="S42" s="705">
        <f t="shared" si="12"/>
        <v>100</v>
      </c>
      <c r="T42" s="704" t="s">
        <v>14</v>
      </c>
      <c r="U42" s="705">
        <f t="shared" si="13"/>
        <v>100</v>
      </c>
      <c r="V42" s="704" t="s">
        <v>14</v>
      </c>
      <c r="W42" s="705">
        <f t="shared" si="14"/>
        <v>100</v>
      </c>
      <c r="X42" s="1352"/>
      <c r="Y42" s="3722"/>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20"/>
      <c r="Q43" s="1349" t="str">
        <f t="shared" si="11"/>
        <v>内部装修维护情况</v>
      </c>
      <c r="R43" s="704" t="s">
        <v>14</v>
      </c>
      <c r="S43" s="705">
        <f t="shared" si="12"/>
        <v>100</v>
      </c>
      <c r="T43" s="704" t="s">
        <v>14</v>
      </c>
      <c r="U43" s="705">
        <f t="shared" si="13"/>
        <v>100</v>
      </c>
      <c r="V43" s="704" t="s">
        <v>14</v>
      </c>
      <c r="W43" s="705">
        <f t="shared" si="14"/>
        <v>100</v>
      </c>
      <c r="X43" s="1352"/>
      <c r="Y43" s="3722"/>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0"/>
      <c r="Q44" s="1340">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0"/>
      <c r="Q45" s="1349">
        <f t="shared" si="11"/>
        <v>111</v>
      </c>
      <c r="R45" s="704" t="s">
        <v>14</v>
      </c>
      <c r="S45" s="705">
        <f t="shared" si="12"/>
        <v>100</v>
      </c>
      <c r="T45" s="704" t="s">
        <v>14</v>
      </c>
      <c r="U45" s="705">
        <f t="shared" si="13"/>
        <v>100</v>
      </c>
      <c r="V45" s="704" t="s">
        <v>14</v>
      </c>
      <c r="W45" s="705">
        <f t="shared" si="14"/>
        <v>100</v>
      </c>
      <c r="X45" s="1352"/>
      <c r="Y45" s="3722"/>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1"/>
      <c r="Q46" s="1349">
        <f t="shared" si="11"/>
        <v>111</v>
      </c>
      <c r="R46" s="704" t="s">
        <v>14</v>
      </c>
      <c r="S46" s="705">
        <f t="shared" si="12"/>
        <v>100</v>
      </c>
      <c r="T46" s="704" t="s">
        <v>14</v>
      </c>
      <c r="U46" s="705">
        <f t="shared" si="13"/>
        <v>100</v>
      </c>
      <c r="V46" s="704" t="s">
        <v>14</v>
      </c>
      <c r="W46" s="705">
        <f t="shared" si="14"/>
        <v>100</v>
      </c>
      <c r="X46" s="1352"/>
      <c r="Y46" s="3723"/>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15" t="str">
        <f>A47</f>
        <v>成交单价（元/平方米）</v>
      </c>
      <c r="Q47" s="3715"/>
      <c r="R47" s="3746">
        <f>E47</f>
        <v>0</v>
      </c>
      <c r="S47" s="3746"/>
      <c r="T47" s="3746">
        <f>G47</f>
        <v>0</v>
      </c>
      <c r="U47" s="3746"/>
      <c r="V47" s="3746">
        <f>I47</f>
        <v>0</v>
      </c>
      <c r="W47" s="3746"/>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808" t="s">
        <v>1772</v>
      </c>
      <c r="Q4" s="3809"/>
      <c r="R4" s="3812" t="s">
        <v>1768</v>
      </c>
      <c r="S4" s="3813"/>
      <c r="T4" s="3812" t="s">
        <v>1769</v>
      </c>
      <c r="U4" s="3813"/>
      <c r="V4" s="3814" t="s">
        <v>1770</v>
      </c>
      <c r="W4" s="3814"/>
      <c r="X4" s="1953"/>
      <c r="Y4" s="3812" t="s">
        <v>1772</v>
      </c>
      <c r="Z4" s="3813"/>
      <c r="AA4" s="3816" t="s">
        <v>1768</v>
      </c>
      <c r="AB4" s="3816" t="s">
        <v>1769</v>
      </c>
      <c r="AC4" s="3805" t="s">
        <v>1770</v>
      </c>
    </row>
    <row r="5" spans="1:29" ht="15">
      <c r="A5" s="358"/>
      <c r="B5" s="359"/>
      <c r="C5" s="3754" t="s">
        <v>1670</v>
      </c>
      <c r="D5" s="3750"/>
      <c r="E5" s="3766" t="s">
        <v>1671</v>
      </c>
      <c r="F5" s="3758"/>
      <c r="G5" s="3754" t="s">
        <v>1672</v>
      </c>
      <c r="H5" s="3750"/>
      <c r="I5" s="3754" t="s">
        <v>1673</v>
      </c>
      <c r="J5" s="3750"/>
      <c r="K5" s="559"/>
      <c r="L5" s="2710"/>
      <c r="M5" s="2711"/>
      <c r="N5" s="2711"/>
      <c r="O5" s="2711"/>
      <c r="P5" s="3810"/>
      <c r="Q5" s="3737"/>
      <c r="R5" s="3742"/>
      <c r="S5" s="3743"/>
      <c r="T5" s="3742"/>
      <c r="U5" s="3743"/>
      <c r="V5" s="3746"/>
      <c r="W5" s="3746"/>
      <c r="X5" s="1352"/>
      <c r="Y5" s="3742"/>
      <c r="Z5" s="3743"/>
      <c r="AA5" s="3728"/>
      <c r="AB5" s="3728"/>
      <c r="AC5" s="3806"/>
    </row>
    <row r="6" spans="1:29" ht="15.75" thickBot="1">
      <c r="A6" s="360"/>
      <c r="B6" s="361"/>
      <c r="C6" s="3747" t="s">
        <v>1674</v>
      </c>
      <c r="D6" s="3748"/>
      <c r="E6" s="3755" t="s">
        <v>1674</v>
      </c>
      <c r="F6" s="3756"/>
      <c r="G6" s="3747" t="s">
        <v>1674</v>
      </c>
      <c r="H6" s="3748"/>
      <c r="I6" s="3747" t="s">
        <v>1674</v>
      </c>
      <c r="J6" s="3748"/>
      <c r="K6" s="559" t="s">
        <v>1675</v>
      </c>
      <c r="L6" s="2710"/>
      <c r="M6" s="2711"/>
      <c r="N6" s="2711"/>
      <c r="O6" s="2711"/>
      <c r="P6" s="3811"/>
      <c r="Q6" s="3739"/>
      <c r="R6" s="3742"/>
      <c r="S6" s="3743"/>
      <c r="T6" s="3744"/>
      <c r="U6" s="3745"/>
      <c r="V6" s="3746"/>
      <c r="W6" s="3746"/>
      <c r="X6" s="1352"/>
      <c r="Y6" s="3744"/>
      <c r="Z6" s="3745"/>
      <c r="AA6" s="3729"/>
      <c r="AB6" s="3729"/>
      <c r="AC6" s="3807"/>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5" t="s">
        <v>1677</v>
      </c>
      <c r="Q7" s="3753"/>
      <c r="R7" s="700" t="s">
        <v>14</v>
      </c>
      <c r="S7" s="701">
        <f t="shared" ref="S7:S15" si="0">F7</f>
        <v>0</v>
      </c>
      <c r="T7" s="700" t="s">
        <v>14</v>
      </c>
      <c r="U7" s="701">
        <f t="shared" ref="U7:U15" si="1">H7</f>
        <v>0</v>
      </c>
      <c r="V7" s="700" t="s">
        <v>14</v>
      </c>
      <c r="W7" s="701">
        <f t="shared" ref="W7:W15" si="2">J7</f>
        <v>0</v>
      </c>
      <c r="X7" s="702"/>
      <c r="Y7" s="3751" t="s">
        <v>1677</v>
      </c>
      <c r="Z7" s="3752"/>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5" t="s">
        <v>1680</v>
      </c>
      <c r="Q8" s="3752"/>
      <c r="R8" s="700" t="s">
        <v>14</v>
      </c>
      <c r="S8" s="701">
        <f t="shared" si="0"/>
        <v>100</v>
      </c>
      <c r="T8" s="700" t="s">
        <v>14</v>
      </c>
      <c r="U8" s="701">
        <f t="shared" si="1"/>
        <v>100</v>
      </c>
      <c r="V8" s="700" t="s">
        <v>14</v>
      </c>
      <c r="W8" s="701">
        <f t="shared" si="2"/>
        <v>100</v>
      </c>
      <c r="X8" s="702"/>
      <c r="Y8" s="3751" t="s">
        <v>1680</v>
      </c>
      <c r="Z8" s="3752"/>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6"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6"/>
      <c r="Q10" s="1340"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6"/>
      <c r="Q11" s="1340"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6"/>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6"/>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6"/>
      <c r="Q14" s="1340">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4" t="s">
        <v>1688</v>
      </c>
      <c r="Q15" s="1349" t="str">
        <f t="shared" si="6"/>
        <v>办公集聚程度</v>
      </c>
      <c r="R15" s="704" t="s">
        <v>14</v>
      </c>
      <c r="S15" s="705">
        <f t="shared" si="0"/>
        <v>100</v>
      </c>
      <c r="T15" s="704" t="s">
        <v>14</v>
      </c>
      <c r="U15" s="705">
        <f t="shared" si="1"/>
        <v>100</v>
      </c>
      <c r="V15" s="704" t="s">
        <v>14</v>
      </c>
      <c r="W15" s="705">
        <f t="shared" si="2"/>
        <v>100</v>
      </c>
      <c r="X15" s="1352"/>
      <c r="Y15" s="3717"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25"/>
      <c r="Q16" s="1349"/>
      <c r="R16" s="704"/>
      <c r="S16" s="705"/>
      <c r="T16" s="704"/>
      <c r="U16" s="705"/>
      <c r="V16" s="704"/>
      <c r="W16" s="705"/>
      <c r="X16" s="1352"/>
      <c r="Y16" s="3718"/>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5"/>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25"/>
      <c r="Q18" s="1349"/>
      <c r="R18" s="704"/>
      <c r="S18" s="705"/>
      <c r="T18" s="704"/>
      <c r="U18" s="705"/>
      <c r="V18" s="704"/>
      <c r="W18" s="705"/>
      <c r="X18" s="1352"/>
      <c r="Y18" s="3718"/>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5"/>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25"/>
      <c r="Q20" s="1349"/>
      <c r="R20" s="704"/>
      <c r="S20" s="705"/>
      <c r="T20" s="704"/>
      <c r="U20" s="705"/>
      <c r="V20" s="704"/>
      <c r="W20" s="705"/>
      <c r="X20" s="1352"/>
      <c r="Y20" s="3718"/>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5"/>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25"/>
      <c r="Q22" s="1349"/>
      <c r="R22" s="704"/>
      <c r="S22" s="705"/>
      <c r="T22" s="704"/>
      <c r="U22" s="705"/>
      <c r="V22" s="704"/>
      <c r="W22" s="705"/>
      <c r="X22" s="1352"/>
      <c r="Y22" s="3718"/>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5"/>
      <c r="Q23" s="1349" t="str">
        <f>B23</f>
        <v>环境质量</v>
      </c>
      <c r="R23" s="704" t="s">
        <v>14</v>
      </c>
      <c r="S23" s="705">
        <f>F23</f>
        <v>100</v>
      </c>
      <c r="T23" s="704" t="s">
        <v>14</v>
      </c>
      <c r="U23" s="705">
        <f>H23</f>
        <v>100</v>
      </c>
      <c r="V23" s="704" t="s">
        <v>14</v>
      </c>
      <c r="W23" s="705">
        <f>J23</f>
        <v>100</v>
      </c>
      <c r="X23" s="1352"/>
      <c r="Y23" s="3718"/>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25"/>
      <c r="Q24" s="1349"/>
      <c r="R24" s="704"/>
      <c r="S24" s="705"/>
      <c r="T24" s="704"/>
      <c r="U24" s="705"/>
      <c r="V24" s="704"/>
      <c r="W24" s="705"/>
      <c r="X24" s="1352"/>
      <c r="Y24" s="3718"/>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25"/>
      <c r="Q25" s="1349" t="str">
        <f>B25</f>
        <v>毗邻道路的类型与等级</v>
      </c>
      <c r="R25" s="704" t="s">
        <v>14</v>
      </c>
      <c r="S25" s="705">
        <f>F25</f>
        <v>100</v>
      </c>
      <c r="T25" s="704" t="s">
        <v>14</v>
      </c>
      <c r="U25" s="705">
        <f>H25</f>
        <v>100</v>
      </c>
      <c r="V25" s="704" t="s">
        <v>14</v>
      </c>
      <c r="W25" s="705">
        <f>J25</f>
        <v>100</v>
      </c>
      <c r="X25" s="1352"/>
      <c r="Y25" s="3718"/>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25"/>
      <c r="Q26" s="1349"/>
      <c r="R26" s="704"/>
      <c r="S26" s="705"/>
      <c r="T26" s="704"/>
      <c r="U26" s="705"/>
      <c r="V26" s="704"/>
      <c r="W26" s="705"/>
      <c r="X26" s="1352"/>
      <c r="Y26" s="3718"/>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5"/>
      <c r="Q27" s="1349" t="str">
        <f t="shared" ref="Q27:Q47" si="11">B27</f>
        <v>楼层</v>
      </c>
      <c r="R27" s="704" t="s">
        <v>14</v>
      </c>
      <c r="S27" s="705">
        <f>F27</f>
        <v>100</v>
      </c>
      <c r="T27" s="704" t="s">
        <v>14</v>
      </c>
      <c r="U27" s="705">
        <f>H27</f>
        <v>100</v>
      </c>
      <c r="V27" s="704" t="s">
        <v>14</v>
      </c>
      <c r="W27" s="705">
        <f>J27</f>
        <v>100</v>
      </c>
      <c r="X27" s="1352"/>
      <c r="Y27" s="3718"/>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25"/>
      <c r="Q28" s="1340" t="str">
        <f t="shared" si="11"/>
        <v>朝向</v>
      </c>
      <c r="R28" s="700" t="s">
        <v>14</v>
      </c>
      <c r="S28" s="701">
        <f>F28</f>
        <v>100</v>
      </c>
      <c r="T28" s="700" t="s">
        <v>14</v>
      </c>
      <c r="U28" s="701">
        <f>H28</f>
        <v>100</v>
      </c>
      <c r="V28" s="700" t="s">
        <v>14</v>
      </c>
      <c r="W28" s="701">
        <f>J28</f>
        <v>100</v>
      </c>
      <c r="X28" s="702"/>
      <c r="Y28" s="3718"/>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25"/>
      <c r="Q29" s="1349">
        <f t="shared" si="11"/>
        <v>111</v>
      </c>
      <c r="R29" s="704" t="s">
        <v>14</v>
      </c>
      <c r="S29" s="705">
        <f t="shared" ref="S29:S47" si="12">F29</f>
        <v>100</v>
      </c>
      <c r="T29" s="704" t="s">
        <v>14</v>
      </c>
      <c r="U29" s="705">
        <f t="shared" ref="U29:U47" si="13">H29</f>
        <v>100</v>
      </c>
      <c r="V29" s="704" t="s">
        <v>14</v>
      </c>
      <c r="W29" s="705">
        <f t="shared" ref="W29:W47" si="14">J29</f>
        <v>100</v>
      </c>
      <c r="X29" s="1352"/>
      <c r="Y29" s="3718"/>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25"/>
      <c r="Q30" s="1349">
        <f t="shared" si="11"/>
        <v>111</v>
      </c>
      <c r="R30" s="704" t="s">
        <v>14</v>
      </c>
      <c r="S30" s="705">
        <f t="shared" si="12"/>
        <v>100</v>
      </c>
      <c r="T30" s="704" t="s">
        <v>14</v>
      </c>
      <c r="U30" s="705">
        <f t="shared" si="13"/>
        <v>100</v>
      </c>
      <c r="V30" s="704" t="s">
        <v>14</v>
      </c>
      <c r="W30" s="705">
        <f t="shared" si="14"/>
        <v>100</v>
      </c>
      <c r="X30" s="1352"/>
      <c r="Y30" s="3718"/>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25"/>
      <c r="Q31" s="1349">
        <f t="shared" si="11"/>
        <v>111</v>
      </c>
      <c r="R31" s="704" t="s">
        <v>14</v>
      </c>
      <c r="S31" s="705">
        <f t="shared" si="12"/>
        <v>100</v>
      </c>
      <c r="T31" s="704" t="s">
        <v>14</v>
      </c>
      <c r="U31" s="705">
        <f t="shared" si="13"/>
        <v>100</v>
      </c>
      <c r="V31" s="704" t="s">
        <v>14</v>
      </c>
      <c r="W31" s="705">
        <f t="shared" si="14"/>
        <v>100</v>
      </c>
      <c r="X31" s="1352"/>
      <c r="Y31" s="3718"/>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25"/>
      <c r="Q32" s="1349">
        <f t="shared" si="11"/>
        <v>111</v>
      </c>
      <c r="R32" s="704" t="s">
        <v>14</v>
      </c>
      <c r="S32" s="705">
        <f t="shared" si="12"/>
        <v>100</v>
      </c>
      <c r="T32" s="704" t="s">
        <v>14</v>
      </c>
      <c r="U32" s="705">
        <f t="shared" si="13"/>
        <v>100</v>
      </c>
      <c r="V32" s="704" t="s">
        <v>14</v>
      </c>
      <c r="W32" s="705">
        <f t="shared" si="14"/>
        <v>100</v>
      </c>
      <c r="X32" s="1352"/>
      <c r="Y32" s="3718"/>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19" t="s">
        <v>1693</v>
      </c>
      <c r="Q33" s="1349" t="str">
        <f t="shared" si="11"/>
        <v>建筑类型</v>
      </c>
      <c r="R33" s="704" t="s">
        <v>14</v>
      </c>
      <c r="S33" s="705">
        <f t="shared" si="12"/>
        <v>100</v>
      </c>
      <c r="T33" s="704" t="s">
        <v>14</v>
      </c>
      <c r="U33" s="705">
        <f t="shared" si="13"/>
        <v>100</v>
      </c>
      <c r="V33" s="704" t="s">
        <v>14</v>
      </c>
      <c r="W33" s="705">
        <f t="shared" si="14"/>
        <v>100</v>
      </c>
      <c r="X33" s="1352"/>
      <c r="Y33" s="3722"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0"/>
      <c r="Q35" s="1349" t="str">
        <f t="shared" si="11"/>
        <v>建筑结构</v>
      </c>
      <c r="R35" s="704" t="s">
        <v>14</v>
      </c>
      <c r="S35" s="705">
        <f t="shared" si="12"/>
        <v>100</v>
      </c>
      <c r="T35" s="704" t="s">
        <v>14</v>
      </c>
      <c r="U35" s="705">
        <f t="shared" si="13"/>
        <v>100</v>
      </c>
      <c r="V35" s="704" t="s">
        <v>14</v>
      </c>
      <c r="W35" s="705">
        <f t="shared" si="14"/>
        <v>100</v>
      </c>
      <c r="X35" s="1352"/>
      <c r="Y35" s="3722"/>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0"/>
      <c r="Q36" s="1349" t="str">
        <f t="shared" si="11"/>
        <v>公共部分装修</v>
      </c>
      <c r="R36" s="704" t="s">
        <v>14</v>
      </c>
      <c r="S36" s="705">
        <f t="shared" si="12"/>
        <v>100</v>
      </c>
      <c r="T36" s="704" t="s">
        <v>14</v>
      </c>
      <c r="U36" s="705">
        <f t="shared" si="13"/>
        <v>100</v>
      </c>
      <c r="V36" s="704" t="s">
        <v>14</v>
      </c>
      <c r="W36" s="705">
        <f t="shared" si="14"/>
        <v>100</v>
      </c>
      <c r="X36" s="1352"/>
      <c r="Y36" s="3722"/>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0"/>
      <c r="Q37" s="1349" t="str">
        <f t="shared" si="11"/>
        <v>成新度</v>
      </c>
      <c r="R37" s="704" t="s">
        <v>14</v>
      </c>
      <c r="S37" s="705" t="e">
        <f t="shared" si="12"/>
        <v>#N/A</v>
      </c>
      <c r="T37" s="704" t="s">
        <v>14</v>
      </c>
      <c r="U37" s="705" t="e">
        <f t="shared" si="13"/>
        <v>#N/A</v>
      </c>
      <c r="V37" s="704" t="s">
        <v>14</v>
      </c>
      <c r="W37" s="705" t="e">
        <f t="shared" si="14"/>
        <v>#N/A</v>
      </c>
      <c r="X37" s="1352"/>
      <c r="Y37" s="3722"/>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0"/>
      <c r="Q38" s="1340"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0" t="s">
        <v>1693</v>
      </c>
      <c r="Q39" s="1349" t="str">
        <f t="shared" si="11"/>
        <v>物业管理</v>
      </c>
      <c r="R39" s="704" t="s">
        <v>14</v>
      </c>
      <c r="S39" s="705">
        <f t="shared" si="12"/>
        <v>100</v>
      </c>
      <c r="T39" s="704" t="s">
        <v>14</v>
      </c>
      <c r="U39" s="705">
        <f t="shared" si="13"/>
        <v>100</v>
      </c>
      <c r="V39" s="704" t="s">
        <v>14</v>
      </c>
      <c r="W39" s="705">
        <f t="shared" si="14"/>
        <v>100</v>
      </c>
      <c r="X39" s="1352"/>
      <c r="Y39" s="3722"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0"/>
      <c r="Q40" s="1349" t="str">
        <f t="shared" si="11"/>
        <v>市政基础设施</v>
      </c>
      <c r="R40" s="704" t="s">
        <v>14</v>
      </c>
      <c r="S40" s="705">
        <f t="shared" si="12"/>
        <v>100</v>
      </c>
      <c r="T40" s="704" t="s">
        <v>14</v>
      </c>
      <c r="U40" s="705">
        <f t="shared" si="13"/>
        <v>100</v>
      </c>
      <c r="V40" s="704" t="s">
        <v>14</v>
      </c>
      <c r="W40" s="705">
        <f t="shared" si="14"/>
        <v>100</v>
      </c>
      <c r="X40" s="1352"/>
      <c r="Y40" s="3722"/>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0"/>
      <c r="Q41" s="1349" t="str">
        <f t="shared" si="11"/>
        <v>层高</v>
      </c>
      <c r="R41" s="704" t="s">
        <v>14</v>
      </c>
      <c r="S41" s="705">
        <f t="shared" si="12"/>
        <v>100</v>
      </c>
      <c r="T41" s="704" t="s">
        <v>14</v>
      </c>
      <c r="U41" s="705">
        <f t="shared" si="13"/>
        <v>100</v>
      </c>
      <c r="V41" s="704" t="s">
        <v>14</v>
      </c>
      <c r="W41" s="705">
        <f t="shared" si="14"/>
        <v>100</v>
      </c>
      <c r="X41" s="1352"/>
      <c r="Y41" s="3722"/>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0"/>
      <c r="Q43" s="1349" t="str">
        <f t="shared" si="11"/>
        <v>内部装修</v>
      </c>
      <c r="R43" s="704" t="s">
        <v>14</v>
      </c>
      <c r="S43" s="705">
        <f t="shared" si="12"/>
        <v>100</v>
      </c>
      <c r="T43" s="704" t="s">
        <v>14</v>
      </c>
      <c r="U43" s="705">
        <f t="shared" si="13"/>
        <v>100</v>
      </c>
      <c r="V43" s="704" t="s">
        <v>14</v>
      </c>
      <c r="W43" s="705">
        <f t="shared" si="14"/>
        <v>100</v>
      </c>
      <c r="X43" s="1352"/>
      <c r="Y43" s="3722"/>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20"/>
      <c r="Q44" s="1349" t="str">
        <f t="shared" si="11"/>
        <v>内部装修维护情况</v>
      </c>
      <c r="R44" s="704" t="s">
        <v>14</v>
      </c>
      <c r="S44" s="705">
        <f t="shared" si="12"/>
        <v>100</v>
      </c>
      <c r="T44" s="704" t="s">
        <v>14</v>
      </c>
      <c r="U44" s="705">
        <f t="shared" si="13"/>
        <v>100</v>
      </c>
      <c r="V44" s="704" t="s">
        <v>14</v>
      </c>
      <c r="W44" s="705">
        <f t="shared" si="14"/>
        <v>100</v>
      </c>
      <c r="X44" s="1352"/>
      <c r="Y44" s="3722"/>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0"/>
      <c r="Q45" s="1340">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0"/>
      <c r="Q46" s="1349">
        <f t="shared" si="11"/>
        <v>111</v>
      </c>
      <c r="R46" s="704" t="s">
        <v>14</v>
      </c>
      <c r="S46" s="705">
        <f t="shared" si="12"/>
        <v>100</v>
      </c>
      <c r="T46" s="704" t="s">
        <v>14</v>
      </c>
      <c r="U46" s="705">
        <f t="shared" si="13"/>
        <v>100</v>
      </c>
      <c r="V46" s="704" t="s">
        <v>14</v>
      </c>
      <c r="W46" s="705">
        <f t="shared" si="14"/>
        <v>100</v>
      </c>
      <c r="X46" s="1352"/>
      <c r="Y46" s="3722"/>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1"/>
      <c r="Q47" s="1349">
        <f t="shared" si="11"/>
        <v>111</v>
      </c>
      <c r="R47" s="704" t="s">
        <v>14</v>
      </c>
      <c r="S47" s="705">
        <f t="shared" si="12"/>
        <v>100</v>
      </c>
      <c r="T47" s="704" t="s">
        <v>14</v>
      </c>
      <c r="U47" s="705">
        <f t="shared" si="13"/>
        <v>100</v>
      </c>
      <c r="V47" s="704" t="s">
        <v>14</v>
      </c>
      <c r="W47" s="705">
        <f t="shared" si="14"/>
        <v>100</v>
      </c>
      <c r="X47" s="1352"/>
      <c r="Y47" s="3723"/>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6" t="str">
        <f>A48</f>
        <v>成交单价（元/平方米）</v>
      </c>
      <c r="Q48" s="3715"/>
      <c r="R48" s="3716">
        <f>E48</f>
        <v>0</v>
      </c>
      <c r="S48" s="3716"/>
      <c r="T48" s="3716">
        <f>G48</f>
        <v>0</v>
      </c>
      <c r="U48" s="3716"/>
      <c r="V48" s="3716">
        <f>I48</f>
        <v>0</v>
      </c>
      <c r="W48" s="3716"/>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12"/>
      <c r="M4" s="913"/>
      <c r="N4" s="913"/>
      <c r="O4" s="913"/>
      <c r="P4" s="3734" t="s">
        <v>1772</v>
      </c>
      <c r="Q4" s="3735"/>
      <c r="R4" s="3740" t="s">
        <v>1768</v>
      </c>
      <c r="S4" s="3741"/>
      <c r="T4" s="3740" t="s">
        <v>1769</v>
      </c>
      <c r="U4" s="3741"/>
      <c r="V4" s="3746" t="s">
        <v>1770</v>
      </c>
      <c r="W4" s="3746"/>
      <c r="X4" s="1352"/>
      <c r="Y4" s="3740" t="s">
        <v>1772</v>
      </c>
      <c r="Z4" s="3741"/>
      <c r="AA4" s="3727" t="s">
        <v>1768</v>
      </c>
      <c r="AB4" s="3728" t="s">
        <v>1769</v>
      </c>
      <c r="AC4" s="3727" t="s">
        <v>1770</v>
      </c>
    </row>
    <row r="5" spans="1:29" ht="15">
      <c r="A5" s="358"/>
      <c r="B5" s="359"/>
      <c r="C5" s="3754" t="s">
        <v>1670</v>
      </c>
      <c r="D5" s="3750"/>
      <c r="E5" s="3766" t="s">
        <v>1671</v>
      </c>
      <c r="F5" s="3758"/>
      <c r="G5" s="3754" t="s">
        <v>1672</v>
      </c>
      <c r="H5" s="3750"/>
      <c r="I5" s="3754" t="s">
        <v>1673</v>
      </c>
      <c r="J5" s="3750"/>
      <c r="K5" s="559"/>
      <c r="L5" s="912"/>
      <c r="M5" s="913"/>
      <c r="N5" s="913"/>
      <c r="O5" s="913"/>
      <c r="P5" s="3736"/>
      <c r="Q5" s="3737"/>
      <c r="R5" s="3742"/>
      <c r="S5" s="3743"/>
      <c r="T5" s="3742"/>
      <c r="U5" s="3743"/>
      <c r="V5" s="3746"/>
      <c r="W5" s="3746"/>
      <c r="X5" s="1352"/>
      <c r="Y5" s="3742"/>
      <c r="Z5" s="3743"/>
      <c r="AA5" s="3728"/>
      <c r="AB5" s="3728"/>
      <c r="AC5" s="3728"/>
    </row>
    <row r="6" spans="1:29" ht="15.75" thickBot="1">
      <c r="A6" s="360"/>
      <c r="B6" s="361"/>
      <c r="C6" s="3747" t="s">
        <v>1674</v>
      </c>
      <c r="D6" s="3748"/>
      <c r="E6" s="3755" t="s">
        <v>1674</v>
      </c>
      <c r="F6" s="3756"/>
      <c r="G6" s="3747" t="s">
        <v>1674</v>
      </c>
      <c r="H6" s="3748"/>
      <c r="I6" s="3747" t="s">
        <v>1674</v>
      </c>
      <c r="J6" s="3748"/>
      <c r="K6" s="559" t="s">
        <v>1675</v>
      </c>
      <c r="L6" s="912"/>
      <c r="M6" s="913"/>
      <c r="N6" s="913"/>
      <c r="O6" s="913"/>
      <c r="P6" s="3738"/>
      <c r="Q6" s="3739"/>
      <c r="R6" s="3742"/>
      <c r="S6" s="3743"/>
      <c r="T6" s="3744"/>
      <c r="U6" s="3745"/>
      <c r="V6" s="3746"/>
      <c r="W6" s="3746"/>
      <c r="X6" s="1352"/>
      <c r="Y6" s="3744"/>
      <c r="Z6" s="3745"/>
      <c r="AA6" s="3729"/>
      <c r="AB6" s="3729"/>
      <c r="AC6" s="3729"/>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51" t="s">
        <v>1677</v>
      </c>
      <c r="Q7" s="3753"/>
      <c r="R7" s="700" t="s">
        <v>14</v>
      </c>
      <c r="S7" s="701">
        <f t="shared" ref="S7:S15" si="0">F7</f>
        <v>0</v>
      </c>
      <c r="T7" s="700" t="s">
        <v>14</v>
      </c>
      <c r="U7" s="701">
        <f t="shared" ref="U7:U15" si="1">H7</f>
        <v>0</v>
      </c>
      <c r="V7" s="700" t="s">
        <v>14</v>
      </c>
      <c r="W7" s="701">
        <f t="shared" ref="W7:W15" si="2">J7</f>
        <v>0</v>
      </c>
      <c r="X7" s="702"/>
      <c r="Y7" s="3751" t="s">
        <v>1677</v>
      </c>
      <c r="Z7" s="3752"/>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1" t="s">
        <v>1680</v>
      </c>
      <c r="Q8" s="3752"/>
      <c r="R8" s="700" t="s">
        <v>14</v>
      </c>
      <c r="S8" s="701">
        <f t="shared" si="0"/>
        <v>100</v>
      </c>
      <c r="T8" s="700" t="s">
        <v>14</v>
      </c>
      <c r="U8" s="701">
        <f t="shared" si="1"/>
        <v>100</v>
      </c>
      <c r="V8" s="700" t="s">
        <v>14</v>
      </c>
      <c r="W8" s="701">
        <f t="shared" si="2"/>
        <v>100</v>
      </c>
      <c r="X8" s="702"/>
      <c r="Y8" s="3751" t="s">
        <v>1680</v>
      </c>
      <c r="Z8" s="3752"/>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5"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15"/>
      <c r="Q10" s="1340"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5"/>
      <c r="Q11" s="1340"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15"/>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15"/>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15"/>
      <c r="Q14" s="1340">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1688</v>
      </c>
      <c r="Q15" s="1349" t="str">
        <f t="shared" si="6"/>
        <v>产业集聚程度</v>
      </c>
      <c r="R15" s="704" t="s">
        <v>14</v>
      </c>
      <c r="S15" s="705">
        <f t="shared" si="0"/>
        <v>100</v>
      </c>
      <c r="T15" s="704" t="s">
        <v>14</v>
      </c>
      <c r="U15" s="705">
        <f t="shared" si="1"/>
        <v>100</v>
      </c>
      <c r="V15" s="704" t="s">
        <v>14</v>
      </c>
      <c r="W15" s="705">
        <f t="shared" si="2"/>
        <v>100</v>
      </c>
      <c r="X15" s="1352"/>
      <c r="Y15" s="3717"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18"/>
      <c r="Q16" s="1349"/>
      <c r="R16" s="704"/>
      <c r="S16" s="705"/>
      <c r="T16" s="704"/>
      <c r="U16" s="705"/>
      <c r="V16" s="704"/>
      <c r="W16" s="705"/>
      <c r="X16" s="1352"/>
      <c r="Y16" s="3718"/>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18"/>
      <c r="Q18" s="1349"/>
      <c r="R18" s="704"/>
      <c r="S18" s="705"/>
      <c r="T18" s="704"/>
      <c r="U18" s="705"/>
      <c r="V18" s="704"/>
      <c r="W18" s="705"/>
      <c r="X18" s="1352"/>
      <c r="Y18" s="3718"/>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49" t="str">
        <f>B19</f>
        <v>公共配套设施</v>
      </c>
      <c r="R19" s="704" t="s">
        <v>14</v>
      </c>
      <c r="S19" s="705">
        <f>F19</f>
        <v>100</v>
      </c>
      <c r="T19" s="704" t="s">
        <v>14</v>
      </c>
      <c r="U19" s="705">
        <f>H19</f>
        <v>100</v>
      </c>
      <c r="V19" s="704" t="s">
        <v>14</v>
      </c>
      <c r="W19" s="705">
        <f>J19</f>
        <v>100</v>
      </c>
      <c r="X19" s="1352"/>
      <c r="Y19" s="371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18"/>
      <c r="Q20" s="1349"/>
      <c r="R20" s="704"/>
      <c r="S20" s="705"/>
      <c r="T20" s="704"/>
      <c r="U20" s="705"/>
      <c r="V20" s="704"/>
      <c r="W20" s="705"/>
      <c r="X20" s="1352"/>
      <c r="Y20" s="3718"/>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49" t="str">
        <f>B21</f>
        <v>基础设施水平</v>
      </c>
      <c r="R21" s="704" t="s">
        <v>14</v>
      </c>
      <c r="S21" s="705">
        <f>F21</f>
        <v>100</v>
      </c>
      <c r="T21" s="704" t="s">
        <v>14</v>
      </c>
      <c r="U21" s="705">
        <f>H21</f>
        <v>100</v>
      </c>
      <c r="V21" s="704" t="s">
        <v>14</v>
      </c>
      <c r="W21" s="705">
        <f>J21</f>
        <v>100</v>
      </c>
      <c r="X21" s="1352"/>
      <c r="Y21" s="371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18"/>
      <c r="Q22" s="1349"/>
      <c r="R22" s="704"/>
      <c r="S22" s="705"/>
      <c r="T22" s="704"/>
      <c r="U22" s="705"/>
      <c r="V22" s="704"/>
      <c r="W22" s="705"/>
      <c r="X22" s="1352"/>
      <c r="Y22" s="3718"/>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49" t="str">
        <f>B23</f>
        <v>环境质量</v>
      </c>
      <c r="R23" s="704" t="s">
        <v>14</v>
      </c>
      <c r="S23" s="705">
        <f>F23</f>
        <v>100</v>
      </c>
      <c r="T23" s="704" t="s">
        <v>14</v>
      </c>
      <c r="U23" s="705">
        <f>H23</f>
        <v>100</v>
      </c>
      <c r="V23" s="704" t="s">
        <v>14</v>
      </c>
      <c r="W23" s="705">
        <f>J23</f>
        <v>100</v>
      </c>
      <c r="X23" s="1352"/>
      <c r="Y23" s="3718"/>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18"/>
      <c r="Q24" s="1349"/>
      <c r="R24" s="704"/>
      <c r="S24" s="705"/>
      <c r="T24" s="704"/>
      <c r="U24" s="705"/>
      <c r="V24" s="704"/>
      <c r="W24" s="705"/>
      <c r="X24" s="1352"/>
      <c r="Y24" s="371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49">
        <f>B25</f>
        <v>111</v>
      </c>
      <c r="R25" s="704" t="s">
        <v>14</v>
      </c>
      <c r="S25" s="705">
        <f>F25</f>
        <v>100</v>
      </c>
      <c r="T25" s="704" t="s">
        <v>14</v>
      </c>
      <c r="U25" s="705">
        <f>H25</f>
        <v>100</v>
      </c>
      <c r="V25" s="704" t="s">
        <v>14</v>
      </c>
      <c r="W25" s="705">
        <f>J25</f>
        <v>100</v>
      </c>
      <c r="X25" s="1352"/>
      <c r="Y25" s="371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49">
        <f t="shared" ref="Q26:Q40" si="11">B26</f>
        <v>111</v>
      </c>
      <c r="R26" s="704" t="s">
        <v>14</v>
      </c>
      <c r="S26" s="705">
        <f>F26</f>
        <v>100</v>
      </c>
      <c r="T26" s="704" t="s">
        <v>14</v>
      </c>
      <c r="U26" s="705">
        <f>H26</f>
        <v>100</v>
      </c>
      <c r="V26" s="704" t="s">
        <v>14</v>
      </c>
      <c r="W26" s="705">
        <f>J26</f>
        <v>100</v>
      </c>
      <c r="X26" s="1352"/>
      <c r="Y26" s="371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0">
        <f t="shared" si="11"/>
        <v>111</v>
      </c>
      <c r="R27" s="700" t="s">
        <v>14</v>
      </c>
      <c r="S27" s="701">
        <f>F27</f>
        <v>100</v>
      </c>
      <c r="T27" s="700" t="s">
        <v>14</v>
      </c>
      <c r="U27" s="701">
        <f>H27</f>
        <v>100</v>
      </c>
      <c r="V27" s="700" t="s">
        <v>14</v>
      </c>
      <c r="W27" s="701">
        <f>J27</f>
        <v>100</v>
      </c>
      <c r="X27" s="702"/>
      <c r="Y27" s="371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49">
        <f t="shared" si="11"/>
        <v>111</v>
      </c>
      <c r="R28" s="704" t="s">
        <v>14</v>
      </c>
      <c r="S28" s="705">
        <f t="shared" ref="S28:S40" si="12">F28</f>
        <v>100</v>
      </c>
      <c r="T28" s="704" t="s">
        <v>14</v>
      </c>
      <c r="U28" s="705">
        <f t="shared" ref="U28:U40" si="13">H28</f>
        <v>100</v>
      </c>
      <c r="V28" s="704" t="s">
        <v>14</v>
      </c>
      <c r="W28" s="705">
        <f t="shared" ref="W28:W40" si="14">J28</f>
        <v>100</v>
      </c>
      <c r="X28" s="1352"/>
      <c r="Y28" s="3718"/>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5" t="s">
        <v>1693</v>
      </c>
      <c r="Q29" s="1349" t="str">
        <f t="shared" si="11"/>
        <v>建筑类型</v>
      </c>
      <c r="R29" s="704" t="s">
        <v>14</v>
      </c>
      <c r="S29" s="705">
        <f t="shared" si="12"/>
        <v>100</v>
      </c>
      <c r="T29" s="704" t="s">
        <v>14</v>
      </c>
      <c r="U29" s="705">
        <f t="shared" si="13"/>
        <v>100</v>
      </c>
      <c r="V29" s="704" t="s">
        <v>14</v>
      </c>
      <c r="W29" s="705">
        <f t="shared" si="14"/>
        <v>100</v>
      </c>
      <c r="X29" s="1352"/>
      <c r="Y29" s="3722"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49" t="str">
        <f t="shared" si="11"/>
        <v>建筑结构</v>
      </c>
      <c r="R31" s="704" t="s">
        <v>14</v>
      </c>
      <c r="S31" s="705">
        <f t="shared" si="12"/>
        <v>100</v>
      </c>
      <c r="T31" s="704" t="s">
        <v>14</v>
      </c>
      <c r="U31" s="705">
        <f t="shared" si="13"/>
        <v>100</v>
      </c>
      <c r="V31" s="704" t="s">
        <v>14</v>
      </c>
      <c r="W31" s="705">
        <f t="shared" si="14"/>
        <v>100</v>
      </c>
      <c r="X31" s="1352"/>
      <c r="Y31" s="3722"/>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49" t="str">
        <f t="shared" si="11"/>
        <v>公共部分装修</v>
      </c>
      <c r="R32" s="704" t="s">
        <v>14</v>
      </c>
      <c r="S32" s="705">
        <f t="shared" si="12"/>
        <v>100</v>
      </c>
      <c r="T32" s="704" t="s">
        <v>14</v>
      </c>
      <c r="U32" s="705">
        <f t="shared" si="13"/>
        <v>100</v>
      </c>
      <c r="V32" s="704" t="s">
        <v>14</v>
      </c>
      <c r="W32" s="705">
        <f t="shared" si="14"/>
        <v>100</v>
      </c>
      <c r="X32" s="1352"/>
      <c r="Y32" s="3722"/>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49" t="str">
        <f t="shared" si="11"/>
        <v>成新度</v>
      </c>
      <c r="R33" s="704" t="s">
        <v>14</v>
      </c>
      <c r="S33" s="705" t="e">
        <f t="shared" si="12"/>
        <v>#N/A</v>
      </c>
      <c r="T33" s="704" t="s">
        <v>14</v>
      </c>
      <c r="U33" s="705" t="e">
        <f t="shared" si="13"/>
        <v>#N/A</v>
      </c>
      <c r="V33" s="704" t="s">
        <v>14</v>
      </c>
      <c r="W33" s="705" t="e">
        <f t="shared" si="14"/>
        <v>#N/A</v>
      </c>
      <c r="X33" s="1352"/>
      <c r="Y33" s="3722"/>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0"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1693</v>
      </c>
      <c r="Q35" s="1349" t="str">
        <f t="shared" si="11"/>
        <v>市政基础设施</v>
      </c>
      <c r="R35" s="704" t="s">
        <v>14</v>
      </c>
      <c r="S35" s="705">
        <f t="shared" si="12"/>
        <v>100</v>
      </c>
      <c r="T35" s="704" t="s">
        <v>14</v>
      </c>
      <c r="U35" s="705">
        <f t="shared" si="13"/>
        <v>100</v>
      </c>
      <c r="V35" s="704" t="s">
        <v>14</v>
      </c>
      <c r="W35" s="705">
        <f t="shared" si="14"/>
        <v>100</v>
      </c>
      <c r="X35" s="1352"/>
      <c r="Y35" s="3722"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49" t="str">
        <f t="shared" si="11"/>
        <v>内部装修</v>
      </c>
      <c r="R36" s="704" t="s">
        <v>14</v>
      </c>
      <c r="S36" s="705">
        <f t="shared" si="12"/>
        <v>100</v>
      </c>
      <c r="T36" s="704" t="s">
        <v>14</v>
      </c>
      <c r="U36" s="705">
        <f t="shared" si="13"/>
        <v>100</v>
      </c>
      <c r="V36" s="704" t="s">
        <v>14</v>
      </c>
      <c r="W36" s="705">
        <f t="shared" si="14"/>
        <v>100</v>
      </c>
      <c r="X36" s="1352"/>
      <c r="Y36" s="3722"/>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49" t="str">
        <f t="shared" si="11"/>
        <v>内部装修状况</v>
      </c>
      <c r="R37" s="704" t="s">
        <v>14</v>
      </c>
      <c r="S37" s="705">
        <f t="shared" si="12"/>
        <v>100</v>
      </c>
      <c r="T37" s="704" t="s">
        <v>14</v>
      </c>
      <c r="U37" s="705">
        <f t="shared" si="13"/>
        <v>100</v>
      </c>
      <c r="V37" s="704" t="s">
        <v>14</v>
      </c>
      <c r="W37" s="705">
        <f t="shared" si="14"/>
        <v>100</v>
      </c>
      <c r="X37" s="1352"/>
      <c r="Y37" s="3722"/>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49">
        <f t="shared" si="11"/>
        <v>111</v>
      </c>
      <c r="R39" s="704" t="s">
        <v>14</v>
      </c>
      <c r="S39" s="705">
        <f t="shared" si="12"/>
        <v>100</v>
      </c>
      <c r="T39" s="704" t="s">
        <v>14</v>
      </c>
      <c r="U39" s="705">
        <f t="shared" si="13"/>
        <v>100</v>
      </c>
      <c r="V39" s="704" t="s">
        <v>14</v>
      </c>
      <c r="W39" s="705">
        <f t="shared" si="14"/>
        <v>100</v>
      </c>
      <c r="X39" s="1352"/>
      <c r="Y39" s="3722"/>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49">
        <f t="shared" si="11"/>
        <v>111</v>
      </c>
      <c r="R40" s="704" t="s">
        <v>14</v>
      </c>
      <c r="S40" s="705">
        <f t="shared" si="12"/>
        <v>100</v>
      </c>
      <c r="T40" s="704" t="s">
        <v>14</v>
      </c>
      <c r="U40" s="705">
        <f t="shared" si="13"/>
        <v>100</v>
      </c>
      <c r="V40" s="704" t="s">
        <v>14</v>
      </c>
      <c r="W40" s="705">
        <f t="shared" si="14"/>
        <v>100</v>
      </c>
      <c r="X40" s="1352"/>
      <c r="Y40" s="3723"/>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15" t="str">
        <f>A41</f>
        <v>成交单价（元/平方米）</v>
      </c>
      <c r="Q41" s="3715"/>
      <c r="R41" s="3716">
        <f>E41</f>
        <v>0</v>
      </c>
      <c r="S41" s="3716"/>
      <c r="T41" s="3716">
        <f>G41</f>
        <v>0</v>
      </c>
      <c r="U41" s="3716"/>
      <c r="V41" s="3716">
        <f>I41</f>
        <v>0</v>
      </c>
      <c r="W41" s="3716"/>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40" t="s">
        <v>1768</v>
      </c>
      <c r="S4" s="3741"/>
      <c r="T4" s="3740" t="s">
        <v>1769</v>
      </c>
      <c r="U4" s="3741"/>
      <c r="V4" s="3746" t="s">
        <v>1770</v>
      </c>
      <c r="W4" s="3746"/>
      <c r="X4" s="1352"/>
      <c r="Y4" s="3740" t="s">
        <v>1772</v>
      </c>
      <c r="Z4" s="3741"/>
      <c r="AA4" s="3727" t="s">
        <v>1768</v>
      </c>
      <c r="AB4" s="3728" t="s">
        <v>1769</v>
      </c>
      <c r="AC4" s="3727" t="s">
        <v>1770</v>
      </c>
    </row>
    <row r="5" spans="1:29" ht="15">
      <c r="A5" s="358"/>
      <c r="B5" s="359"/>
      <c r="C5" s="3754" t="s">
        <v>1670</v>
      </c>
      <c r="D5" s="3750"/>
      <c r="E5" s="3766" t="s">
        <v>1671</v>
      </c>
      <c r="F5" s="3758"/>
      <c r="G5" s="3754" t="s">
        <v>1672</v>
      </c>
      <c r="H5" s="3750"/>
      <c r="I5" s="3754" t="s">
        <v>1673</v>
      </c>
      <c r="J5" s="3750"/>
      <c r="K5" s="559"/>
      <c r="L5" s="2710"/>
      <c r="M5" s="2711"/>
      <c r="N5" s="2711"/>
      <c r="O5" s="2711"/>
      <c r="P5" s="3736"/>
      <c r="Q5" s="3737"/>
      <c r="R5" s="3742"/>
      <c r="S5" s="3743"/>
      <c r="T5" s="3742"/>
      <c r="U5" s="3743"/>
      <c r="V5" s="3746"/>
      <c r="W5" s="3746"/>
      <c r="X5" s="1352"/>
      <c r="Y5" s="3742"/>
      <c r="Z5" s="3743"/>
      <c r="AA5" s="3728"/>
      <c r="AB5" s="3728"/>
      <c r="AC5" s="3728"/>
    </row>
    <row r="6" spans="1:29" ht="15.75" thickBot="1">
      <c r="A6" s="360"/>
      <c r="B6" s="361"/>
      <c r="C6" s="3747" t="s">
        <v>1674</v>
      </c>
      <c r="D6" s="3748"/>
      <c r="E6" s="3755" t="s">
        <v>1674</v>
      </c>
      <c r="F6" s="3756"/>
      <c r="G6" s="3747" t="s">
        <v>1674</v>
      </c>
      <c r="H6" s="3748"/>
      <c r="I6" s="3747" t="s">
        <v>1674</v>
      </c>
      <c r="J6" s="3748"/>
      <c r="K6" s="559" t="s">
        <v>1675</v>
      </c>
      <c r="L6" s="2710"/>
      <c r="M6" s="2711"/>
      <c r="N6" s="2711"/>
      <c r="O6" s="2711"/>
      <c r="P6" s="3738"/>
      <c r="Q6" s="3739"/>
      <c r="R6" s="3742"/>
      <c r="S6" s="3743"/>
      <c r="T6" s="3744"/>
      <c r="U6" s="3745"/>
      <c r="V6" s="3746"/>
      <c r="W6" s="3746"/>
      <c r="X6" s="1352"/>
      <c r="Y6" s="3744"/>
      <c r="Z6" s="3745"/>
      <c r="AA6" s="3729"/>
      <c r="AB6" s="3729"/>
      <c r="AC6" s="3729"/>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51" t="s">
        <v>1677</v>
      </c>
      <c r="Q7" s="3753"/>
      <c r="R7" s="700" t="s">
        <v>14</v>
      </c>
      <c r="S7" s="701">
        <f t="shared" ref="S7:S14" si="0">F7</f>
        <v>0</v>
      </c>
      <c r="T7" s="700" t="s">
        <v>14</v>
      </c>
      <c r="U7" s="701">
        <f t="shared" ref="U7:U14" si="1">H7</f>
        <v>0</v>
      </c>
      <c r="V7" s="700" t="s">
        <v>14</v>
      </c>
      <c r="W7" s="701">
        <f t="shared" ref="W7:W14" si="2">J7</f>
        <v>0</v>
      </c>
      <c r="X7" s="702"/>
      <c r="Y7" s="3751" t="s">
        <v>1677</v>
      </c>
      <c r="Z7" s="3752"/>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51" t="s">
        <v>1680</v>
      </c>
      <c r="Q8" s="3752"/>
      <c r="R8" s="700" t="s">
        <v>14</v>
      </c>
      <c r="S8" s="701">
        <f t="shared" si="0"/>
        <v>100</v>
      </c>
      <c r="T8" s="700" t="s">
        <v>14</v>
      </c>
      <c r="U8" s="701">
        <f t="shared" si="1"/>
        <v>100</v>
      </c>
      <c r="V8" s="700" t="s">
        <v>14</v>
      </c>
      <c r="W8" s="701">
        <f t="shared" si="2"/>
        <v>100</v>
      </c>
      <c r="X8" s="702"/>
      <c r="Y8" s="3751" t="s">
        <v>1680</v>
      </c>
      <c r="Z8" s="3752"/>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5" t="s">
        <v>1683</v>
      </c>
      <c r="Q9" s="1340" t="str">
        <f t="shared" ref="Q9:Q14" si="6">B9</f>
        <v>用途</v>
      </c>
      <c r="R9" s="700" t="s">
        <v>14</v>
      </c>
      <c r="S9" s="701">
        <f t="shared" si="0"/>
        <v>100</v>
      </c>
      <c r="T9" s="700" t="s">
        <v>14</v>
      </c>
      <c r="U9" s="701">
        <f t="shared" si="1"/>
        <v>100</v>
      </c>
      <c r="V9" s="700" t="s">
        <v>14</v>
      </c>
      <c r="W9" s="701">
        <f t="shared" si="2"/>
        <v>100</v>
      </c>
      <c r="X9" s="702"/>
      <c r="Y9" s="3619"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5"/>
      <c r="Q10" s="1340"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5"/>
      <c r="Q11" s="1340">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5"/>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15"/>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7" t="s">
        <v>1688</v>
      </c>
      <c r="Q14" s="1349" t="str">
        <f t="shared" si="6"/>
        <v>交通便捷度</v>
      </c>
      <c r="R14" s="704" t="s">
        <v>14</v>
      </c>
      <c r="S14" s="705">
        <f t="shared" si="0"/>
        <v>100</v>
      </c>
      <c r="T14" s="704" t="s">
        <v>14</v>
      </c>
      <c r="U14" s="705">
        <f t="shared" si="1"/>
        <v>100</v>
      </c>
      <c r="V14" s="704" t="s">
        <v>14</v>
      </c>
      <c r="W14" s="705">
        <f t="shared" si="2"/>
        <v>100</v>
      </c>
      <c r="X14" s="1352"/>
      <c r="Y14" s="3717"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18"/>
      <c r="Q15" s="1349"/>
      <c r="R15" s="704"/>
      <c r="S15" s="705"/>
      <c r="T15" s="704"/>
      <c r="U15" s="705"/>
      <c r="V15" s="704"/>
      <c r="W15" s="705"/>
      <c r="X15" s="1352"/>
      <c r="Y15" s="3718"/>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8"/>
      <c r="Q16" s="1349" t="str">
        <f>B16</f>
        <v>公共配套设施</v>
      </c>
      <c r="R16" s="704" t="s">
        <v>14</v>
      </c>
      <c r="S16" s="705">
        <f>F16</f>
        <v>100</v>
      </c>
      <c r="T16" s="704" t="s">
        <v>14</v>
      </c>
      <c r="U16" s="705">
        <f>H16</f>
        <v>100</v>
      </c>
      <c r="V16" s="704" t="s">
        <v>14</v>
      </c>
      <c r="W16" s="705">
        <f>J16</f>
        <v>100</v>
      </c>
      <c r="X16" s="1352"/>
      <c r="Y16" s="3718"/>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18"/>
      <c r="Q17" s="1349"/>
      <c r="R17" s="704"/>
      <c r="S17" s="705"/>
      <c r="T17" s="704"/>
      <c r="U17" s="705"/>
      <c r="V17" s="704"/>
      <c r="W17" s="705"/>
      <c r="X17" s="1352"/>
      <c r="Y17" s="3718"/>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8"/>
      <c r="Q18" s="1349" t="str">
        <f>B18</f>
        <v>基础设施水平</v>
      </c>
      <c r="R18" s="704" t="s">
        <v>14</v>
      </c>
      <c r="S18" s="705">
        <f>F18</f>
        <v>100</v>
      </c>
      <c r="T18" s="704" t="s">
        <v>14</v>
      </c>
      <c r="U18" s="705">
        <f>H18</f>
        <v>100</v>
      </c>
      <c r="V18" s="704" t="s">
        <v>14</v>
      </c>
      <c r="W18" s="705">
        <f>J18</f>
        <v>100</v>
      </c>
      <c r="X18" s="1352"/>
      <c r="Y18" s="3718"/>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18"/>
      <c r="Q19" s="1349"/>
      <c r="R19" s="704"/>
      <c r="S19" s="705"/>
      <c r="T19" s="704"/>
      <c r="U19" s="705"/>
      <c r="V19" s="704"/>
      <c r="W19" s="705"/>
      <c r="X19" s="1352"/>
      <c r="Y19" s="3718"/>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8"/>
      <c r="Q20" s="1349" t="str">
        <f>B20</f>
        <v>自然及人文环境</v>
      </c>
      <c r="R20" s="704" t="s">
        <v>14</v>
      </c>
      <c r="S20" s="705">
        <f>F20</f>
        <v>100</v>
      </c>
      <c r="T20" s="704" t="s">
        <v>14</v>
      </c>
      <c r="U20" s="705">
        <f>H20</f>
        <v>100</v>
      </c>
      <c r="V20" s="704" t="s">
        <v>14</v>
      </c>
      <c r="W20" s="705">
        <f>J20</f>
        <v>100</v>
      </c>
      <c r="X20" s="1352"/>
      <c r="Y20" s="371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18"/>
      <c r="Q21" s="1349"/>
      <c r="R21" s="704"/>
      <c r="S21" s="705"/>
      <c r="T21" s="704"/>
      <c r="U21" s="705"/>
      <c r="V21" s="704"/>
      <c r="W21" s="705"/>
      <c r="X21" s="1352"/>
      <c r="Y21" s="3718"/>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8"/>
      <c r="Q22" s="1349" t="str">
        <f>B22</f>
        <v>楼层</v>
      </c>
      <c r="R22" s="704" t="s">
        <v>14</v>
      </c>
      <c r="S22" s="705">
        <f>F22</f>
        <v>100</v>
      </c>
      <c r="T22" s="704" t="s">
        <v>14</v>
      </c>
      <c r="U22" s="705">
        <f>H22</f>
        <v>100</v>
      </c>
      <c r="V22" s="704" t="s">
        <v>14</v>
      </c>
      <c r="W22" s="705">
        <f>J22</f>
        <v>100</v>
      </c>
      <c r="X22" s="1352"/>
      <c r="Y22" s="3718"/>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8"/>
      <c r="Q23" s="1349">
        <f>B23</f>
        <v>111</v>
      </c>
      <c r="R23" s="704" t="s">
        <v>14</v>
      </c>
      <c r="S23" s="705">
        <f>F23</f>
        <v>100</v>
      </c>
      <c r="T23" s="704" t="s">
        <v>14</v>
      </c>
      <c r="U23" s="705">
        <f>H23</f>
        <v>100</v>
      </c>
      <c r="V23" s="704" t="s">
        <v>14</v>
      </c>
      <c r="W23" s="705">
        <f>J23</f>
        <v>100</v>
      </c>
      <c r="X23" s="1352"/>
      <c r="Y23" s="3718"/>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8"/>
      <c r="Q24" s="1349">
        <f t="shared" ref="Q24:Q34" si="11">B24</f>
        <v>111</v>
      </c>
      <c r="R24" s="704" t="s">
        <v>14</v>
      </c>
      <c r="S24" s="705">
        <f>F24</f>
        <v>100</v>
      </c>
      <c r="T24" s="704" t="s">
        <v>14</v>
      </c>
      <c r="U24" s="705">
        <f>H24</f>
        <v>100</v>
      </c>
      <c r="V24" s="704" t="s">
        <v>14</v>
      </c>
      <c r="W24" s="705">
        <f>J24</f>
        <v>100</v>
      </c>
      <c r="X24" s="1352"/>
      <c r="Y24" s="3718"/>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18"/>
      <c r="Q25" s="1340">
        <f t="shared" si="11"/>
        <v>111</v>
      </c>
      <c r="R25" s="700" t="s">
        <v>14</v>
      </c>
      <c r="S25" s="701">
        <f>F25</f>
        <v>100</v>
      </c>
      <c r="T25" s="700" t="s">
        <v>14</v>
      </c>
      <c r="U25" s="701">
        <f>H25</f>
        <v>100</v>
      </c>
      <c r="V25" s="700" t="s">
        <v>14</v>
      </c>
      <c r="W25" s="701">
        <f>J25</f>
        <v>100</v>
      </c>
      <c r="X25" s="702"/>
      <c r="Y25" s="3718"/>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5"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2"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2"/>
      <c r="Q28" s="1349" t="str">
        <f t="shared" si="11"/>
        <v>物业等级</v>
      </c>
      <c r="R28" s="704" t="s">
        <v>14</v>
      </c>
      <c r="S28" s="705">
        <f t="shared" si="12"/>
        <v>100</v>
      </c>
      <c r="T28" s="704" t="s">
        <v>14</v>
      </c>
      <c r="U28" s="705">
        <f t="shared" si="13"/>
        <v>100</v>
      </c>
      <c r="V28" s="704" t="s">
        <v>14</v>
      </c>
      <c r="W28" s="705">
        <f t="shared" si="14"/>
        <v>100</v>
      </c>
      <c r="X28" s="1352"/>
      <c r="Y28" s="3722"/>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2"/>
      <c r="Q29" s="1349" t="str">
        <f t="shared" si="11"/>
        <v>有无电梯</v>
      </c>
      <c r="R29" s="704" t="s">
        <v>14</v>
      </c>
      <c r="S29" s="705">
        <f t="shared" si="12"/>
        <v>100</v>
      </c>
      <c r="T29" s="704" t="s">
        <v>14</v>
      </c>
      <c r="U29" s="705">
        <f t="shared" si="13"/>
        <v>100</v>
      </c>
      <c r="V29" s="704" t="s">
        <v>14</v>
      </c>
      <c r="W29" s="705">
        <f t="shared" si="14"/>
        <v>100</v>
      </c>
      <c r="X29" s="1352"/>
      <c r="Y29" s="3722"/>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2"/>
      <c r="Q30" s="1349" t="str">
        <f t="shared" si="11"/>
        <v>建筑面积</v>
      </c>
      <c r="R30" s="704" t="s">
        <v>14</v>
      </c>
      <c r="S30" s="705" t="e">
        <f t="shared" si="12"/>
        <v>#N/A</v>
      </c>
      <c r="T30" s="704" t="s">
        <v>14</v>
      </c>
      <c r="U30" s="705" t="e">
        <f t="shared" si="13"/>
        <v>#N/A</v>
      </c>
      <c r="V30" s="704" t="s">
        <v>14</v>
      </c>
      <c r="W30" s="705" t="e">
        <f t="shared" si="14"/>
        <v>#N/A</v>
      </c>
      <c r="X30" s="1352"/>
      <c r="Y30" s="3722"/>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2"/>
      <c r="Q31" s="1340"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2" t="s">
        <v>1693</v>
      </c>
      <c r="Q32" s="1349">
        <f t="shared" si="11"/>
        <v>111</v>
      </c>
      <c r="R32" s="704" t="s">
        <v>14</v>
      </c>
      <c r="S32" s="705">
        <f t="shared" si="12"/>
        <v>100</v>
      </c>
      <c r="T32" s="704" t="s">
        <v>14</v>
      </c>
      <c r="U32" s="705">
        <f t="shared" si="13"/>
        <v>100</v>
      </c>
      <c r="V32" s="704" t="s">
        <v>14</v>
      </c>
      <c r="W32" s="705">
        <f t="shared" si="14"/>
        <v>100</v>
      </c>
      <c r="X32" s="1352"/>
      <c r="Y32" s="3722"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2"/>
      <c r="Q33" s="1349">
        <f t="shared" si="11"/>
        <v>111</v>
      </c>
      <c r="R33" s="704" t="s">
        <v>14</v>
      </c>
      <c r="S33" s="705">
        <f t="shared" si="12"/>
        <v>100</v>
      </c>
      <c r="T33" s="704" t="s">
        <v>14</v>
      </c>
      <c r="U33" s="705">
        <f t="shared" si="13"/>
        <v>100</v>
      </c>
      <c r="V33" s="704" t="s">
        <v>14</v>
      </c>
      <c r="W33" s="705">
        <f t="shared" si="14"/>
        <v>100</v>
      </c>
      <c r="X33" s="1352"/>
      <c r="Y33" s="3722"/>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15" t="str">
        <f>A35</f>
        <v>成交单价（元/平方米）</v>
      </c>
      <c r="Q35" s="3715"/>
      <c r="R35" s="3716">
        <f>E35</f>
        <v>0</v>
      </c>
      <c r="S35" s="3716"/>
      <c r="T35" s="3716">
        <f>G35</f>
        <v>0</v>
      </c>
      <c r="U35" s="3716"/>
      <c r="V35" s="3716">
        <f>I35</f>
        <v>0</v>
      </c>
      <c r="W35" s="3716"/>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12" t="str">
        <f>A37</f>
        <v>估价对象XX用房的比较价值（楼面单价，元/平方米）</v>
      </c>
      <c r="Q37" s="3713"/>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0"/>
      <c r="B4" s="3533" t="s">
        <v>914</v>
      </c>
      <c r="C4" s="3533"/>
      <c r="D4" s="3533"/>
      <c r="E4" s="1490"/>
    </row>
    <row r="5" spans="1:5" ht="16.5" thickTop="1">
      <c r="A5" s="1488"/>
      <c r="B5" s="3531" t="s">
        <v>906</v>
      </c>
      <c r="C5" s="1491" t="s">
        <v>907</v>
      </c>
      <c r="D5" s="849">
        <f ca="1">'结果表-住宅基准'!H101</f>
        <v>307</v>
      </c>
      <c r="E5" s="1488"/>
    </row>
    <row r="6" spans="1:5" ht="15.75">
      <c r="A6" s="1488"/>
      <c r="B6" s="3531"/>
      <c r="C6" s="1491" t="s">
        <v>908</v>
      </c>
      <c r="D6" s="849" t="str">
        <f ca="1">NUMBERSTRING(INT(D5*10000),2)&amp;"元整"</f>
        <v>叁佰零柒万元整</v>
      </c>
      <c r="E6" s="1488"/>
    </row>
    <row r="7" spans="1:5" ht="15.75">
      <c r="A7" s="1488"/>
      <c r="B7" s="3536"/>
      <c r="C7" s="1492" t="s">
        <v>909</v>
      </c>
      <c r="D7" s="850">
        <f ca="1">'结果表-住宅基准'!H102</f>
        <v>35274</v>
      </c>
      <c r="E7" s="1488"/>
    </row>
    <row r="8" spans="1:5" ht="15.75">
      <c r="A8" s="1488"/>
      <c r="B8" s="3537" t="str">
        <f>'结果表-住宅基准'!E103</f>
        <v>2.估价师知悉的法定优先受偿款</v>
      </c>
      <c r="C8" s="1493" t="s">
        <v>910</v>
      </c>
      <c r="D8" s="850">
        <f>'结果表-住宅基准'!H103</f>
        <v>0</v>
      </c>
      <c r="E8" s="1488"/>
    </row>
    <row r="9" spans="1:5" ht="15.75">
      <c r="A9" s="1488"/>
      <c r="B9" s="3539"/>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30" t="str">
        <f>'结果表-住宅基准'!E107</f>
        <v>3.房地产抵押价值</v>
      </c>
      <c r="C13" s="1496" t="s">
        <v>907</v>
      </c>
      <c r="D13" s="852">
        <f ca="1">'结果表-住宅基准'!H107</f>
        <v>307</v>
      </c>
      <c r="E13" s="1488"/>
    </row>
    <row r="14" spans="1:5" ht="15.75">
      <c r="A14" s="1488"/>
      <c r="B14" s="3531"/>
      <c r="C14" s="1491" t="s">
        <v>908</v>
      </c>
      <c r="D14" s="849" t="str">
        <f ca="1">NUMBERSTRING(INT(D13*10000),2)&amp;"元整"</f>
        <v>叁佰零柒万元整</v>
      </c>
      <c r="E14" s="1488"/>
    </row>
    <row r="15" spans="1:5" ht="15">
      <c r="A15" s="1488"/>
      <c r="B15" s="3536"/>
      <c r="C15" s="1492" t="s">
        <v>918</v>
      </c>
      <c r="D15" s="858">
        <f ca="1">'结果表-住宅基准'!H108</f>
        <v>35274</v>
      </c>
      <c r="E15" s="1488"/>
    </row>
    <row r="16" spans="1:5" ht="15">
      <c r="A16" s="1488"/>
      <c r="B16" s="3537" t="str">
        <f>'结果表-住宅基准'!E109</f>
        <v>——</v>
      </c>
      <c r="C16" s="1496" t="s">
        <v>919</v>
      </c>
      <c r="D16" s="1497" t="str">
        <f>'结果表-住宅基准'!H109</f>
        <v>——</v>
      </c>
      <c r="E16" s="1488"/>
    </row>
    <row r="17" spans="1:5" ht="15.75">
      <c r="A17" s="1488"/>
      <c r="B17" s="3538"/>
      <c r="C17" s="1491" t="s">
        <v>920</v>
      </c>
      <c r="D17" s="849" t="e">
        <f>NUMBERSTRING(INT(D16*10000),2)&amp;"元整"</f>
        <v>#VALUE!</v>
      </c>
      <c r="E17" s="1488"/>
    </row>
    <row r="18" spans="1:5" ht="15">
      <c r="A18" s="1488"/>
      <c r="B18" s="3539"/>
      <c r="C18" s="1492" t="s">
        <v>909</v>
      </c>
      <c r="D18" s="858" t="str">
        <f>'结果表-住宅基准'!H110</f>
        <v>——</v>
      </c>
      <c r="E18" s="1488"/>
    </row>
    <row r="19" spans="1:5" ht="15.75">
      <c r="A19" s="1488"/>
      <c r="B19" s="3530" t="str">
        <f>'结果表-住宅基准'!E111</f>
        <v>4.抵押净值</v>
      </c>
      <c r="C19" s="1496" t="s">
        <v>907</v>
      </c>
      <c r="D19" s="850">
        <f ca="1">'结果表-住宅基准'!H111</f>
        <v>46831</v>
      </c>
      <c r="E19" s="1488"/>
    </row>
    <row r="20" spans="1:5" ht="15.75">
      <c r="A20" s="1488"/>
      <c r="B20" s="3531"/>
      <c r="C20" s="1491" t="s">
        <v>920</v>
      </c>
      <c r="D20" s="849" t="str">
        <f ca="1">NUMBERSTRING(INT(D19*10000),2)&amp;"元整"</f>
        <v>肆亿陆仟捌佰叁拾壹万元整</v>
      </c>
      <c r="E20" s="1488"/>
    </row>
    <row r="21" spans="1:5" ht="15.75" thickBot="1">
      <c r="A21" s="1488"/>
      <c r="B21" s="3532"/>
      <c r="C21" s="1498" t="s">
        <v>918</v>
      </c>
      <c r="D21" s="859">
        <f ca="1">'结果表-住宅基准'!H112</f>
        <v>4035764</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0"/>
      <c r="M4" s="2711"/>
      <c r="N4" s="2711"/>
      <c r="O4" s="2711"/>
      <c r="P4" s="3734" t="s">
        <v>1772</v>
      </c>
      <c r="Q4" s="3735"/>
      <c r="R4" s="3740" t="s">
        <v>1768</v>
      </c>
      <c r="S4" s="3741"/>
      <c r="T4" s="3740" t="s">
        <v>1769</v>
      </c>
      <c r="U4" s="3741"/>
      <c r="V4" s="3746" t="s">
        <v>1770</v>
      </c>
      <c r="W4" s="3746"/>
      <c r="X4" s="1352"/>
      <c r="Y4" s="3740" t="s">
        <v>1772</v>
      </c>
      <c r="Z4" s="3741"/>
      <c r="AA4" s="3727" t="s">
        <v>1768</v>
      </c>
      <c r="AB4" s="3728" t="s">
        <v>1769</v>
      </c>
      <c r="AC4" s="3727" t="s">
        <v>1770</v>
      </c>
    </row>
    <row r="5" spans="1:29" ht="15">
      <c r="A5" s="358"/>
      <c r="B5" s="359"/>
      <c r="C5" s="3754" t="s">
        <v>1670</v>
      </c>
      <c r="D5" s="3750"/>
      <c r="E5" s="3766" t="s">
        <v>1671</v>
      </c>
      <c r="F5" s="3758"/>
      <c r="G5" s="3754" t="s">
        <v>1672</v>
      </c>
      <c r="H5" s="3750"/>
      <c r="I5" s="3754" t="s">
        <v>1673</v>
      </c>
      <c r="J5" s="3750"/>
      <c r="K5" s="559"/>
      <c r="L5" s="2710"/>
      <c r="M5" s="2711"/>
      <c r="N5" s="2711"/>
      <c r="O5" s="2711"/>
      <c r="P5" s="3736"/>
      <c r="Q5" s="3737"/>
      <c r="R5" s="3742"/>
      <c r="S5" s="3743"/>
      <c r="T5" s="3742"/>
      <c r="U5" s="3743"/>
      <c r="V5" s="3746"/>
      <c r="W5" s="3746"/>
      <c r="X5" s="1352"/>
      <c r="Y5" s="3742"/>
      <c r="Z5" s="3743"/>
      <c r="AA5" s="3728"/>
      <c r="AB5" s="3728"/>
      <c r="AC5" s="3728"/>
    </row>
    <row r="6" spans="1:29" ht="15.75" thickBot="1">
      <c r="A6" s="360"/>
      <c r="B6" s="361"/>
      <c r="C6" s="3817" t="s">
        <v>1916</v>
      </c>
      <c r="D6" s="3818"/>
      <c r="E6" s="3819" t="s">
        <v>1916</v>
      </c>
      <c r="F6" s="3820"/>
      <c r="G6" s="3817" t="s">
        <v>1916</v>
      </c>
      <c r="H6" s="3818"/>
      <c r="I6" s="3817" t="s">
        <v>1916</v>
      </c>
      <c r="J6" s="3818"/>
      <c r="K6" s="559" t="s">
        <v>1675</v>
      </c>
      <c r="L6" s="2710"/>
      <c r="M6" s="2711"/>
      <c r="N6" s="2711"/>
      <c r="O6" s="2711"/>
      <c r="P6" s="3738"/>
      <c r="Q6" s="3739"/>
      <c r="R6" s="3742"/>
      <c r="S6" s="3743"/>
      <c r="T6" s="3744"/>
      <c r="U6" s="3745"/>
      <c r="V6" s="3746"/>
      <c r="W6" s="3746"/>
      <c r="X6" s="1352"/>
      <c r="Y6" s="3744"/>
      <c r="Z6" s="3745"/>
      <c r="AA6" s="3729"/>
      <c r="AB6" s="3729"/>
      <c r="AC6" s="3729"/>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51" t="s">
        <v>1677</v>
      </c>
      <c r="Q7" s="3753"/>
      <c r="R7" s="700" t="s">
        <v>14</v>
      </c>
      <c r="S7" s="701">
        <f t="shared" ref="S7:S15" si="0">F7</f>
        <v>0</v>
      </c>
      <c r="T7" s="700" t="s">
        <v>14</v>
      </c>
      <c r="U7" s="701">
        <f t="shared" ref="U7:U15" si="1">H7</f>
        <v>0</v>
      </c>
      <c r="V7" s="700" t="s">
        <v>14</v>
      </c>
      <c r="W7" s="701">
        <f t="shared" ref="W7:W15" si="2">J7</f>
        <v>0</v>
      </c>
      <c r="X7" s="702"/>
      <c r="Y7" s="3751" t="s">
        <v>1677</v>
      </c>
      <c r="Z7" s="3752"/>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51" t="s">
        <v>1680</v>
      </c>
      <c r="Q8" s="3752"/>
      <c r="R8" s="700" t="s">
        <v>14</v>
      </c>
      <c r="S8" s="701">
        <f t="shared" si="0"/>
        <v>0</v>
      </c>
      <c r="T8" s="700" t="s">
        <v>14</v>
      </c>
      <c r="U8" s="701">
        <f t="shared" si="1"/>
        <v>0</v>
      </c>
      <c r="V8" s="700" t="s">
        <v>14</v>
      </c>
      <c r="W8" s="701">
        <f t="shared" si="2"/>
        <v>0</v>
      </c>
      <c r="X8" s="702"/>
      <c r="Y8" s="3751" t="s">
        <v>1680</v>
      </c>
      <c r="Z8" s="3752"/>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15" t="s">
        <v>1683</v>
      </c>
      <c r="Q9" s="1340" t="str">
        <f t="shared" ref="Q9:Q15" si="6">B9</f>
        <v>用途</v>
      </c>
      <c r="R9" s="700" t="s">
        <v>14</v>
      </c>
      <c r="S9" s="701">
        <f t="shared" si="0"/>
        <v>100</v>
      </c>
      <c r="T9" s="700" t="s">
        <v>14</v>
      </c>
      <c r="U9" s="701">
        <f t="shared" si="1"/>
        <v>100</v>
      </c>
      <c r="V9" s="700" t="s">
        <v>14</v>
      </c>
      <c r="W9" s="701">
        <f t="shared" si="2"/>
        <v>100</v>
      </c>
      <c r="X9" s="702"/>
      <c r="Y9" s="3619"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15"/>
      <c r="Q10" s="1340" t="str">
        <f t="shared" si="6"/>
        <v>土地使用年限（年）</v>
      </c>
      <c r="R10" s="700" t="s">
        <v>14</v>
      </c>
      <c r="S10" s="701">
        <f t="shared" si="0"/>
        <v>101</v>
      </c>
      <c r="T10" s="700" t="s">
        <v>14</v>
      </c>
      <c r="U10" s="701">
        <f t="shared" si="1"/>
        <v>101</v>
      </c>
      <c r="V10" s="700" t="s">
        <v>14</v>
      </c>
      <c r="W10" s="701">
        <f t="shared" si="2"/>
        <v>101</v>
      </c>
      <c r="X10" s="702"/>
      <c r="Y10" s="3619"/>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5"/>
      <c r="Q11" s="1340"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5"/>
      <c r="Q12" s="1340">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5"/>
      <c r="Q13" s="1340">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5"/>
      <c r="Q14" s="1340">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7" t="s">
        <v>1688</v>
      </c>
      <c r="Q15" s="1349" t="str">
        <f t="shared" si="6"/>
        <v>产业集聚程度</v>
      </c>
      <c r="R15" s="704" t="s">
        <v>14</v>
      </c>
      <c r="S15" s="705">
        <f t="shared" si="0"/>
        <v>100</v>
      </c>
      <c r="T15" s="704" t="s">
        <v>14</v>
      </c>
      <c r="U15" s="705">
        <f t="shared" si="1"/>
        <v>100</v>
      </c>
      <c r="V15" s="704" t="s">
        <v>14</v>
      </c>
      <c r="W15" s="705">
        <f t="shared" si="2"/>
        <v>100</v>
      </c>
      <c r="X15" s="1352"/>
      <c r="Y15" s="3717"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18"/>
      <c r="Q16" s="1349"/>
      <c r="R16" s="704"/>
      <c r="S16" s="705"/>
      <c r="T16" s="704"/>
      <c r="U16" s="705"/>
      <c r="V16" s="704"/>
      <c r="W16" s="705"/>
      <c r="X16" s="1352"/>
      <c r="Y16" s="3718"/>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8"/>
      <c r="Q17" s="1349" t="str">
        <f>B17</f>
        <v>交通便捷度</v>
      </c>
      <c r="R17" s="704" t="s">
        <v>14</v>
      </c>
      <c r="S17" s="705">
        <f>F17</f>
        <v>100</v>
      </c>
      <c r="T17" s="704" t="s">
        <v>14</v>
      </c>
      <c r="U17" s="705">
        <f>H17</f>
        <v>100</v>
      </c>
      <c r="V17" s="704" t="s">
        <v>14</v>
      </c>
      <c r="W17" s="705">
        <f>J17</f>
        <v>100</v>
      </c>
      <c r="X17" s="1352"/>
      <c r="Y17" s="3718"/>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18"/>
      <c r="Q18" s="1349"/>
      <c r="R18" s="704"/>
      <c r="S18" s="705"/>
      <c r="T18" s="704"/>
      <c r="U18" s="705"/>
      <c r="V18" s="704"/>
      <c r="W18" s="705"/>
      <c r="X18" s="1352"/>
      <c r="Y18" s="3718"/>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8"/>
      <c r="Q19" s="1349" t="str">
        <f t="shared" ref="Q19:Q33" si="8">B19</f>
        <v>区域土地利用方向</v>
      </c>
      <c r="R19" s="704" t="s">
        <v>14</v>
      </c>
      <c r="S19" s="705">
        <f>F19</f>
        <v>100</v>
      </c>
      <c r="T19" s="704" t="s">
        <v>14</v>
      </c>
      <c r="U19" s="705">
        <f>H19</f>
        <v>100</v>
      </c>
      <c r="V19" s="704" t="s">
        <v>14</v>
      </c>
      <c r="W19" s="705">
        <f>J19</f>
        <v>100</v>
      </c>
      <c r="X19" s="1352"/>
      <c r="Y19" s="3718"/>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18"/>
      <c r="Q20" s="1349"/>
      <c r="R20" s="704"/>
      <c r="S20" s="705"/>
      <c r="T20" s="704"/>
      <c r="U20" s="705"/>
      <c r="V20" s="704"/>
      <c r="W20" s="705"/>
      <c r="X20" s="1352"/>
      <c r="Y20" s="3718"/>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8"/>
      <c r="Q21" s="1349" t="str">
        <f t="shared" si="8"/>
        <v>环境状况</v>
      </c>
      <c r="R21" s="704" t="s">
        <v>14</v>
      </c>
      <c r="S21" s="705">
        <f>F21</f>
        <v>100</v>
      </c>
      <c r="T21" s="704" t="s">
        <v>14</v>
      </c>
      <c r="U21" s="705">
        <f>H21</f>
        <v>100</v>
      </c>
      <c r="V21" s="704" t="s">
        <v>14</v>
      </c>
      <c r="W21" s="705">
        <f>J21</f>
        <v>100</v>
      </c>
      <c r="X21" s="1352"/>
      <c r="Y21" s="3718"/>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18"/>
      <c r="Q22" s="1349"/>
      <c r="R22" s="704"/>
      <c r="S22" s="705"/>
      <c r="T22" s="704"/>
      <c r="U22" s="705"/>
      <c r="V22" s="704"/>
      <c r="W22" s="705"/>
      <c r="X22" s="1352"/>
      <c r="Y22" s="3718"/>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8"/>
      <c r="Q23" s="1340" t="str">
        <f t="shared" si="8"/>
        <v>公共配套设施</v>
      </c>
      <c r="R23" s="700" t="s">
        <v>14</v>
      </c>
      <c r="S23" s="701">
        <f>F23</f>
        <v>100</v>
      </c>
      <c r="T23" s="700" t="s">
        <v>14</v>
      </c>
      <c r="U23" s="701">
        <f>H23</f>
        <v>100</v>
      </c>
      <c r="V23" s="700" t="s">
        <v>14</v>
      </c>
      <c r="W23" s="701">
        <f>J23</f>
        <v>100</v>
      </c>
      <c r="X23" s="702"/>
      <c r="Y23" s="3718"/>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18"/>
      <c r="Q24" s="1340"/>
      <c r="R24" s="700"/>
      <c r="S24" s="701"/>
      <c r="T24" s="700"/>
      <c r="U24" s="701"/>
      <c r="V24" s="700"/>
      <c r="W24" s="701"/>
      <c r="X24" s="702"/>
      <c r="Y24" s="3718"/>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8"/>
      <c r="Q25" s="1340"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18"/>
      <c r="Q26" s="1340"/>
      <c r="R26" s="700"/>
      <c r="S26" s="701"/>
      <c r="T26" s="700"/>
      <c r="U26" s="701"/>
      <c r="V26" s="700"/>
      <c r="W26" s="701"/>
      <c r="X26" s="702"/>
      <c r="Y26" s="3718"/>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8"/>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18"/>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8"/>
      <c r="Q28" s="1349" t="str">
        <f t="shared" si="8"/>
        <v>毗邻道路的类型与等级</v>
      </c>
      <c r="R28" s="704" t="s">
        <v>14</v>
      </c>
      <c r="S28" s="705">
        <f t="shared" si="10"/>
        <v>100</v>
      </c>
      <c r="T28" s="704" t="s">
        <v>14</v>
      </c>
      <c r="U28" s="705">
        <f t="shared" si="11"/>
        <v>100</v>
      </c>
      <c r="V28" s="704" t="s">
        <v>14</v>
      </c>
      <c r="W28" s="705">
        <f t="shared" si="12"/>
        <v>100</v>
      </c>
      <c r="X28" s="1352"/>
      <c r="Y28" s="3718"/>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18"/>
      <c r="Q29" s="1349"/>
      <c r="R29" s="704"/>
      <c r="S29" s="705"/>
      <c r="T29" s="704"/>
      <c r="U29" s="705"/>
      <c r="V29" s="704"/>
      <c r="W29" s="705"/>
      <c r="X29" s="1352"/>
      <c r="Y29" s="3718"/>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8"/>
      <c r="Q30" s="1349" t="str">
        <f t="shared" si="8"/>
        <v>土地级别</v>
      </c>
      <c r="R30" s="704" t="s">
        <v>14</v>
      </c>
      <c r="S30" s="705">
        <f t="shared" si="10"/>
        <v>100</v>
      </c>
      <c r="T30" s="704" t="s">
        <v>14</v>
      </c>
      <c r="U30" s="705">
        <f t="shared" si="11"/>
        <v>100</v>
      </c>
      <c r="V30" s="704" t="s">
        <v>14</v>
      </c>
      <c r="W30" s="705">
        <f t="shared" si="12"/>
        <v>100</v>
      </c>
      <c r="X30" s="1352"/>
      <c r="Y30" s="3718"/>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8"/>
      <c r="Q31" s="1349">
        <f t="shared" si="8"/>
        <v>111</v>
      </c>
      <c r="R31" s="704" t="s">
        <v>14</v>
      </c>
      <c r="S31" s="705">
        <f t="shared" si="10"/>
        <v>100</v>
      </c>
      <c r="T31" s="704" t="s">
        <v>14</v>
      </c>
      <c r="U31" s="705">
        <f t="shared" si="11"/>
        <v>100</v>
      </c>
      <c r="V31" s="704" t="s">
        <v>14</v>
      </c>
      <c r="W31" s="705">
        <f t="shared" si="12"/>
        <v>100</v>
      </c>
      <c r="X31" s="1352"/>
      <c r="Y31" s="3718"/>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5" t="s">
        <v>1693</v>
      </c>
      <c r="Q32" s="1349">
        <f t="shared" si="8"/>
        <v>111</v>
      </c>
      <c r="R32" s="704" t="s">
        <v>14</v>
      </c>
      <c r="S32" s="705">
        <f t="shared" si="10"/>
        <v>100</v>
      </c>
      <c r="T32" s="704" t="s">
        <v>14</v>
      </c>
      <c r="U32" s="705">
        <f t="shared" si="11"/>
        <v>100</v>
      </c>
      <c r="V32" s="704" t="s">
        <v>14</v>
      </c>
      <c r="W32" s="705">
        <f t="shared" si="12"/>
        <v>100</v>
      </c>
      <c r="X32" s="1352"/>
      <c r="Y32" s="3722"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2"/>
      <c r="Q33" s="1349">
        <f t="shared" si="8"/>
        <v>111</v>
      </c>
      <c r="R33" s="707" t="s">
        <v>14</v>
      </c>
      <c r="S33" s="708">
        <f t="shared" si="10"/>
        <v>100</v>
      </c>
      <c r="T33" s="707" t="s">
        <v>14</v>
      </c>
      <c r="U33" s="708">
        <f t="shared" si="11"/>
        <v>100</v>
      </c>
      <c r="V33" s="707" t="s">
        <v>14</v>
      </c>
      <c r="W33" s="708">
        <f t="shared" si="12"/>
        <v>100</v>
      </c>
      <c r="X33" s="709"/>
      <c r="Y33" s="3722"/>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2"/>
      <c r="Q34" s="1349" t="str">
        <f>B34</f>
        <v>宗地面积</v>
      </c>
      <c r="R34" s="704" t="s">
        <v>14</v>
      </c>
      <c r="S34" s="705" t="e">
        <f t="shared" si="10"/>
        <v>#N/A</v>
      </c>
      <c r="T34" s="704" t="s">
        <v>14</v>
      </c>
      <c r="U34" s="705" t="e">
        <f t="shared" si="11"/>
        <v>#N/A</v>
      </c>
      <c r="V34" s="704" t="s">
        <v>14</v>
      </c>
      <c r="W34" s="705" t="e">
        <f t="shared" si="12"/>
        <v>#N/A</v>
      </c>
      <c r="X34" s="1352"/>
      <c r="Y34" s="3722"/>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22"/>
      <c r="Q35" s="1349" t="str">
        <f t="shared" ref="Q35:Q40" si="14">B35</f>
        <v>宗地形状</v>
      </c>
      <c r="R35" s="704" t="s">
        <v>14</v>
      </c>
      <c r="S35" s="705">
        <f t="shared" si="10"/>
        <v>100</v>
      </c>
      <c r="T35" s="704" t="s">
        <v>14</v>
      </c>
      <c r="U35" s="705">
        <f t="shared" si="11"/>
        <v>100</v>
      </c>
      <c r="V35" s="704" t="s">
        <v>14</v>
      </c>
      <c r="W35" s="705">
        <f t="shared" si="12"/>
        <v>100</v>
      </c>
      <c r="X35" s="1352"/>
      <c r="Y35" s="3722"/>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2"/>
      <c r="Q36" s="1349"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22" t="s">
        <v>1693</v>
      </c>
      <c r="Q37" s="1349" t="str">
        <f t="shared" si="14"/>
        <v>工程地质条件</v>
      </c>
      <c r="R37" s="704" t="s">
        <v>14</v>
      </c>
      <c r="S37" s="705">
        <f t="shared" si="10"/>
        <v>100</v>
      </c>
      <c r="T37" s="704" t="s">
        <v>14</v>
      </c>
      <c r="U37" s="705">
        <f t="shared" si="11"/>
        <v>100</v>
      </c>
      <c r="V37" s="704" t="s">
        <v>14</v>
      </c>
      <c r="W37" s="705">
        <f t="shared" si="12"/>
        <v>100</v>
      </c>
      <c r="X37" s="1352"/>
      <c r="Y37" s="3722"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2"/>
      <c r="Q38" s="1349">
        <f t="shared" si="14"/>
        <v>111</v>
      </c>
      <c r="R38" s="704" t="s">
        <v>14</v>
      </c>
      <c r="S38" s="705">
        <f t="shared" si="10"/>
        <v>100</v>
      </c>
      <c r="T38" s="704" t="s">
        <v>14</v>
      </c>
      <c r="U38" s="705">
        <f t="shared" si="11"/>
        <v>100</v>
      </c>
      <c r="V38" s="704" t="s">
        <v>14</v>
      </c>
      <c r="W38" s="705">
        <f t="shared" si="12"/>
        <v>100</v>
      </c>
      <c r="X38" s="1352"/>
      <c r="Y38" s="3722"/>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2"/>
      <c r="Q39" s="1349">
        <f t="shared" si="14"/>
        <v>111</v>
      </c>
      <c r="R39" s="704" t="s">
        <v>14</v>
      </c>
      <c r="S39" s="705">
        <f t="shared" si="10"/>
        <v>100</v>
      </c>
      <c r="T39" s="704" t="s">
        <v>14</v>
      </c>
      <c r="U39" s="705">
        <f t="shared" si="11"/>
        <v>100</v>
      </c>
      <c r="V39" s="704" t="s">
        <v>14</v>
      </c>
      <c r="W39" s="705">
        <f t="shared" si="12"/>
        <v>100</v>
      </c>
      <c r="X39" s="1352"/>
      <c r="Y39" s="3722"/>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2"/>
      <c r="Q40" s="1349">
        <f t="shared" si="14"/>
        <v>111</v>
      </c>
      <c r="R40" s="707" t="s">
        <v>14</v>
      </c>
      <c r="S40" s="708">
        <f t="shared" si="10"/>
        <v>100</v>
      </c>
      <c r="T40" s="707" t="s">
        <v>14</v>
      </c>
      <c r="U40" s="708">
        <f t="shared" si="11"/>
        <v>100</v>
      </c>
      <c r="V40" s="707" t="s">
        <v>14</v>
      </c>
      <c r="W40" s="708">
        <f t="shared" si="12"/>
        <v>100</v>
      </c>
      <c r="X40" s="709"/>
      <c r="Y40" s="3722"/>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15" t="str">
        <f>A41</f>
        <v>成交单价</v>
      </c>
      <c r="Q41" s="3715"/>
      <c r="R41" s="3746">
        <f>E41</f>
        <v>0</v>
      </c>
      <c r="S41" s="3746"/>
      <c r="T41" s="3746">
        <f>G41</f>
        <v>0</v>
      </c>
      <c r="U41" s="3746"/>
      <c r="V41" s="3746">
        <f>I41</f>
        <v>0</v>
      </c>
      <c r="W41" s="3746"/>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15" t="str">
        <f>A42</f>
        <v>比较价值（元/平方米）</v>
      </c>
      <c r="Q42" s="3715"/>
      <c r="R42" s="3762" t="e">
        <f>ROUND(PRODUCT(R41,AA7:AA40),0)</f>
        <v>#DIV/0!</v>
      </c>
      <c r="S42" s="3762"/>
      <c r="T42" s="3762" t="e">
        <f>ROUND(PRODUCT(T41,AB7:AB40),0)</f>
        <v>#DIV/0!</v>
      </c>
      <c r="U42" s="3762"/>
      <c r="V42" s="3762" t="e">
        <f>ROUND(PRODUCT(V41,AC7:AC40),0)</f>
        <v>#DIV/0!</v>
      </c>
      <c r="W42" s="3762"/>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12" t="str">
        <f>A43</f>
        <v>估价对象XX用房的比较价值（楼面单价，元/平方米）</v>
      </c>
      <c r="Q43" s="3713"/>
      <c r="R43" s="3763" t="e">
        <f>ROUND(IF(D42="简单平均",AVERAGE(R42:W42),R42*F42+T42*H42+V42*J42),0)</f>
        <v>#DIV/0!</v>
      </c>
      <c r="S43" s="3763"/>
      <c r="T43" s="3763"/>
      <c r="U43" s="3763"/>
      <c r="V43" s="3763"/>
      <c r="W43" s="3763"/>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30" t="s">
        <v>1884</v>
      </c>
      <c r="H50" s="3764"/>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26"/>
      <c r="H51" s="3715"/>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f ca="1">SUMIF(B6:B13,"&lt;&gt;#ref!",B6:B13)</f>
        <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f>C30</f>
        <v>0</v>
      </c>
      <c r="C2" s="1994" t="s">
        <v>1932</v>
      </c>
      <c r="D2" s="1995" t="s">
        <v>1933</v>
      </c>
      <c r="E2" s="3417" t="s">
        <v>3756</v>
      </c>
      <c r="F2" s="1995" t="s">
        <v>1934</v>
      </c>
      <c r="G2" s="1996" t="str">
        <f>IF(E2="商业",项目基本情况!B37,IF(E2="办公",项目基本情况!C37,IF(E2="住宅",项目基本情况!D37,IF(E2="工业",项目基本情况!E37,项目基本情况!F37))))</f>
        <v>九级</v>
      </c>
      <c r="H2" s="1995" t="s">
        <v>1935</v>
      </c>
      <c r="I2" s="1996" t="str">
        <f>IF(E2="商业",项目基本情况!B38,IF(E2="办公",项目基本情况!C38,IF(E2="住宅",项目基本情况!D38,IF(E2="工业",项目基本情况!E38,项目基本情况!F38))))</f>
        <v>Ⅸ-兴1</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1.5418000000000001</v>
      </c>
      <c r="T2" s="3356">
        <f t="shared" ref="T2:T16" si="0">ROUND($C$5*$C$22*$C$23*$C$24*S2*$C$28,0)</f>
        <v>-204</v>
      </c>
      <c r="U2" s="1210"/>
      <c r="V2" s="3356">
        <f>ROUND(T2*U2/10000,0)</f>
        <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t="s">
        <v>4114</v>
      </c>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1.1883999999999999</v>
      </c>
      <c r="T3" s="3356">
        <f t="shared" si="0"/>
        <v>-157</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828"/>
      <c r="B4" s="3829"/>
      <c r="C4" s="3829"/>
      <c r="D4" s="3830"/>
      <c r="E4" s="3830"/>
      <c r="F4" s="3830"/>
      <c r="G4" s="3830"/>
      <c r="H4" s="3830"/>
      <c r="I4" s="3830"/>
      <c r="J4" s="3831"/>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0.96940000000000004</v>
      </c>
      <c r="T4" s="3356">
        <f t="shared" si="0"/>
        <v>-128</v>
      </c>
      <c r="U4" s="1210"/>
      <c r="V4" s="335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f>ROUND(IF(E2="商业",C6*C7*C17+C20,(IF(E2="住宅",C6*C13*C17+C20,IF(E2="办公",C6*C12*C17+C20,C6+C20)))),0)</f>
        <v>-123</v>
      </c>
      <c r="D5" s="1336">
        <f>ROUND(C6*C17+C20,0)</f>
        <v>6157</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0.82299999999999995</v>
      </c>
      <c r="T5" s="3356">
        <f t="shared" si="0"/>
        <v>-109</v>
      </c>
      <c r="U5" s="1210"/>
      <c r="V5" s="3356">
        <f t="shared" si="1"/>
        <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6280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0.74980000000000002</v>
      </c>
      <c r="T6" s="3356">
        <f t="shared" si="0"/>
        <v>-99</v>
      </c>
      <c r="U6" s="1210"/>
      <c r="V6" s="3356">
        <f t="shared" si="1"/>
        <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f t="shared" si="0"/>
        <v>0</v>
      </c>
      <c r="U7" s="1210"/>
      <c r="V7" s="3356">
        <f t="shared" si="1"/>
        <v>0</v>
      </c>
      <c r="W7" s="1355" t="s">
        <v>1952</v>
      </c>
      <c r="X7" s="1211" t="str">
        <f>G2</f>
        <v>九级</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f t="shared" si="0"/>
        <v>0</v>
      </c>
      <c r="U8" s="1210"/>
      <c r="V8" s="3356">
        <f t="shared" si="1"/>
        <v>0</v>
      </c>
      <c r="W8" s="3825" t="s">
        <v>1957</v>
      </c>
      <c r="X8" s="3826"/>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6280</v>
      </c>
      <c r="N9" s="865">
        <f>SUMPRODUCT((因素修正幅度!B277:B326=I2)*(因素修正幅度!C3:G3=E2)*(因素修正幅度!C277:G326))</f>
        <v>0.15</v>
      </c>
      <c r="O9" s="1117"/>
      <c r="P9" s="1117"/>
      <c r="Q9" s="1117"/>
      <c r="R9" s="1209">
        <v>8</v>
      </c>
      <c r="S9" s="1210"/>
      <c r="T9" s="3356">
        <f t="shared" si="0"/>
        <v>0</v>
      </c>
      <c r="U9" s="1210"/>
      <c r="V9" s="3356">
        <f t="shared" si="1"/>
        <v>0</v>
      </c>
      <c r="W9" s="3827"/>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f t="shared" si="0"/>
        <v>0</v>
      </c>
      <c r="U10" s="1210"/>
      <c r="V10" s="3356">
        <f t="shared" si="1"/>
        <v>0</v>
      </c>
      <c r="W10" s="382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0.96709999999999996</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32" t="s">
        <v>3256</v>
      </c>
      <c r="B20" s="167" t="s">
        <v>1991</v>
      </c>
      <c r="C20" s="3320">
        <f>ROUND(IF(F21="与级别开发程度一致",0,(G21-E21)/C21),0)</f>
        <v>-123</v>
      </c>
      <c r="D20" s="3336" t="s">
        <v>1995</v>
      </c>
      <c r="E20" s="3337"/>
      <c r="F20" s="3838" t="s">
        <v>1992</v>
      </c>
      <c r="G20" s="3839"/>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3"/>
      <c r="B21" s="2159" t="s">
        <v>1994</v>
      </c>
      <c r="C21" s="2160">
        <f>IF(E3="M4科研用地",SUMPRODUCT((修正!A2:A7=E3)*(修正!B1:M1=G2)*(修正!B2:M7)),SUMPRODUCT((修正!A2:A7=E2)*(修正!B1:M1=G2)*(修正!B2:M7)))</f>
        <v>1.5</v>
      </c>
      <c r="D21" s="187" t="str">
        <f>IF(OR(G2="八级",G2="九级",G2="十级",G2="十一级",G2="十二级"),"五通一平","七通一平")</f>
        <v>五通一平</v>
      </c>
      <c r="E21" s="2150">
        <f>SUMPRODUCT((修正!B1:M1=G2)*(修正!B17:M17))</f>
        <v>185</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1</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687</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f>ROUND(POWER(1+G24,J24-I24)*(POWER(1+G24,I24)-1)/(POWER(1+G24,J24)-1),4)</f>
        <v>0.99270000000000003</v>
      </c>
      <c r="D24" s="2055" t="s">
        <v>2004</v>
      </c>
      <c r="E24" s="1332">
        <f>存贷款利率!E24/100</f>
        <v>4.3499999999999997E-2</v>
      </c>
      <c r="F24" s="2055" t="s">
        <v>1996</v>
      </c>
      <c r="G24" s="767">
        <f>SUMIF(M30:Q30,E2,M33:Q33)</f>
        <v>0.05</v>
      </c>
      <c r="H24" s="2055" t="s">
        <v>2005</v>
      </c>
      <c r="I24" s="768">
        <f>SUMIF('数据-取费表'!C6:C15,E2,'数据-取费表'!F6:F15)/COUNTIF('数据-取费表'!C6:C15,E2)</f>
        <v>66.010000000000005</v>
      </c>
      <c r="J24" s="769">
        <f>IF(E2="住宅",70,IF(E2="商业",40,50))</f>
        <v>70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1</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f>IF(B25="容积率修正",E33+SUM(E37:E42),SUM(V2:V16)+SUM(E37:E42))</f>
        <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f>E34+SUM(I37:I42)</f>
        <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f>ROUND(C5*C22*C23*C24*C25*C28,0)</f>
        <v>0</v>
      </c>
      <c r="D33" s="2093"/>
      <c r="E33" s="772">
        <f>ROUND(C33*D33/10000,0)</f>
        <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f>ROUND(IF(E2="工业",C33*M42,IF(B25="楼层修正",SUM(V2:V16)*M41*10000/D34,C33*M41)),0)</f>
        <v>0</v>
      </c>
      <c r="D34" s="2098"/>
      <c r="E34" s="772">
        <f>ROUND(IF(B25="楼层修正",SUM(V2:V16)*M40,C34*D34/10000),0)</f>
        <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6"/>
      <c r="B37" s="2108" t="s">
        <v>2033</v>
      </c>
      <c r="C37" s="175">
        <f>ROUND(D5*C22*C23*C24*C28*F37,0)</f>
        <v>3306</v>
      </c>
      <c r="D37" s="2093"/>
      <c r="E37" s="171">
        <f>ROUND(C37*D37/10000,0)</f>
        <v>0</v>
      </c>
      <c r="F37" s="171">
        <f>SUMIF(修正!A57:A68,G2,修正!B57:B68)</f>
        <v>0.5</v>
      </c>
      <c r="G37" s="171">
        <f>ROUND(IF(E2="工业",C37*$M$42,C37*$M$41),0)</f>
        <v>827</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7"/>
      <c r="B38" s="2036" t="s">
        <v>2034</v>
      </c>
      <c r="C38" s="175">
        <f>ROUND(D5*C22*C23*C24*C28*F38,0)</f>
        <v>1322</v>
      </c>
      <c r="D38" s="2093"/>
      <c r="E38" s="171">
        <f t="shared" ref="E38:E42" si="4">ROUND(C38*D38/10000,0)</f>
        <v>0</v>
      </c>
      <c r="F38" s="171">
        <f>SUMIF(修正!A57:A68,G2,修正!C57:C68)</f>
        <v>0.2</v>
      </c>
      <c r="G38" s="171">
        <f>ROUND(IF(E2="工业",C38*$M$42,C38*$M$41),0)</f>
        <v>331</v>
      </c>
      <c r="H38" s="171">
        <f t="shared" ref="H38:H42" si="5">D38</f>
        <v>0</v>
      </c>
      <c r="I38" s="171">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7"/>
      <c r="B39" s="2036" t="s">
        <v>3261</v>
      </c>
      <c r="C39" s="175">
        <f>ROUND(D5*C22*C23*C24*C28*F39,0)</f>
        <v>1322</v>
      </c>
      <c r="D39" s="2093"/>
      <c r="E39" s="171">
        <f t="shared" si="4"/>
        <v>0</v>
      </c>
      <c r="F39" s="171">
        <f>SUMIF(修正!A57:A68,G2,修正!D57:D68)</f>
        <v>0.2</v>
      </c>
      <c r="G39" s="171">
        <f>ROUND(IF(E2="工业",C39*$M$42,C39*$M$41),0)</f>
        <v>331</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f>ROUND(D5*C22*C23*C24*C28*F40,0)</f>
        <v>1322</v>
      </c>
      <c r="D40" s="2093"/>
      <c r="E40" s="171">
        <f t="shared" si="4"/>
        <v>0</v>
      </c>
      <c r="F40" s="175">
        <f>SUMIF(修正!A57:A68,G2,修正!E57:E68)</f>
        <v>0.2</v>
      </c>
      <c r="G40" s="171">
        <f>ROUND(IF(E2="工业",C40*$M$42,C40*$M$41),0)</f>
        <v>331</v>
      </c>
      <c r="H40" s="171">
        <f t="shared" si="5"/>
        <v>0</v>
      </c>
      <c r="I40" s="171">
        <f t="shared" si="6"/>
        <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f>ROUND(D5*C22*C23*C44*C28*F41,0)</f>
        <v>0</v>
      </c>
      <c r="D41" s="2093"/>
      <c r="E41" s="171">
        <f t="shared" si="4"/>
        <v>0</v>
      </c>
      <c r="F41" s="175">
        <f>SUMIF(修正!A57:A68,G2,修正!F57:F68)</f>
        <v>0.2</v>
      </c>
      <c r="G41" s="171">
        <f>ROUND(IF(E2="工业",C41*$M$42,C41*$M$41),0)</f>
        <v>0</v>
      </c>
      <c r="H41" s="171">
        <f t="shared" si="5"/>
        <v>0</v>
      </c>
      <c r="I41" s="171">
        <f t="shared" si="6"/>
        <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f>ROUND(D5*C22*C23*C44*C28*F42,0)</f>
        <v>0</v>
      </c>
      <c r="D42" s="2098"/>
      <c r="E42" s="187">
        <f t="shared" si="4"/>
        <v>0</v>
      </c>
      <c r="F42" s="766">
        <f>SUMIF(修正!A57:A68,G2,修正!G57:G68)</f>
        <v>0.1</v>
      </c>
      <c r="G42" s="187">
        <f>ROUND(IF(E2="工业",C42*$M$42,C42*$M$41),0)</f>
        <v>0</v>
      </c>
      <c r="H42" s="187">
        <f t="shared" si="5"/>
        <v>0</v>
      </c>
      <c r="I42" s="187">
        <f t="shared" si="6"/>
        <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f>ROUND(POWER(1+E44,H44-G44)*(POWER(1+E44,G44)-1)/(POWER(1+E44,H44)-1),4)</f>
        <v>0</v>
      </c>
      <c r="D44" s="171" t="s">
        <v>1996</v>
      </c>
      <c r="E44" s="2148">
        <f>G24</f>
        <v>0.05</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f>IF(E2="住宅",SUMIF(L1:L12,G2,N1:N12),"——")</f>
        <v>0.15</v>
      </c>
      <c r="G72" s="1061"/>
      <c r="H72" s="1064">
        <f t="shared" ref="H72:H80" si="18">IFERROR(ROUNDDOWN($F$72*I72/2,4),"——")</f>
        <v>1.4999999999999999E-2</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f t="shared" si="18"/>
        <v>1.95E-2</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f t="shared" si="18"/>
        <v>7.4999999999999997E-3</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f t="shared" si="18"/>
        <v>3.7000000000000002E-3</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f t="shared" si="18"/>
        <v>6.0000000000000001E-3</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f t="shared" si="18"/>
        <v>6.7000000000000002E-3</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f t="shared" si="18"/>
        <v>3.7000000000000002E-3</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f t="shared" si="18"/>
        <v>8.9999999999999993E-3</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f t="shared" si="18"/>
        <v>3.7000000000000002E-3</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4" t="s">
        <v>3296</v>
      </c>
      <c r="B103" s="3834"/>
      <c r="C103" s="3834"/>
      <c r="D103" s="3834"/>
      <c r="E103" s="3834"/>
      <c r="F103" s="3834"/>
      <c r="G103" s="3834"/>
      <c r="H103" s="3834"/>
      <c r="I103" s="3834"/>
      <c r="J103" s="3834"/>
      <c r="K103" s="3385"/>
      <c r="L103" s="3385"/>
      <c r="M103" s="3385"/>
      <c r="N103" s="3385"/>
    </row>
    <row r="104" spans="1:14">
      <c r="A104" s="3835" t="s">
        <v>3297</v>
      </c>
      <c r="B104" s="3835" t="s">
        <v>3298</v>
      </c>
      <c r="C104" s="3386" t="s">
        <v>3299</v>
      </c>
      <c r="D104" s="3387"/>
      <c r="E104" s="3387"/>
      <c r="F104" s="3387"/>
      <c r="G104" s="3387"/>
      <c r="H104" s="3387"/>
      <c r="I104" s="3387"/>
      <c r="J104" s="3388"/>
      <c r="K104" s="3389"/>
      <c r="L104" s="3389"/>
      <c r="M104" s="3389"/>
      <c r="N104" s="3389"/>
    </row>
    <row r="105" spans="1:14">
      <c r="A105" s="3835"/>
      <c r="B105" s="3835"/>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21"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2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2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2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2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22"/>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4" t="s">
        <v>3313</v>
      </c>
      <c r="B113" s="3824"/>
      <c r="C113" s="3824"/>
      <c r="D113" s="3824"/>
      <c r="E113" s="3824"/>
      <c r="F113" s="3824"/>
      <c r="G113" s="3824"/>
      <c r="H113" s="3824"/>
      <c r="I113" s="3824"/>
      <c r="J113" s="382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0.79649999999999999</v>
      </c>
      <c r="E116" s="1995" t="s">
        <v>3316</v>
      </c>
      <c r="F116" s="3397" t="str">
        <f>E2</f>
        <v>住宅</v>
      </c>
      <c r="G116" s="1995" t="s">
        <v>3317</v>
      </c>
      <c r="H116" s="3397" t="str">
        <f>G2</f>
        <v>九级</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9" t="s">
        <v>2607</v>
      </c>
      <c r="B20" s="3844" t="s">
        <v>2628</v>
      </c>
      <c r="C20" s="3098" t="s">
        <v>2439</v>
      </c>
      <c r="D20" s="3099"/>
      <c r="E20" s="3100">
        <v>1</v>
      </c>
      <c r="F20" s="3101" t="s">
        <v>2440</v>
      </c>
      <c r="G20" s="3101"/>
    </row>
    <row r="21" spans="1:13" ht="19.5" customHeight="1">
      <c r="A21" s="3850"/>
      <c r="B21" s="3843"/>
      <c r="C21" s="3102" t="s">
        <v>2441</v>
      </c>
      <c r="D21" s="3103"/>
      <c r="E21" s="3104">
        <v>1</v>
      </c>
      <c r="F21" s="3101" t="s">
        <v>2442</v>
      </c>
      <c r="G21" s="3101"/>
    </row>
    <row r="22" spans="1:13" ht="19.5" customHeight="1">
      <c r="A22" s="3850"/>
      <c r="B22" s="3843"/>
      <c r="C22" s="3102" t="s">
        <v>2443</v>
      </c>
      <c r="D22" s="3103"/>
      <c r="E22" s="3104">
        <v>0.9</v>
      </c>
      <c r="F22" s="3101" t="s">
        <v>2444</v>
      </c>
      <c r="G22" s="3101"/>
    </row>
    <row r="23" spans="1:13" ht="19.5" customHeight="1">
      <c r="A23" s="3850"/>
      <c r="B23" s="3843"/>
      <c r="C23" s="3102" t="s">
        <v>2445</v>
      </c>
      <c r="D23" s="3103"/>
      <c r="E23" s="3104">
        <v>0.9</v>
      </c>
      <c r="F23" s="3101" t="s">
        <v>2446</v>
      </c>
      <c r="G23" s="3101"/>
    </row>
    <row r="24" spans="1:13" ht="19.5" customHeight="1">
      <c r="A24" s="3850"/>
      <c r="B24" s="3843"/>
      <c r="C24" s="3102" t="s">
        <v>2447</v>
      </c>
      <c r="D24" s="3103"/>
      <c r="E24" s="3104">
        <v>0.8</v>
      </c>
      <c r="F24" s="3101" t="s">
        <v>2448</v>
      </c>
      <c r="G24" s="3101"/>
    </row>
    <row r="25" spans="1:13" ht="19.5" customHeight="1" thickBot="1">
      <c r="A25" s="3851"/>
      <c r="B25" s="3845"/>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6" t="s">
        <v>2631</v>
      </c>
      <c r="B27" s="3844" t="s">
        <v>2612</v>
      </c>
      <c r="C27" s="3098" t="s">
        <v>2452</v>
      </c>
      <c r="D27" s="3099"/>
      <c r="E27" s="3100">
        <v>1</v>
      </c>
      <c r="F27" s="3101" t="s">
        <v>2453</v>
      </c>
      <c r="G27" s="3101"/>
    </row>
    <row r="28" spans="1:13" ht="19.5" customHeight="1">
      <c r="A28" s="3847"/>
      <c r="B28" s="3843"/>
      <c r="C28" s="3102" t="s">
        <v>2454</v>
      </c>
      <c r="D28" s="3103"/>
      <c r="E28" s="3104">
        <v>1</v>
      </c>
      <c r="F28" s="3101" t="s">
        <v>2455</v>
      </c>
      <c r="G28" s="3101"/>
    </row>
    <row r="29" spans="1:13" ht="19.5" customHeight="1">
      <c r="A29" s="3847"/>
      <c r="B29" s="3843"/>
      <c r="C29" s="3102" t="s">
        <v>2456</v>
      </c>
      <c r="D29" s="3103"/>
      <c r="E29" s="3104">
        <v>0.8</v>
      </c>
      <c r="F29" s="3101" t="s">
        <v>2457</v>
      </c>
      <c r="G29" s="3101"/>
    </row>
    <row r="30" spans="1:13" ht="19.5" customHeight="1">
      <c r="A30" s="3847"/>
      <c r="B30" s="3843"/>
      <c r="C30" s="3102" t="s">
        <v>2458</v>
      </c>
      <c r="D30" s="3103"/>
      <c r="E30" s="3104">
        <v>0.8</v>
      </c>
      <c r="F30" s="3101" t="s">
        <v>2459</v>
      </c>
      <c r="G30" s="3101"/>
    </row>
    <row r="31" spans="1:13" ht="19.5" customHeight="1">
      <c r="A31" s="3847"/>
      <c r="B31" s="3843"/>
      <c r="C31" s="3102" t="s">
        <v>2460</v>
      </c>
      <c r="D31" s="3103"/>
      <c r="E31" s="3104">
        <v>0.8</v>
      </c>
      <c r="F31" s="3101" t="s">
        <v>2461</v>
      </c>
      <c r="G31" s="3101"/>
    </row>
    <row r="32" spans="1:13" ht="19.5" customHeight="1">
      <c r="A32" s="3847"/>
      <c r="B32" s="3843"/>
      <c r="C32" s="3102" t="s">
        <v>2462</v>
      </c>
      <c r="D32" s="3103"/>
      <c r="E32" s="3104">
        <v>0.7</v>
      </c>
      <c r="F32" s="3101" t="s">
        <v>2463</v>
      </c>
      <c r="G32" s="3101"/>
    </row>
    <row r="33" spans="1:7" ht="19.5" customHeight="1">
      <c r="A33" s="3847"/>
      <c r="B33" s="3843"/>
      <c r="C33" s="3102" t="s">
        <v>2464</v>
      </c>
      <c r="D33" s="3103"/>
      <c r="E33" s="3104">
        <v>0.8</v>
      </c>
      <c r="F33" s="3101" t="s">
        <v>2465</v>
      </c>
      <c r="G33" s="3101"/>
    </row>
    <row r="34" spans="1:7" ht="19.5" customHeight="1">
      <c r="A34" s="3847"/>
      <c r="B34" s="3843"/>
      <c r="C34" s="3102" t="s">
        <v>2466</v>
      </c>
      <c r="D34" s="3103"/>
      <c r="E34" s="3104">
        <v>0.6</v>
      </c>
      <c r="F34" s="3101" t="s">
        <v>2467</v>
      </c>
      <c r="G34" s="3101"/>
    </row>
    <row r="35" spans="1:7" ht="19.5" customHeight="1">
      <c r="A35" s="3847"/>
      <c r="B35" s="3843"/>
      <c r="C35" s="3102" t="s">
        <v>2468</v>
      </c>
      <c r="D35" s="3103"/>
      <c r="E35" s="3104">
        <v>0.2</v>
      </c>
      <c r="F35" s="3101" t="s">
        <v>2469</v>
      </c>
      <c r="G35" s="3101"/>
    </row>
    <row r="36" spans="1:7" ht="19.5" customHeight="1">
      <c r="A36" s="3847"/>
      <c r="B36" s="3843"/>
      <c r="C36" s="3102" t="s">
        <v>2470</v>
      </c>
      <c r="D36" s="3103"/>
      <c r="E36" s="3104">
        <v>0.2</v>
      </c>
      <c r="F36" s="3101" t="s">
        <v>2471</v>
      </c>
      <c r="G36" s="3101"/>
    </row>
    <row r="37" spans="1:7" ht="19.5" customHeight="1">
      <c r="A37" s="3847"/>
      <c r="B37" s="3841" t="s">
        <v>2632</v>
      </c>
      <c r="C37" s="3102" t="s">
        <v>2472</v>
      </c>
      <c r="D37" s="3103"/>
      <c r="E37" s="3104">
        <v>0.6</v>
      </c>
      <c r="F37" s="3101" t="s">
        <v>2473</v>
      </c>
      <c r="G37" s="3101"/>
    </row>
    <row r="38" spans="1:7" ht="19.5" customHeight="1">
      <c r="A38" s="3847"/>
      <c r="B38" s="3843"/>
      <c r="C38" s="3102" t="s">
        <v>2474</v>
      </c>
      <c r="D38" s="3103"/>
      <c r="E38" s="3104">
        <v>0.6</v>
      </c>
      <c r="F38" s="3101" t="s">
        <v>2475</v>
      </c>
      <c r="G38" s="3101"/>
    </row>
    <row r="39" spans="1:7" ht="19.5" customHeight="1" thickBot="1">
      <c r="A39" s="3848"/>
      <c r="B39" s="3845"/>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9" t="s">
        <v>2610</v>
      </c>
      <c r="B41" s="3844" t="s">
        <v>2634</v>
      </c>
      <c r="C41" s="3098" t="s">
        <v>2479</v>
      </c>
      <c r="D41" s="3099"/>
      <c r="E41" s="3100">
        <v>1</v>
      </c>
      <c r="F41" s="3101" t="s">
        <v>2480</v>
      </c>
      <c r="G41" s="3101"/>
    </row>
    <row r="42" spans="1:7" ht="19.5" customHeight="1">
      <c r="A42" s="3850"/>
      <c r="B42" s="3843"/>
      <c r="C42" s="3102" t="s">
        <v>2481</v>
      </c>
      <c r="D42" s="3103"/>
      <c r="E42" s="3104">
        <v>1</v>
      </c>
      <c r="F42" s="3101" t="s">
        <v>2482</v>
      </c>
      <c r="G42" s="3101"/>
    </row>
    <row r="43" spans="1:7" ht="19.5" customHeight="1">
      <c r="A43" s="3850"/>
      <c r="B43" s="3842"/>
      <c r="C43" s="3102" t="s">
        <v>2483</v>
      </c>
      <c r="D43" s="3103"/>
      <c r="E43" s="3104">
        <v>1.5</v>
      </c>
      <c r="F43" s="3101" t="s">
        <v>2484</v>
      </c>
      <c r="G43" s="3101"/>
    </row>
    <row r="44" spans="1:7" ht="19.5" customHeight="1">
      <c r="A44" s="3850"/>
      <c r="B44" s="3113" t="s">
        <v>2635</v>
      </c>
      <c r="C44" s="3102" t="s">
        <v>2636</v>
      </c>
      <c r="D44" s="3103"/>
      <c r="E44" s="3104">
        <v>2</v>
      </c>
      <c r="F44" s="3101" t="s">
        <v>2485</v>
      </c>
      <c r="G44" s="3101"/>
    </row>
    <row r="45" spans="1:7" ht="19.5" customHeight="1">
      <c r="A45" s="3850"/>
      <c r="B45" s="3841" t="s">
        <v>2637</v>
      </c>
      <c r="C45" s="3102" t="s">
        <v>2486</v>
      </c>
      <c r="D45" s="3103"/>
      <c r="E45" s="3104">
        <v>1</v>
      </c>
      <c r="F45" s="3101" t="s">
        <v>2487</v>
      </c>
      <c r="G45" s="3101"/>
    </row>
    <row r="46" spans="1:7" ht="19.5" customHeight="1">
      <c r="A46" s="3850"/>
      <c r="B46" s="3843"/>
      <c r="C46" s="3102" t="s">
        <v>2488</v>
      </c>
      <c r="D46" s="3103"/>
      <c r="E46" s="3104">
        <v>1</v>
      </c>
      <c r="F46" s="3101" t="s">
        <v>2489</v>
      </c>
      <c r="G46" s="3101"/>
    </row>
    <row r="47" spans="1:7" ht="19.5" customHeight="1">
      <c r="A47" s="3850"/>
      <c r="B47" s="3843"/>
      <c r="C47" s="3102" t="s">
        <v>2490</v>
      </c>
      <c r="D47" s="3103"/>
      <c r="E47" s="3104">
        <v>1</v>
      </c>
      <c r="F47" s="3101" t="s">
        <v>2491</v>
      </c>
      <c r="G47" s="3101"/>
    </row>
    <row r="48" spans="1:7" ht="19.5" customHeight="1">
      <c r="A48" s="3850"/>
      <c r="B48" s="3843"/>
      <c r="C48" s="3102" t="s">
        <v>2492</v>
      </c>
      <c r="D48" s="3103"/>
      <c r="E48" s="3104">
        <v>1</v>
      </c>
      <c r="F48" s="3101" t="s">
        <v>2493</v>
      </c>
      <c r="G48" s="3101"/>
    </row>
    <row r="49" spans="1:7" ht="19.5" customHeight="1">
      <c r="A49" s="3850"/>
      <c r="B49" s="3843"/>
      <c r="C49" s="3102" t="s">
        <v>2494</v>
      </c>
      <c r="D49" s="3103"/>
      <c r="E49" s="3104">
        <v>1</v>
      </c>
      <c r="F49" s="3101" t="s">
        <v>2495</v>
      </c>
      <c r="G49" s="3101"/>
    </row>
    <row r="50" spans="1:7" ht="19.5" customHeight="1">
      <c r="A50" s="3850"/>
      <c r="B50" s="3843"/>
      <c r="C50" s="3102" t="s">
        <v>2496</v>
      </c>
      <c r="D50" s="3103"/>
      <c r="E50" s="3104">
        <v>1</v>
      </c>
      <c r="F50" s="3101" t="s">
        <v>2497</v>
      </c>
      <c r="G50" s="3101"/>
    </row>
    <row r="51" spans="1:7" ht="19.5" customHeight="1" thickBot="1">
      <c r="A51" s="3851"/>
      <c r="B51" s="3845"/>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41" t="s">
        <v>2651</v>
      </c>
      <c r="C73" s="3087" t="s">
        <v>2652</v>
      </c>
      <c r="D73" s="3087" t="s">
        <v>2653</v>
      </c>
      <c r="E73" s="3113">
        <v>0.2</v>
      </c>
      <c r="F73" s="3113">
        <v>25</v>
      </c>
    </row>
    <row r="74" spans="1:7" ht="24">
      <c r="A74" s="3113">
        <v>2</v>
      </c>
      <c r="B74" s="3843"/>
      <c r="C74" s="3087" t="s">
        <v>2654</v>
      </c>
      <c r="D74" s="3087" t="s">
        <v>2655</v>
      </c>
      <c r="E74" s="3113">
        <v>0.2</v>
      </c>
      <c r="F74" s="3113">
        <v>25</v>
      </c>
    </row>
    <row r="75" spans="1:7" ht="24">
      <c r="A75" s="3113">
        <v>3</v>
      </c>
      <c r="B75" s="3843"/>
      <c r="C75" s="3087" t="s">
        <v>2656</v>
      </c>
      <c r="D75" s="3087" t="s">
        <v>2657</v>
      </c>
      <c r="E75" s="3113">
        <v>0.2</v>
      </c>
      <c r="F75" s="3113">
        <v>25</v>
      </c>
    </row>
    <row r="76" spans="1:7" ht="13.5">
      <c r="A76" s="3113">
        <v>4</v>
      </c>
      <c r="B76" s="3843"/>
      <c r="C76" s="3087" t="s">
        <v>2658</v>
      </c>
      <c r="D76" s="3087" t="s">
        <v>2659</v>
      </c>
      <c r="E76" s="3113">
        <v>0.15</v>
      </c>
      <c r="F76" s="3113">
        <v>20</v>
      </c>
    </row>
    <row r="77" spans="1:7" ht="24">
      <c r="A77" s="3113">
        <v>5</v>
      </c>
      <c r="B77" s="3843"/>
      <c r="C77" s="3087" t="s">
        <v>2660</v>
      </c>
      <c r="D77" s="3087" t="s">
        <v>2661</v>
      </c>
      <c r="E77" s="3113">
        <v>0.15</v>
      </c>
      <c r="F77" s="3113">
        <v>20</v>
      </c>
    </row>
    <row r="78" spans="1:7" ht="24">
      <c r="A78" s="3113">
        <v>6</v>
      </c>
      <c r="B78" s="3843"/>
      <c r="C78" s="3087" t="s">
        <v>2662</v>
      </c>
      <c r="D78" s="3087" t="s">
        <v>2663</v>
      </c>
      <c r="E78" s="3113">
        <v>0.15</v>
      </c>
      <c r="F78" s="3113">
        <v>20</v>
      </c>
    </row>
    <row r="79" spans="1:7" ht="24">
      <c r="A79" s="3113">
        <v>7</v>
      </c>
      <c r="B79" s="3843"/>
      <c r="C79" s="3087" t="s">
        <v>2664</v>
      </c>
      <c r="D79" s="3087" t="s">
        <v>2665</v>
      </c>
      <c r="E79" s="3113">
        <v>0.15</v>
      </c>
      <c r="F79" s="3113">
        <v>20</v>
      </c>
    </row>
    <row r="80" spans="1:7" ht="24">
      <c r="A80" s="3113">
        <v>8</v>
      </c>
      <c r="B80" s="3843"/>
      <c r="C80" s="3087" t="s">
        <v>2666</v>
      </c>
      <c r="D80" s="3087" t="s">
        <v>2667</v>
      </c>
      <c r="E80" s="3113">
        <v>0.1</v>
      </c>
      <c r="F80" s="3113">
        <v>15</v>
      </c>
    </row>
    <row r="81" spans="1:6" ht="24">
      <c r="A81" s="3113">
        <v>9</v>
      </c>
      <c r="B81" s="3843"/>
      <c r="C81" s="3087" t="s">
        <v>2668</v>
      </c>
      <c r="D81" s="3087" t="s">
        <v>2669</v>
      </c>
      <c r="E81" s="3113">
        <v>0.1</v>
      </c>
      <c r="F81" s="3113">
        <v>15</v>
      </c>
    </row>
    <row r="82" spans="1:6" ht="24">
      <c r="A82" s="3113">
        <v>10</v>
      </c>
      <c r="B82" s="3843"/>
      <c r="C82" s="3087" t="s">
        <v>2670</v>
      </c>
      <c r="D82" s="3087" t="s">
        <v>2671</v>
      </c>
      <c r="E82" s="3113">
        <v>0.1</v>
      </c>
      <c r="F82" s="3113">
        <v>15</v>
      </c>
    </row>
    <row r="83" spans="1:6" ht="24">
      <c r="A83" s="3113">
        <v>11</v>
      </c>
      <c r="B83" s="3843"/>
      <c r="C83" s="3087" t="s">
        <v>2672</v>
      </c>
      <c r="D83" s="3087" t="s">
        <v>2673</v>
      </c>
      <c r="E83" s="3113">
        <v>0.1</v>
      </c>
      <c r="F83" s="3113">
        <v>15</v>
      </c>
    </row>
    <row r="84" spans="1:6" ht="24">
      <c r="A84" s="3113">
        <v>12</v>
      </c>
      <c r="B84" s="3843"/>
      <c r="C84" s="3087" t="s">
        <v>2674</v>
      </c>
      <c r="D84" s="3087" t="s">
        <v>2675</v>
      </c>
      <c r="E84" s="3113">
        <v>0.1</v>
      </c>
      <c r="F84" s="3113">
        <v>15</v>
      </c>
    </row>
    <row r="85" spans="1:6" ht="13.5">
      <c r="A85" s="3113">
        <v>13</v>
      </c>
      <c r="B85" s="3843"/>
      <c r="C85" s="3087" t="s">
        <v>2676</v>
      </c>
      <c r="D85" s="3087" t="s">
        <v>2677</v>
      </c>
      <c r="E85" s="3113">
        <v>0.1</v>
      </c>
      <c r="F85" s="3113">
        <v>15</v>
      </c>
    </row>
    <row r="86" spans="1:6" ht="13.5">
      <c r="A86" s="3113">
        <v>14</v>
      </c>
      <c r="B86" s="3843"/>
      <c r="C86" s="3087" t="s">
        <v>2678</v>
      </c>
      <c r="D86" s="3087" t="s">
        <v>2679</v>
      </c>
      <c r="E86" s="3113">
        <v>0.1</v>
      </c>
      <c r="F86" s="3113">
        <v>15</v>
      </c>
    </row>
    <row r="87" spans="1:6" ht="13.5">
      <c r="A87" s="3113">
        <v>15</v>
      </c>
      <c r="B87" s="3843"/>
      <c r="C87" s="3087" t="s">
        <v>2680</v>
      </c>
      <c r="D87" s="3087" t="s">
        <v>2681</v>
      </c>
      <c r="E87" s="3113">
        <v>0.1</v>
      </c>
      <c r="F87" s="3113">
        <v>15</v>
      </c>
    </row>
    <row r="88" spans="1:6" ht="24">
      <c r="A88" s="3113">
        <v>16</v>
      </c>
      <c r="B88" s="3843"/>
      <c r="C88" s="3087" t="s">
        <v>2682</v>
      </c>
      <c r="D88" s="3087" t="s">
        <v>2683</v>
      </c>
      <c r="E88" s="3113">
        <v>0.1</v>
      </c>
      <c r="F88" s="3113">
        <v>15</v>
      </c>
    </row>
    <row r="89" spans="1:6" ht="24">
      <c r="A89" s="3113">
        <v>17</v>
      </c>
      <c r="B89" s="3842"/>
      <c r="C89" s="3087" t="s">
        <v>2684</v>
      </c>
      <c r="D89" s="3087" t="s">
        <v>2685</v>
      </c>
      <c r="E89" s="3113">
        <v>0.1</v>
      </c>
      <c r="F89" s="3113">
        <v>15</v>
      </c>
    </row>
    <row r="90" spans="1:6" ht="13.5">
      <c r="A90" s="3113">
        <v>18</v>
      </c>
      <c r="B90" s="3841" t="s">
        <v>2686</v>
      </c>
      <c r="C90" s="3087" t="s">
        <v>2687</v>
      </c>
      <c r="D90" s="3087" t="s">
        <v>2688</v>
      </c>
      <c r="E90" s="3113">
        <v>0.2</v>
      </c>
      <c r="F90" s="3113">
        <v>25</v>
      </c>
    </row>
    <row r="91" spans="1:6" ht="24">
      <c r="A91" s="3113">
        <v>19</v>
      </c>
      <c r="B91" s="3843"/>
      <c r="C91" s="3087" t="s">
        <v>2689</v>
      </c>
      <c r="D91" s="3087" t="s">
        <v>2690</v>
      </c>
      <c r="E91" s="3113">
        <v>0.2</v>
      </c>
      <c r="F91" s="3113">
        <v>25</v>
      </c>
    </row>
    <row r="92" spans="1:6" ht="13.5">
      <c r="A92" s="3113">
        <v>20</v>
      </c>
      <c r="B92" s="3843"/>
      <c r="C92" s="3087" t="s">
        <v>2691</v>
      </c>
      <c r="D92" s="3087" t="s">
        <v>2692</v>
      </c>
      <c r="E92" s="3113">
        <v>0.15</v>
      </c>
      <c r="F92" s="3113">
        <v>20</v>
      </c>
    </row>
    <row r="93" spans="1:6" ht="13.5">
      <c r="A93" s="3113">
        <v>21</v>
      </c>
      <c r="B93" s="3843"/>
      <c r="C93" s="3087" t="s">
        <v>2693</v>
      </c>
      <c r="D93" s="3087" t="s">
        <v>2694</v>
      </c>
      <c r="E93" s="3113">
        <v>0.15</v>
      </c>
      <c r="F93" s="3113">
        <v>20</v>
      </c>
    </row>
    <row r="94" spans="1:6" ht="13.5">
      <c r="A94" s="3113">
        <v>22</v>
      </c>
      <c r="B94" s="3843"/>
      <c r="C94" s="3087" t="s">
        <v>2695</v>
      </c>
      <c r="D94" s="3087" t="s">
        <v>2696</v>
      </c>
      <c r="E94" s="3113">
        <v>0.15</v>
      </c>
      <c r="F94" s="3113">
        <v>20</v>
      </c>
    </row>
    <row r="95" spans="1:6" ht="36">
      <c r="A95" s="3113">
        <v>23</v>
      </c>
      <c r="B95" s="3843"/>
      <c r="C95" s="3087" t="s">
        <v>2697</v>
      </c>
      <c r="D95" s="3087" t="s">
        <v>2698</v>
      </c>
      <c r="E95" s="3113">
        <v>0.15</v>
      </c>
      <c r="F95" s="3113">
        <v>20</v>
      </c>
    </row>
    <row r="96" spans="1:6" ht="13.5">
      <c r="A96" s="3113">
        <v>24</v>
      </c>
      <c r="B96" s="3843"/>
      <c r="C96" s="3087" t="s">
        <v>2699</v>
      </c>
      <c r="D96" s="3087" t="s">
        <v>2700</v>
      </c>
      <c r="E96" s="3113">
        <v>0.1</v>
      </c>
      <c r="F96" s="3113">
        <v>15</v>
      </c>
    </row>
    <row r="97" spans="1:6" ht="13.5">
      <c r="A97" s="3113">
        <v>25</v>
      </c>
      <c r="B97" s="3843"/>
      <c r="C97" s="3087" t="s">
        <v>2701</v>
      </c>
      <c r="D97" s="3087" t="s">
        <v>2702</v>
      </c>
      <c r="E97" s="3113">
        <v>0.1</v>
      </c>
      <c r="F97" s="3113">
        <v>15</v>
      </c>
    </row>
    <row r="98" spans="1:6" ht="24">
      <c r="A98" s="3113">
        <v>26</v>
      </c>
      <c r="B98" s="3843"/>
      <c r="C98" s="3087" t="s">
        <v>2703</v>
      </c>
      <c r="D98" s="3087" t="s">
        <v>2704</v>
      </c>
      <c r="E98" s="3113">
        <v>0.1</v>
      </c>
      <c r="F98" s="3113">
        <v>15</v>
      </c>
    </row>
    <row r="99" spans="1:6" ht="24">
      <c r="A99" s="3113">
        <v>27</v>
      </c>
      <c r="B99" s="3843"/>
      <c r="C99" s="3087" t="s">
        <v>2705</v>
      </c>
      <c r="D99" s="3087" t="s">
        <v>2706</v>
      </c>
      <c r="E99" s="3113">
        <v>0.1</v>
      </c>
      <c r="F99" s="3113">
        <v>15</v>
      </c>
    </row>
    <row r="100" spans="1:6" ht="13.5">
      <c r="A100" s="3113">
        <v>28</v>
      </c>
      <c r="B100" s="3843"/>
      <c r="C100" s="3087" t="s">
        <v>2707</v>
      </c>
      <c r="D100" s="3087" t="s">
        <v>2708</v>
      </c>
      <c r="E100" s="3113">
        <v>0.1</v>
      </c>
      <c r="F100" s="3113">
        <v>15</v>
      </c>
    </row>
    <row r="101" spans="1:6" ht="13.5">
      <c r="A101" s="3113">
        <v>29</v>
      </c>
      <c r="B101" s="3843"/>
      <c r="C101" s="3087" t="s">
        <v>2709</v>
      </c>
      <c r="D101" s="3087" t="s">
        <v>2710</v>
      </c>
      <c r="E101" s="3113">
        <v>0.1</v>
      </c>
      <c r="F101" s="3113">
        <v>15</v>
      </c>
    </row>
    <row r="102" spans="1:6" ht="13.5">
      <c r="A102" s="3113">
        <v>30</v>
      </c>
      <c r="B102" s="3843"/>
      <c r="C102" s="3087" t="s">
        <v>2711</v>
      </c>
      <c r="D102" s="3087" t="s">
        <v>2712</v>
      </c>
      <c r="E102" s="3113">
        <v>0.1</v>
      </c>
      <c r="F102" s="3113">
        <v>15</v>
      </c>
    </row>
    <row r="103" spans="1:6" ht="24">
      <c r="A103" s="3113">
        <v>31</v>
      </c>
      <c r="B103" s="3843"/>
      <c r="C103" s="3087" t="s">
        <v>2713</v>
      </c>
      <c r="D103" s="3087" t="s">
        <v>2714</v>
      </c>
      <c r="E103" s="3113">
        <v>0.1</v>
      </c>
      <c r="F103" s="3113">
        <v>15</v>
      </c>
    </row>
    <row r="104" spans="1:6" ht="24">
      <c r="A104" s="3113">
        <v>32</v>
      </c>
      <c r="B104" s="3843"/>
      <c r="C104" s="3087" t="s">
        <v>2715</v>
      </c>
      <c r="D104" s="3087" t="s">
        <v>2716</v>
      </c>
      <c r="E104" s="3113">
        <v>0.1</v>
      </c>
      <c r="F104" s="3113">
        <v>15</v>
      </c>
    </row>
    <row r="105" spans="1:6" ht="24">
      <c r="A105" s="3113">
        <v>33</v>
      </c>
      <c r="B105" s="3843"/>
      <c r="C105" s="3087" t="s">
        <v>2717</v>
      </c>
      <c r="D105" s="3087" t="s">
        <v>2718</v>
      </c>
      <c r="E105" s="3113">
        <v>0.1</v>
      </c>
      <c r="F105" s="3113">
        <v>15</v>
      </c>
    </row>
    <row r="106" spans="1:6" ht="24">
      <c r="A106" s="3113">
        <v>34</v>
      </c>
      <c r="B106" s="3842"/>
      <c r="C106" s="3087" t="s">
        <v>2719</v>
      </c>
      <c r="D106" s="3087" t="s">
        <v>2720</v>
      </c>
      <c r="E106" s="3113">
        <v>0.1</v>
      </c>
      <c r="F106" s="3113">
        <v>15</v>
      </c>
    </row>
    <row r="107" spans="1:6" ht="24">
      <c r="A107" s="3113">
        <v>35</v>
      </c>
      <c r="B107" s="3841" t="s">
        <v>2721</v>
      </c>
      <c r="C107" s="3113" t="s">
        <v>2722</v>
      </c>
      <c r="D107" s="3087" t="s">
        <v>2723</v>
      </c>
      <c r="E107" s="3113">
        <v>0.15</v>
      </c>
      <c r="F107" s="3113">
        <v>20</v>
      </c>
    </row>
    <row r="108" spans="1:6" ht="13.5">
      <c r="A108" s="3113">
        <v>36</v>
      </c>
      <c r="B108" s="3843"/>
      <c r="C108" s="3113" t="s">
        <v>2724</v>
      </c>
      <c r="D108" s="3087" t="s">
        <v>2725</v>
      </c>
      <c r="E108" s="3113">
        <v>0.15</v>
      </c>
      <c r="F108" s="3113">
        <v>20</v>
      </c>
    </row>
    <row r="109" spans="1:6" ht="13.5">
      <c r="A109" s="3113">
        <v>37</v>
      </c>
      <c r="B109" s="3843"/>
      <c r="C109" s="3113" t="s">
        <v>2726</v>
      </c>
      <c r="D109" s="3087" t="s">
        <v>2727</v>
      </c>
      <c r="E109" s="3113">
        <v>0.15</v>
      </c>
      <c r="F109" s="3113">
        <v>20</v>
      </c>
    </row>
    <row r="110" spans="1:6" ht="13.5">
      <c r="A110" s="3113">
        <v>38</v>
      </c>
      <c r="B110" s="3843"/>
      <c r="C110" s="3113" t="s">
        <v>2728</v>
      </c>
      <c r="D110" s="3087" t="s">
        <v>2729</v>
      </c>
      <c r="E110" s="3113">
        <v>0.1</v>
      </c>
      <c r="F110" s="3113">
        <v>15</v>
      </c>
    </row>
    <row r="111" spans="1:6" ht="24">
      <c r="A111" s="3113">
        <v>39</v>
      </c>
      <c r="B111" s="3843"/>
      <c r="C111" s="3113" t="s">
        <v>2730</v>
      </c>
      <c r="D111" s="3087" t="s">
        <v>2731</v>
      </c>
      <c r="E111" s="3113">
        <v>0.1</v>
      </c>
      <c r="F111" s="3113">
        <v>15</v>
      </c>
    </row>
    <row r="112" spans="1:6" ht="24">
      <c r="A112" s="3113">
        <v>40</v>
      </c>
      <c r="B112" s="3842"/>
      <c r="C112" s="3113" t="s">
        <v>2732</v>
      </c>
      <c r="D112" s="3087" t="s">
        <v>2733</v>
      </c>
      <c r="E112" s="3113">
        <v>0.1</v>
      </c>
      <c r="F112" s="3113">
        <v>15</v>
      </c>
    </row>
    <row r="113" spans="1:6" ht="13.5">
      <c r="A113" s="3113">
        <v>41</v>
      </c>
      <c r="B113" s="3840" t="s">
        <v>2734</v>
      </c>
      <c r="C113" s="3113" t="s">
        <v>2735</v>
      </c>
      <c r="D113" s="3087" t="s">
        <v>2736</v>
      </c>
      <c r="E113" s="3113">
        <v>0.1</v>
      </c>
      <c r="F113" s="3113">
        <v>15</v>
      </c>
    </row>
    <row r="114" spans="1:6" ht="13.5">
      <c r="A114" s="3113">
        <v>42</v>
      </c>
      <c r="B114" s="3840"/>
      <c r="C114" s="3113" t="s">
        <v>2737</v>
      </c>
      <c r="D114" s="3087" t="s">
        <v>2738</v>
      </c>
      <c r="E114" s="3113">
        <v>0.1</v>
      </c>
      <c r="F114" s="3113">
        <v>15</v>
      </c>
    </row>
    <row r="115" spans="1:6" ht="24">
      <c r="A115" s="3113">
        <v>43</v>
      </c>
      <c r="B115" s="3840"/>
      <c r="C115" s="3113" t="s">
        <v>2739</v>
      </c>
      <c r="D115" s="3087" t="s">
        <v>2740</v>
      </c>
      <c r="E115" s="3113">
        <v>0.1</v>
      </c>
      <c r="F115" s="3113">
        <v>15</v>
      </c>
    </row>
    <row r="116" spans="1:6" ht="13.5">
      <c r="A116" s="3113">
        <v>44</v>
      </c>
      <c r="B116" s="3841" t="s">
        <v>2741</v>
      </c>
      <c r="C116" s="3113" t="s">
        <v>2742</v>
      </c>
      <c r="D116" s="3087" t="s">
        <v>2743</v>
      </c>
      <c r="E116" s="3113">
        <v>0.1</v>
      </c>
      <c r="F116" s="3113">
        <v>15</v>
      </c>
    </row>
    <row r="117" spans="1:6" ht="24">
      <c r="A117" s="3113">
        <v>45</v>
      </c>
      <c r="B117" s="3842"/>
      <c r="C117" s="3087" t="s">
        <v>2744</v>
      </c>
      <c r="D117" s="3087" t="s">
        <v>2745</v>
      </c>
      <c r="E117" s="3113">
        <v>0.1</v>
      </c>
      <c r="F117" s="3113">
        <v>15</v>
      </c>
    </row>
    <row r="118" spans="1:6" ht="24">
      <c r="A118" s="3113">
        <v>46</v>
      </c>
      <c r="B118" s="3841" t="s">
        <v>2746</v>
      </c>
      <c r="C118" s="3113" t="s">
        <v>2747</v>
      </c>
      <c r="D118" s="3087" t="s">
        <v>2748</v>
      </c>
      <c r="E118" s="3113">
        <v>0.1</v>
      </c>
      <c r="F118" s="3113">
        <v>15</v>
      </c>
    </row>
    <row r="119" spans="1:6" ht="24">
      <c r="A119" s="3113">
        <v>47</v>
      </c>
      <c r="B119" s="3842"/>
      <c r="C119" s="3113" t="s">
        <v>2749</v>
      </c>
      <c r="D119" s="3087" t="s">
        <v>2750</v>
      </c>
      <c r="E119" s="3113">
        <v>0.1</v>
      </c>
      <c r="F119" s="3113">
        <v>15</v>
      </c>
    </row>
    <row r="120" spans="1:6" ht="13.5">
      <c r="A120" s="3113">
        <v>48</v>
      </c>
      <c r="B120" s="3841" t="s">
        <v>2751</v>
      </c>
      <c r="C120" s="3113" t="s">
        <v>2752</v>
      </c>
      <c r="D120" s="3087" t="s">
        <v>2753</v>
      </c>
      <c r="E120" s="3113">
        <v>0.1</v>
      </c>
      <c r="F120" s="3113">
        <v>15</v>
      </c>
    </row>
    <row r="121" spans="1:6" ht="13.5">
      <c r="A121" s="3113">
        <v>49</v>
      </c>
      <c r="B121" s="3842"/>
      <c r="C121" s="3113" t="s">
        <v>2754</v>
      </c>
      <c r="D121" s="3087" t="s">
        <v>2755</v>
      </c>
      <c r="E121" s="3113">
        <v>0.1</v>
      </c>
      <c r="F121" s="3113">
        <v>15</v>
      </c>
    </row>
    <row r="122" spans="1:6" ht="24">
      <c r="A122" s="3113">
        <v>50</v>
      </c>
      <c r="B122" s="3840" t="s">
        <v>2756</v>
      </c>
      <c r="C122" s="3113" t="s">
        <v>2757</v>
      </c>
      <c r="D122" s="3087" t="s">
        <v>2758</v>
      </c>
      <c r="E122" s="3113">
        <v>0.1</v>
      </c>
      <c r="F122" s="3113">
        <v>15</v>
      </c>
    </row>
    <row r="123" spans="1:6" ht="24">
      <c r="A123" s="3113">
        <v>51</v>
      </c>
      <c r="B123" s="3840"/>
      <c r="C123" s="3113" t="s">
        <v>2759</v>
      </c>
      <c r="D123" s="3087" t="s">
        <v>2760</v>
      </c>
      <c r="E123" s="3113">
        <v>0.1</v>
      </c>
      <c r="F123" s="3113">
        <v>15</v>
      </c>
    </row>
    <row r="124" spans="1:6" ht="24">
      <c r="A124" s="3113">
        <v>52</v>
      </c>
      <c r="B124" s="3840" t="s">
        <v>2761</v>
      </c>
      <c r="C124" s="3113" t="s">
        <v>2762</v>
      </c>
      <c r="D124" s="3087" t="s">
        <v>2763</v>
      </c>
      <c r="E124" s="3113">
        <v>0.1</v>
      </c>
      <c r="F124" s="3113">
        <v>15</v>
      </c>
    </row>
    <row r="125" spans="1:6" ht="24">
      <c r="A125" s="3113">
        <v>53</v>
      </c>
      <c r="B125" s="3840"/>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40" t="s">
        <v>2769</v>
      </c>
      <c r="C127" s="3113" t="s">
        <v>2770</v>
      </c>
      <c r="D127" s="3087" t="s">
        <v>2771</v>
      </c>
      <c r="E127" s="3113">
        <v>0.1</v>
      </c>
      <c r="F127" s="3113">
        <v>15</v>
      </c>
    </row>
    <row r="128" spans="1:6" ht="13.5">
      <c r="A128" s="3113">
        <v>56</v>
      </c>
      <c r="B128" s="3840"/>
      <c r="C128" s="3113" t="s">
        <v>2772</v>
      </c>
      <c r="D128" s="3087" t="s">
        <v>2773</v>
      </c>
      <c r="E128" s="3113">
        <v>0.1</v>
      </c>
      <c r="F128" s="3113">
        <v>15</v>
      </c>
    </row>
    <row r="129" spans="1:6" ht="24">
      <c r="A129" s="3113">
        <v>57</v>
      </c>
      <c r="B129" s="3840"/>
      <c r="C129" s="3113" t="s">
        <v>2774</v>
      </c>
      <c r="D129" s="3087" t="s">
        <v>2775</v>
      </c>
      <c r="E129" s="3113">
        <v>0.1</v>
      </c>
      <c r="F129" s="3113">
        <v>15</v>
      </c>
    </row>
    <row r="130" spans="1:6" ht="24">
      <c r="A130" s="3113">
        <v>58</v>
      </c>
      <c r="B130" s="3840" t="s">
        <v>2776</v>
      </c>
      <c r="C130" s="3113" t="s">
        <v>2777</v>
      </c>
      <c r="D130" s="3087" t="s">
        <v>2778</v>
      </c>
      <c r="E130" s="3113">
        <v>0.1</v>
      </c>
      <c r="F130" s="3113">
        <v>15</v>
      </c>
    </row>
    <row r="131" spans="1:6" ht="13.5">
      <c r="A131" s="3113">
        <v>59</v>
      </c>
      <c r="B131" s="3840"/>
      <c r="C131" s="3113" t="s">
        <v>2779</v>
      </c>
      <c r="D131" s="3087" t="s">
        <v>2780</v>
      </c>
      <c r="E131" s="3113">
        <v>0.1</v>
      </c>
      <c r="F131" s="3113">
        <v>15</v>
      </c>
    </row>
    <row r="132" spans="1:6" ht="13.5">
      <c r="A132" s="3113">
        <v>60</v>
      </c>
      <c r="B132" s="3841" t="s">
        <v>2781</v>
      </c>
      <c r="C132" s="3113" t="s">
        <v>2782</v>
      </c>
      <c r="D132" s="3087" t="s">
        <v>2783</v>
      </c>
      <c r="E132" s="3113">
        <v>0.1</v>
      </c>
      <c r="F132" s="3113">
        <v>15</v>
      </c>
    </row>
    <row r="133" spans="1:6" ht="13.5">
      <c r="A133" s="3113">
        <v>61</v>
      </c>
      <c r="B133" s="3842"/>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40" t="s">
        <v>2789</v>
      </c>
      <c r="C135" s="3113" t="s">
        <v>2790</v>
      </c>
      <c r="D135" s="3087" t="s">
        <v>2791</v>
      </c>
      <c r="E135" s="3113">
        <v>0.1</v>
      </c>
      <c r="F135" s="3113">
        <v>15</v>
      </c>
    </row>
    <row r="136" spans="1:6" ht="13.5">
      <c r="A136" s="3113">
        <v>64</v>
      </c>
      <c r="B136" s="3840"/>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9" t="s">
        <v>94</v>
      </c>
    </row>
    <row r="43" spans="1:7" ht="13.5" customHeight="1">
      <c r="A43" s="779" t="s">
        <v>347</v>
      </c>
      <c r="B43" s="215" t="s">
        <v>426</v>
      </c>
      <c r="C43" s="238">
        <f ca="1">ROUND(IF('数据-取费表'!B22&lt;=1,C39*F22*'数据-取费表'!B21/2,C39*(POWER((1+F22),'数据-取费表'!B21/2)-1)),0)</f>
        <v>0</v>
      </c>
      <c r="D43" s="238"/>
      <c r="E43" s="238"/>
      <c r="F43" s="239"/>
      <c r="G43" s="3760"/>
    </row>
    <row r="44" spans="1:7" ht="13.5" customHeight="1">
      <c r="A44" s="779" t="s">
        <v>348</v>
      </c>
      <c r="B44" s="215" t="s">
        <v>428</v>
      </c>
      <c r="C44" s="238">
        <f ca="1">ROUND(IF('数据-取费表'!B22&lt;=1,C40*F22*'数据-取费表'!B21/2,C40*(POWER((1+F22),'数据-取费表'!B21/2)-1)),4)</f>
        <v>6.9999999999999999E-4</v>
      </c>
      <c r="D44" s="238"/>
      <c r="E44" s="238"/>
      <c r="F44" s="239"/>
      <c r="G44" s="3761"/>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4" t="s">
        <v>2841</v>
      </c>
      <c r="B1" s="3854"/>
      <c r="C1" s="3854"/>
      <c r="D1" s="3854"/>
      <c r="E1" s="3854"/>
      <c r="F1" s="3854"/>
      <c r="G1" s="3855"/>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52"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3"/>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6" t="s">
        <v>3183</v>
      </c>
      <c r="B1" s="3856"/>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7" t="s">
        <v>3234</v>
      </c>
      <c r="B1" s="3857"/>
      <c r="C1" s="3857"/>
      <c r="D1" s="3857"/>
      <c r="E1" s="3857"/>
      <c r="F1" s="3858"/>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9" t="s">
        <v>456</v>
      </c>
      <c r="S1" s="3860"/>
      <c r="T1" s="3860"/>
      <c r="U1" s="3860"/>
      <c r="V1" s="3860"/>
      <c r="W1" s="3860"/>
      <c r="X1" s="3160"/>
      <c r="Y1" s="3859" t="s">
        <v>457</v>
      </c>
      <c r="Z1" s="3860"/>
      <c r="AA1" s="3860"/>
      <c r="AB1" s="3860"/>
      <c r="AC1" s="3860"/>
      <c r="AD1" s="3860"/>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9" t="s">
        <v>2828</v>
      </c>
      <c r="S21" s="3860"/>
      <c r="T21" s="3860"/>
      <c r="U21" s="3860"/>
      <c r="V21" s="3860"/>
      <c r="W21" s="3860"/>
      <c r="X21" s="3160"/>
      <c r="Y21" s="3859" t="s">
        <v>2829</v>
      </c>
      <c r="Z21" s="3860"/>
      <c r="AA21" s="3860"/>
      <c r="AB21" s="3860"/>
      <c r="AC21" s="3860"/>
      <c r="AD21" s="3860"/>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7" t="str">
        <f>IF(项目基本情况!B9="房地产市场价值","估价结果一览表","结果表-2")</f>
        <v>结果表-2</v>
      </c>
      <c r="B1" s="3547"/>
      <c r="C1" s="3547"/>
      <c r="D1" s="3547"/>
      <c r="E1" s="3547"/>
      <c r="F1" s="3547"/>
      <c r="G1" s="3547"/>
      <c r="H1" s="3547"/>
      <c r="I1" s="3547"/>
    </row>
    <row r="2" spans="1:9" ht="30" customHeight="1" thickTop="1">
      <c r="A2" s="3548" t="s">
        <v>925</v>
      </c>
      <c r="B2" s="3548" t="s">
        <v>926</v>
      </c>
      <c r="C2" s="3548" t="s">
        <v>927</v>
      </c>
      <c r="D2" s="3548" t="str">
        <f>'结果表-住宅基准'!D116</f>
        <v>出让国有建设用地使用权价值</v>
      </c>
      <c r="E2" s="3548"/>
      <c r="F2" s="3548" t="str">
        <f>'结果表-住宅基准'!F116</f>
        <v>在建建筑物价值</v>
      </c>
      <c r="G2" s="3548"/>
      <c r="H2" s="3548" t="str">
        <f>IF(项目基本情况!B9="房地产市场价值","房地产市场价值","房地产价值")</f>
        <v>房地产价值</v>
      </c>
      <c r="I2" s="3548"/>
    </row>
    <row r="3" spans="1:9" ht="15">
      <c r="A3" s="3543"/>
      <c r="B3" s="3543"/>
      <c r="C3" s="3543"/>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3" t="s">
        <v>924</v>
      </c>
      <c r="B5" s="3543"/>
      <c r="C5" s="3543"/>
      <c r="D5" s="3543" t="str">
        <f ca="1">'结果表-住宅基准'!D119</f>
        <v>贰佰伍拾贰万元整</v>
      </c>
      <c r="E5" s="3543"/>
      <c r="F5" s="3543" t="str">
        <f ca="1">'结果表-住宅基准'!F119</f>
        <v>伍拾伍万元整</v>
      </c>
      <c r="G5" s="3543"/>
      <c r="H5" s="3543" t="str">
        <f ca="1">'结果表-住宅基准'!H119</f>
        <v>叁佰零柒万元整</v>
      </c>
      <c r="I5" s="3543"/>
    </row>
    <row r="6" spans="1:9" ht="15.75">
      <c r="A6" s="3542" t="str">
        <f>'结果表-住宅基准'!A120</f>
        <v>估价师知悉的法定优先受偿款</v>
      </c>
      <c r="B6" s="3542"/>
      <c r="C6" s="3542"/>
      <c r="D6" s="3542">
        <f>'结果表-住宅基准'!D120</f>
        <v>0</v>
      </c>
      <c r="E6" s="3542"/>
      <c r="F6" s="3542"/>
      <c r="G6" s="3542"/>
      <c r="H6" s="3542"/>
      <c r="I6" s="3542"/>
    </row>
    <row r="7" spans="1:9" ht="15">
      <c r="A7" s="3543" t="s">
        <v>924</v>
      </c>
      <c r="B7" s="3543"/>
      <c r="C7" s="3543"/>
      <c r="D7" s="3544" t="str">
        <f>'结果表-住宅基准'!D121</f>
        <v>零元整</v>
      </c>
      <c r="E7" s="3545"/>
      <c r="F7" s="3545"/>
      <c r="G7" s="3545"/>
      <c r="H7" s="3545"/>
      <c r="I7" s="3546"/>
    </row>
    <row r="8" spans="1:9" ht="15.75">
      <c r="A8" s="3542" t="str">
        <f>'结果表-住宅基准'!A122</f>
        <v>房地产抵押价值</v>
      </c>
      <c r="B8" s="3542"/>
      <c r="C8" s="3542"/>
      <c r="D8" s="3542">
        <f ca="1">'结果表-住宅基准'!D122</f>
        <v>307</v>
      </c>
      <c r="E8" s="3542"/>
      <c r="F8" s="3542"/>
      <c r="G8" s="3542"/>
      <c r="H8" s="3542"/>
      <c r="I8" s="3542"/>
    </row>
    <row r="9" spans="1:9" ht="15">
      <c r="A9" s="3543" t="s">
        <v>924</v>
      </c>
      <c r="B9" s="3543"/>
      <c r="C9" s="3543"/>
      <c r="D9" s="3543" t="str">
        <f ca="1">'结果表-住宅基准'!D123</f>
        <v>叁佰零柒万元整</v>
      </c>
      <c r="E9" s="3543"/>
      <c r="F9" s="3543"/>
      <c r="G9" s="3543"/>
      <c r="H9" s="3543"/>
      <c r="I9" s="3543"/>
    </row>
    <row r="10" spans="1:9" ht="15.75">
      <c r="A10" s="3542" t="str">
        <f>'结果表-住宅基准'!A124</f>
        <v/>
      </c>
      <c r="B10" s="3542"/>
      <c r="C10" s="3542"/>
      <c r="D10" s="3542" t="str">
        <f>'结果表-住宅基准'!D124</f>
        <v>——</v>
      </c>
      <c r="E10" s="3542"/>
      <c r="F10" s="3542"/>
      <c r="G10" s="3542"/>
      <c r="H10" s="3542"/>
      <c r="I10" s="3542"/>
    </row>
    <row r="11" spans="1:9" ht="15">
      <c r="A11" s="3543" t="s">
        <v>924</v>
      </c>
      <c r="B11" s="3543"/>
      <c r="C11" s="3543"/>
      <c r="D11" s="3543" t="e">
        <f>'结果表-住宅基准'!D125</f>
        <v>#VALUE!</v>
      </c>
      <c r="E11" s="3543"/>
      <c r="F11" s="3543"/>
      <c r="G11" s="3543"/>
      <c r="H11" s="3543"/>
      <c r="I11" s="3543"/>
    </row>
    <row r="12" spans="1:9" ht="15.75">
      <c r="A12" s="3542" t="str">
        <f>'结果表-住宅基准'!A126</f>
        <v>抵押净值</v>
      </c>
      <c r="B12" s="3542"/>
      <c r="C12" s="3542"/>
      <c r="D12" s="3542">
        <f ca="1">'结果表-住宅基准'!D126</f>
        <v>46831</v>
      </c>
      <c r="E12" s="3542"/>
      <c r="F12" s="3542"/>
      <c r="G12" s="3542"/>
      <c r="H12" s="3542"/>
      <c r="I12" s="3542"/>
    </row>
    <row r="13" spans="1:9" ht="15.75" thickBot="1">
      <c r="A13" s="3540" t="s">
        <v>924</v>
      </c>
      <c r="B13" s="3540"/>
      <c r="C13" s="3540"/>
      <c r="D13" s="3540" t="str">
        <f ca="1">'结果表-住宅基准'!D127</f>
        <v>肆亿陆仟捌佰叁拾壹万元整</v>
      </c>
      <c r="E13" s="3540"/>
      <c r="F13" s="3540"/>
      <c r="G13" s="3540"/>
      <c r="H13" s="3540"/>
      <c r="I13" s="3540"/>
    </row>
    <row r="14" spans="1:9" ht="15" thickTop="1">
      <c r="A14" s="3541" t="s">
        <v>929</v>
      </c>
      <c r="B14" s="3541"/>
      <c r="C14" s="3541"/>
      <c r="D14" s="3541"/>
      <c r="E14" s="3541"/>
      <c r="F14" s="3541"/>
      <c r="G14" s="3541"/>
      <c r="H14" s="3541"/>
      <c r="I14" s="3541"/>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6" t="s">
        <v>452</v>
      </c>
      <c r="C1" s="3866"/>
      <c r="D1" s="3866"/>
      <c r="E1" s="3866"/>
      <c r="F1" s="3866"/>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6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5" sqref="T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2082</v>
      </c>
    </row>
    <row r="2" spans="1:45" s="655" customFormat="1" ht="25.5">
      <c r="A2" s="983"/>
      <c r="B2" s="651" t="s">
        <v>2083</v>
      </c>
      <c r="C2" s="652" t="str">
        <f t="shared" ref="C2:L2" si="0">C3&amp;"(含)"&amp;"-"&amp;D3</f>
        <v>20(含)-25</v>
      </c>
      <c r="D2" s="653" t="str">
        <f t="shared" si="0"/>
        <v>25(含)-30</v>
      </c>
      <c r="E2" s="653" t="str">
        <f t="shared" si="0"/>
        <v>30(含)-35</v>
      </c>
      <c r="F2" s="653" t="str">
        <f t="shared" si="0"/>
        <v>35(含)-40</v>
      </c>
      <c r="G2" s="653" t="str">
        <f t="shared" si="0"/>
        <v>40(含)-50</v>
      </c>
      <c r="H2" s="653" t="str">
        <f t="shared" si="0"/>
        <v>50(含)-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20</v>
      </c>
      <c r="D3" s="657">
        <v>25</v>
      </c>
      <c r="E3" s="657">
        <v>30</v>
      </c>
      <c r="F3" s="657">
        <v>35</v>
      </c>
      <c r="G3" s="657">
        <v>40</v>
      </c>
      <c r="H3" s="657">
        <v>50</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v>95</v>
      </c>
      <c r="E4" s="988">
        <v>92</v>
      </c>
      <c r="F4" s="988">
        <v>88</v>
      </c>
      <c r="G4" s="988">
        <v>85</v>
      </c>
      <c r="H4" s="988">
        <v>80</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3528" t="s">
        <v>4111</v>
      </c>
      <c r="W5" s="3528" t="s">
        <v>4109</v>
      </c>
      <c r="X5" s="3528" t="s">
        <v>4110</v>
      </c>
      <c r="Y5" s="3528" t="s">
        <v>4112</v>
      </c>
      <c r="Z5" s="3528" t="s">
        <v>4113</v>
      </c>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v>29.05</v>
      </c>
      <c r="W6" s="727">
        <v>12</v>
      </c>
      <c r="X6" s="727">
        <v>4041</v>
      </c>
      <c r="Y6" s="727">
        <v>1</v>
      </c>
      <c r="Z6" s="727">
        <v>1</v>
      </c>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v>21.6</v>
      </c>
      <c r="W7" s="727">
        <v>9</v>
      </c>
      <c r="X7" s="727">
        <v>4286</v>
      </c>
      <c r="Y7" s="727">
        <f>W7/W6-1</f>
        <v>-0.25</v>
      </c>
      <c r="Z7" s="727">
        <f>X7/X6-1</f>
        <v>6.0628557287800033E-2</v>
      </c>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v>44.78</v>
      </c>
      <c r="W8" s="727">
        <v>16</v>
      </c>
      <c r="X8" s="727">
        <v>3607</v>
      </c>
      <c r="Y8" s="727">
        <f>W8/W6-1</f>
        <v>0.33333333333333326</v>
      </c>
      <c r="Z8" s="727">
        <f>X8/X6-1</f>
        <v>-0.10739915862410299</v>
      </c>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v>50.65</v>
      </c>
      <c r="W9" s="727">
        <v>17</v>
      </c>
      <c r="X9" s="727">
        <v>3395</v>
      </c>
      <c r="Y9" s="727">
        <f>W9/W6-1</f>
        <v>0.41666666666666674</v>
      </c>
      <c r="Z9" s="727">
        <f>X9/X6-1</f>
        <v>-0.15986142044048501</v>
      </c>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964</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4041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7" t="s">
        <v>27</v>
      </c>
      <c r="D22" s="3778"/>
      <c r="E22" s="3778"/>
      <c r="F22" s="3778"/>
      <c r="G22" s="3778"/>
      <c r="H22" s="3778"/>
      <c r="I22" s="3778"/>
      <c r="J22" s="3778"/>
      <c r="K22" s="3778"/>
      <c r="L22" s="3778"/>
      <c r="M22" s="3778"/>
      <c r="N22" s="3778"/>
      <c r="O22" s="3778"/>
      <c r="P22" s="3778"/>
      <c r="Q22" s="3779"/>
      <c r="R22" s="662">
        <f ca="1">ROUND(S22*10000/B22,0)</f>
        <v>4041</v>
      </c>
      <c r="S22" s="21">
        <f ca="1">SUM(S24:S10000)</f>
        <v>964</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4037</v>
      </c>
      <c r="S24" s="665">
        <f t="shared" ref="S24:S54" ca="1" si="11">ROUND(R24*B24/10000,0)</f>
        <v>12</v>
      </c>
      <c r="T24" s="729">
        <f ca="1">S22-S24</f>
        <v>952</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4037</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4037</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4037</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4037</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4037</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4037</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4037</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4037</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4037</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4037</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4037</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4037</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4037</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4037</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4037</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4037</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4037</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4037</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4037</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4037</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4037</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4037</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4037</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4037</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4037</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4037</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4037</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4037</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4037</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4037</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4037</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4037</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4037</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4037</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4037</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4037</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4037</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4037</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4037</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4037</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4037</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4037</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4037</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4037</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4037</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4037</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4037</v>
      </c>
      <c r="S71" s="316">
        <f t="shared" ca="1" si="21"/>
        <v>12</v>
      </c>
    </row>
    <row r="72" spans="1:19">
      <c r="A72" s="150" t="str">
        <f>二期车位清单!C50</f>
        <v>B1096</v>
      </c>
      <c r="B72" s="54">
        <f>二期车位清单!E50</f>
        <v>44.78</v>
      </c>
      <c r="C72" s="21">
        <f t="shared" si="12"/>
        <v>0.9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3633</v>
      </c>
      <c r="S72" s="316">
        <f t="shared" ca="1" si="21"/>
        <v>16</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4037</v>
      </c>
      <c r="S73" s="316">
        <f t="shared" ca="1" si="21"/>
        <v>12</v>
      </c>
    </row>
    <row r="74" spans="1:19">
      <c r="A74" s="150" t="str">
        <f>二期车位清单!C52</f>
        <v>B1101</v>
      </c>
      <c r="B74" s="54">
        <f>二期车位清单!E52</f>
        <v>21.6</v>
      </c>
      <c r="C74" s="21">
        <f t="shared" si="12"/>
        <v>1.05</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4239</v>
      </c>
      <c r="S74" s="316">
        <f t="shared" ca="1" si="21"/>
        <v>9</v>
      </c>
    </row>
    <row r="75" spans="1:19">
      <c r="A75" s="150" t="str">
        <f>二期车位清单!C53</f>
        <v>B1102</v>
      </c>
      <c r="B75" s="54">
        <f>二期车位清单!E53</f>
        <v>21.6</v>
      </c>
      <c r="C75" s="21">
        <f t="shared" si="12"/>
        <v>1.05</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4239</v>
      </c>
      <c r="S75" s="316">
        <f t="shared" ca="1" si="21"/>
        <v>9</v>
      </c>
    </row>
    <row r="76" spans="1:19">
      <c r="A76" s="150" t="str">
        <f>二期车位清单!C54</f>
        <v>B1103</v>
      </c>
      <c r="B76" s="54">
        <f>二期车位清单!E54</f>
        <v>21.6</v>
      </c>
      <c r="C76" s="21">
        <f t="shared" si="12"/>
        <v>1.05</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4239</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4037</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4037</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4037</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4037</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4037</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4037</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4037</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4037</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4037</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4037</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4037</v>
      </c>
      <c r="S87" s="316">
        <f t="shared" ca="1" si="22"/>
        <v>12</v>
      </c>
    </row>
    <row r="88" spans="1:19">
      <c r="A88" s="150" t="str">
        <f>二期车位清单!C66</f>
        <v>B1121</v>
      </c>
      <c r="B88" s="54">
        <f>二期车位清单!E66</f>
        <v>50.65</v>
      </c>
      <c r="C88" s="21">
        <f t="shared" si="12"/>
        <v>0.85</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3431</v>
      </c>
      <c r="S88" s="316">
        <f t="shared" ca="1" si="22"/>
        <v>17</v>
      </c>
    </row>
    <row r="89" spans="1:19">
      <c r="A89" s="150" t="str">
        <f>二期车位清单!C67</f>
        <v>B1122</v>
      </c>
      <c r="B89" s="54">
        <f>二期车位清单!E67</f>
        <v>50.65</v>
      </c>
      <c r="C89" s="21">
        <f t="shared" si="12"/>
        <v>0.85</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3431</v>
      </c>
      <c r="S89" s="316">
        <f t="shared" ca="1" si="22"/>
        <v>17</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4037</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4037</v>
      </c>
      <c r="S91" s="316">
        <f t="shared" ca="1" si="22"/>
        <v>12</v>
      </c>
    </row>
    <row r="92" spans="1:19">
      <c r="A92" s="150" t="str">
        <f>二期车位清单!C70</f>
        <v>B1130</v>
      </c>
      <c r="B92" s="54">
        <f>二期车位清单!E70</f>
        <v>44.78</v>
      </c>
      <c r="C92" s="21">
        <f t="shared" si="23"/>
        <v>0.9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3633</v>
      </c>
      <c r="S92" s="316">
        <f t="shared" ca="1" si="22"/>
        <v>16</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4037</v>
      </c>
      <c r="S93" s="316">
        <f t="shared" ca="1" si="22"/>
        <v>12</v>
      </c>
    </row>
    <row r="94" spans="1:19">
      <c r="A94" s="150" t="str">
        <f>二期车位清单!C72</f>
        <v>B1133</v>
      </c>
      <c r="B94" s="54">
        <f>二期车位清单!E72</f>
        <v>44.78</v>
      </c>
      <c r="C94" s="21">
        <f t="shared" si="23"/>
        <v>0.9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3633</v>
      </c>
      <c r="S94" s="316">
        <f t="shared" ca="1" si="22"/>
        <v>16</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4037</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4037</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4037</v>
      </c>
      <c r="S97" s="316">
        <f t="shared" ca="1" si="22"/>
        <v>12</v>
      </c>
    </row>
    <row r="98" spans="1:19">
      <c r="A98" s="150" t="str">
        <f>二期车位清单!C76</f>
        <v>B1152</v>
      </c>
      <c r="B98" s="54">
        <f>二期车位清单!E76</f>
        <v>21.6</v>
      </c>
      <c r="C98" s="21">
        <f t="shared" si="23"/>
        <v>1.05</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4239</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4037</v>
      </c>
      <c r="S99" s="316">
        <f t="shared" ca="1" si="22"/>
        <v>12</v>
      </c>
    </row>
    <row r="100" spans="1:19">
      <c r="A100" s="150" t="str">
        <f>二期车位清单!C78</f>
        <v>B1156</v>
      </c>
      <c r="B100" s="54">
        <f>二期车位清单!E78</f>
        <v>44.78</v>
      </c>
      <c r="C100" s="21">
        <f t="shared" si="23"/>
        <v>0.9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3633</v>
      </c>
      <c r="S100" s="316">
        <f t="shared" ca="1" si="22"/>
        <v>16</v>
      </c>
    </row>
    <row r="101" spans="1:19">
      <c r="A101" s="150" t="str">
        <f>二期车位清单!C79</f>
        <v>B1157</v>
      </c>
      <c r="B101" s="54">
        <f>二期车位清单!E79</f>
        <v>21.6</v>
      </c>
      <c r="C101" s="21">
        <f t="shared" si="23"/>
        <v>1.05</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4239</v>
      </c>
      <c r="S101" s="316">
        <f t="shared" ca="1" si="22"/>
        <v>9</v>
      </c>
    </row>
    <row r="102" spans="1:19">
      <c r="A102" s="150" t="str">
        <f>二期车位清单!C80</f>
        <v>B1158</v>
      </c>
      <c r="B102" s="54">
        <f>二期车位清单!E80</f>
        <v>50.65</v>
      </c>
      <c r="C102" s="21">
        <f t="shared" si="23"/>
        <v>0.85</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3431</v>
      </c>
      <c r="S102" s="316">
        <f t="shared" ca="1" si="22"/>
        <v>17</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7"/>
  <sheetViews>
    <sheetView topLeftCell="A22" zoomScale="70" zoomScaleNormal="70" workbookViewId="0">
      <selection activeCell="Y24" sqref="Y24"/>
    </sheetView>
  </sheetViews>
  <sheetFormatPr defaultColWidth="9" defaultRowHeight="14.25"/>
  <cols>
    <col min="1" max="1" width="9" style="3464"/>
    <col min="2" max="2" width="7" style="3464" customWidth="1"/>
    <col min="3" max="3" width="10.875" style="3464" customWidth="1"/>
    <col min="4" max="4" width="10.375" style="3464" customWidth="1"/>
    <col min="5" max="16384" width="9" style="3464"/>
  </cols>
  <sheetData>
    <row r="2" spans="2:6">
      <c r="B2" s="3525" t="s">
        <v>4093</v>
      </c>
      <c r="C2" s="3525" t="s">
        <v>4094</v>
      </c>
      <c r="D2" s="3525" t="s">
        <v>4095</v>
      </c>
      <c r="E2" s="3525" t="s">
        <v>4100</v>
      </c>
      <c r="F2" s="3525" t="s">
        <v>4108</v>
      </c>
    </row>
    <row r="3" spans="2:6">
      <c r="B3" s="3524">
        <v>1</v>
      </c>
      <c r="C3" s="3524" t="str">
        <f>'典型户型修正-住宅'!A24</f>
        <v>22-1-401</v>
      </c>
      <c r="D3" s="3524">
        <f>'典型户型修正-住宅'!B24</f>
        <v>86.99</v>
      </c>
      <c r="E3" s="3524" t="s">
        <v>4101</v>
      </c>
      <c r="F3" s="3524">
        <f ca="1">'典型户型修正-住宅'!S24</f>
        <v>307</v>
      </c>
    </row>
    <row r="4" spans="2:6">
      <c r="B4" s="3524">
        <v>2</v>
      </c>
      <c r="C4" s="3524" t="str">
        <f>'典型户型修正-住宅'!A25</f>
        <v>22-1-102</v>
      </c>
      <c r="D4" s="3524">
        <f>'典型户型修正-住宅'!B25</f>
        <v>89.65</v>
      </c>
      <c r="E4" s="3524" t="s">
        <v>4101</v>
      </c>
      <c r="F4" s="3524">
        <f ca="1">'典型户型修正-住宅'!S25</f>
        <v>304</v>
      </c>
    </row>
    <row r="5" spans="2:6">
      <c r="B5" s="3524">
        <v>3</v>
      </c>
      <c r="C5" s="3524" t="str">
        <f>'典型户型修正-住宅'!A26</f>
        <v>22-1-202</v>
      </c>
      <c r="D5" s="3524">
        <f>'典型户型修正-住宅'!B26</f>
        <v>89.65</v>
      </c>
      <c r="E5" s="3524" t="s">
        <v>4101</v>
      </c>
      <c r="F5" s="3524">
        <f ca="1">'典型户型修正-住宅'!S26</f>
        <v>310</v>
      </c>
    </row>
    <row r="6" spans="2:6">
      <c r="B6" s="3524">
        <v>4</v>
      </c>
      <c r="C6" s="3524" t="str">
        <f>'典型户型修正-住宅'!A27</f>
        <v>22-1-301</v>
      </c>
      <c r="D6" s="3524">
        <f>'典型户型修正-住宅'!B27</f>
        <v>86.99</v>
      </c>
      <c r="E6" s="3524" t="s">
        <v>4101</v>
      </c>
      <c r="F6" s="3524">
        <f ca="1">'典型户型修正-住宅'!S27</f>
        <v>301</v>
      </c>
    </row>
    <row r="7" spans="2:6">
      <c r="B7" s="3524">
        <v>5</v>
      </c>
      <c r="C7" s="3524" t="str">
        <f>'典型户型修正-住宅'!A29</f>
        <v>22-1-402</v>
      </c>
      <c r="D7" s="3524">
        <f>'典型户型修正-住宅'!B29</f>
        <v>89.65</v>
      </c>
      <c r="E7" s="3524" t="s">
        <v>4101</v>
      </c>
      <c r="F7" s="3524">
        <f ca="1">'典型户型修正-住宅'!S29</f>
        <v>316</v>
      </c>
    </row>
    <row r="8" spans="2:6">
      <c r="B8" s="3524">
        <v>6</v>
      </c>
      <c r="C8" s="3524" t="str">
        <f>'典型户型修正-住宅'!A30</f>
        <v>22-1-601</v>
      </c>
      <c r="D8" s="3524">
        <f>'典型户型修正-住宅'!B30</f>
        <v>86.99</v>
      </c>
      <c r="E8" s="3524" t="s">
        <v>4101</v>
      </c>
      <c r="F8" s="3524">
        <f ca="1">'典型户型修正-住宅'!S30</f>
        <v>307</v>
      </c>
    </row>
    <row r="9" spans="2:6">
      <c r="B9" s="3524">
        <v>7</v>
      </c>
      <c r="C9" s="3524" t="str">
        <f>'典型户型修正-住宅'!A31</f>
        <v>22-1-801</v>
      </c>
      <c r="D9" s="3524">
        <f>'典型户型修正-住宅'!B31</f>
        <v>86.99</v>
      </c>
      <c r="E9" s="3524" t="s">
        <v>4101</v>
      </c>
      <c r="F9" s="3524">
        <f ca="1">'典型户型修正-住宅'!S31</f>
        <v>313</v>
      </c>
    </row>
    <row r="10" spans="2:6">
      <c r="B10" s="3524">
        <v>8</v>
      </c>
      <c r="C10" s="3524" t="str">
        <f>'典型户型修正-住宅'!A32</f>
        <v>22-2-901</v>
      </c>
      <c r="D10" s="3524">
        <f>'典型户型修正-住宅'!B32</f>
        <v>82.98</v>
      </c>
      <c r="E10" s="3524" t="s">
        <v>4101</v>
      </c>
      <c r="F10" s="3524">
        <f ca="1">'典型户型修正-住宅'!S32</f>
        <v>299</v>
      </c>
    </row>
    <row r="11" spans="2:6">
      <c r="B11" s="3524">
        <v>9</v>
      </c>
      <c r="C11" s="3524" t="str">
        <f>'典型户型修正-住宅'!A33</f>
        <v>18-1-101</v>
      </c>
      <c r="D11" s="3524">
        <f>'典型户型修正-住宅'!B33</f>
        <v>86.93</v>
      </c>
      <c r="E11" s="3524" t="s">
        <v>4101</v>
      </c>
      <c r="F11" s="3524">
        <f ca="1">'典型户型修正-住宅'!S33</f>
        <v>294</v>
      </c>
    </row>
    <row r="12" spans="2:6">
      <c r="B12" s="3524">
        <v>10</v>
      </c>
      <c r="C12" s="3524" t="str">
        <f>'典型户型修正-住宅'!A34</f>
        <v>18-1-301</v>
      </c>
      <c r="D12" s="3524">
        <f>'典型户型修正-住宅'!B34</f>
        <v>86.93</v>
      </c>
      <c r="E12" s="3524" t="s">
        <v>4101</v>
      </c>
      <c r="F12" s="3524">
        <f ca="1">'典型户型修正-住宅'!S34</f>
        <v>301</v>
      </c>
    </row>
    <row r="13" spans="2:6">
      <c r="B13" s="3524">
        <v>11</v>
      </c>
      <c r="C13" s="3524" t="str">
        <f>'典型户型修正-住宅'!A35</f>
        <v>18-2-101</v>
      </c>
      <c r="D13" s="3524">
        <f>'典型户型修正-住宅'!B35</f>
        <v>89.65</v>
      </c>
      <c r="E13" s="3524" t="s">
        <v>4101</v>
      </c>
      <c r="F13" s="3524">
        <f ca="1">'典型户型修正-住宅'!S35</f>
        <v>304</v>
      </c>
    </row>
    <row r="14" spans="2:6">
      <c r="B14" s="3524">
        <v>12</v>
      </c>
      <c r="C14" s="3524" t="str">
        <f>'典型户型修正-住宅'!A36</f>
        <v>18-2-1002</v>
      </c>
      <c r="D14" s="3524">
        <f>'典型户型修正-住宅'!B36</f>
        <v>86.99</v>
      </c>
      <c r="E14" s="3524" t="s">
        <v>4101</v>
      </c>
      <c r="F14" s="3524">
        <f ca="1">'典型户型修正-住宅'!S36</f>
        <v>295</v>
      </c>
    </row>
    <row r="15" spans="2:6">
      <c r="B15" s="3524">
        <v>13</v>
      </c>
      <c r="C15" s="3524" t="str">
        <f>'典型户型修正-住宅'!A37</f>
        <v>17-1-102</v>
      </c>
      <c r="D15" s="3524">
        <f>'典型户型修正-住宅'!B37</f>
        <v>89.7</v>
      </c>
      <c r="E15" s="3524" t="s">
        <v>4101</v>
      </c>
      <c r="F15" s="3524">
        <f ca="1">'典型户型修正-住宅'!S37</f>
        <v>310</v>
      </c>
    </row>
    <row r="16" spans="2:6">
      <c r="B16" s="3524">
        <v>14</v>
      </c>
      <c r="C16" s="3524" t="str">
        <f>'典型户型修正-住宅'!A38</f>
        <v>17-1-202</v>
      </c>
      <c r="D16" s="3524">
        <f>'典型户型修正-住宅'!B38</f>
        <v>89.7</v>
      </c>
      <c r="E16" s="3524" t="s">
        <v>4101</v>
      </c>
      <c r="F16" s="3524">
        <f ca="1">'典型户型修正-住宅'!S38</f>
        <v>310</v>
      </c>
    </row>
    <row r="17" spans="2:6">
      <c r="B17" s="3524">
        <v>15</v>
      </c>
      <c r="C17" s="3524" t="str">
        <f>'典型户型修正-住宅'!A39</f>
        <v>17-2-101</v>
      </c>
      <c r="D17" s="3524">
        <f>'典型户型修正-住宅'!B39</f>
        <v>89.7</v>
      </c>
      <c r="E17" s="3524" t="s">
        <v>4101</v>
      </c>
      <c r="F17" s="3524">
        <f ca="1">'典型户型修正-住宅'!S39</f>
        <v>304</v>
      </c>
    </row>
    <row r="18" spans="2:6">
      <c r="B18" s="3524">
        <v>16</v>
      </c>
      <c r="C18" s="3524" t="str">
        <f>'典型户型修正-住宅'!A40</f>
        <v>17-2-201</v>
      </c>
      <c r="D18" s="3524">
        <f>'典型户型修正-住宅'!B40</f>
        <v>89.7</v>
      </c>
      <c r="E18" s="3524" t="s">
        <v>4101</v>
      </c>
      <c r="F18" s="3524">
        <f ca="1">'典型户型修正-住宅'!S40</f>
        <v>310</v>
      </c>
    </row>
    <row r="19" spans="2:6">
      <c r="B19" s="3524">
        <v>17</v>
      </c>
      <c r="C19" s="3524" t="str">
        <f>'典型户型修正-住宅'!A41</f>
        <v>17-2-1001</v>
      </c>
      <c r="D19" s="3524">
        <f>'典型户型修正-住宅'!B41</f>
        <v>89.7</v>
      </c>
      <c r="E19" s="3524" t="s">
        <v>4101</v>
      </c>
      <c r="F19" s="3524">
        <f ca="1">'典型户型修正-住宅'!S41</f>
        <v>323</v>
      </c>
    </row>
    <row r="20" spans="2:6">
      <c r="B20" s="3524">
        <v>18</v>
      </c>
      <c r="C20" s="3524" t="str">
        <f>'典型户型修正-住宅'!A42</f>
        <v>15-1-101</v>
      </c>
      <c r="D20" s="3524">
        <f>'典型户型修正-住宅'!B42</f>
        <v>84.16</v>
      </c>
      <c r="E20" s="3524" t="s">
        <v>4101</v>
      </c>
      <c r="F20" s="3524">
        <f ca="1">'典型户型修正-住宅'!S42</f>
        <v>285</v>
      </c>
    </row>
    <row r="21" spans="2:6">
      <c r="B21" s="3524">
        <v>19</v>
      </c>
      <c r="C21" s="3524" t="str">
        <f>'典型户型修正-住宅'!A43</f>
        <v>15-1-201</v>
      </c>
      <c r="D21" s="3524">
        <f>'典型户型修正-住宅'!B43</f>
        <v>84.16</v>
      </c>
      <c r="E21" s="3524" t="s">
        <v>4101</v>
      </c>
      <c r="F21" s="3524">
        <f ca="1">'典型户型修正-住宅'!S43</f>
        <v>291</v>
      </c>
    </row>
    <row r="22" spans="2:6">
      <c r="B22" s="3524">
        <v>20</v>
      </c>
      <c r="C22" s="3524" t="str">
        <f>'典型户型修正-住宅'!A44</f>
        <v>15-1-501</v>
      </c>
      <c r="D22" s="3524">
        <f>'典型户型修正-住宅'!B44</f>
        <v>84.16</v>
      </c>
      <c r="E22" s="3524" t="s">
        <v>4101</v>
      </c>
      <c r="F22" s="3524">
        <f ca="1">'典型户型修正-住宅'!S44</f>
        <v>297</v>
      </c>
    </row>
    <row r="23" spans="2:6">
      <c r="B23" s="3524">
        <v>21</v>
      </c>
      <c r="C23" s="3524" t="str">
        <f>'典型户型修正-住宅'!A45</f>
        <v>15-2-102</v>
      </c>
      <c r="D23" s="3524">
        <f>'典型户型修正-住宅'!B45</f>
        <v>168.31</v>
      </c>
      <c r="E23" s="3524" t="s">
        <v>4101</v>
      </c>
      <c r="F23" s="3524">
        <f ca="1">'典型户型修正-住宅'!S45</f>
        <v>559</v>
      </c>
    </row>
    <row r="24" spans="2:6">
      <c r="B24" s="3524">
        <v>22</v>
      </c>
      <c r="C24" s="3524" t="str">
        <f>'典型户型修正-住宅'!A46</f>
        <v>15-2-702</v>
      </c>
      <c r="D24" s="3524">
        <f>'典型户型修正-住宅'!B46</f>
        <v>84.16</v>
      </c>
      <c r="E24" s="3524" t="s">
        <v>4101</v>
      </c>
      <c r="F24" s="3524">
        <f ca="1">'典型户型修正-住宅'!S46</f>
        <v>297</v>
      </c>
    </row>
    <row r="25" spans="2:6">
      <c r="B25" s="3524">
        <v>23</v>
      </c>
      <c r="C25" s="3524" t="str">
        <f>'典型户型修正-住宅'!A47</f>
        <v>15-2-802</v>
      </c>
      <c r="D25" s="3524">
        <f>'典型户型修正-住宅'!B47</f>
        <v>84.16</v>
      </c>
      <c r="E25" s="3524" t="s">
        <v>4101</v>
      </c>
      <c r="F25" s="3524">
        <f ca="1">'典型户型修正-住宅'!S47</f>
        <v>303</v>
      </c>
    </row>
    <row r="26" spans="2:6">
      <c r="B26" s="3524">
        <v>24</v>
      </c>
      <c r="C26" s="3524" t="str">
        <f>'典型户型修正-住宅'!A48</f>
        <v>15-2-902</v>
      </c>
      <c r="D26" s="3524">
        <f>'典型户型修正-住宅'!B48</f>
        <v>84.16</v>
      </c>
      <c r="E26" s="3524" t="s">
        <v>4101</v>
      </c>
      <c r="F26" s="3524">
        <f ca="1">'典型户型修正-住宅'!S48</f>
        <v>303</v>
      </c>
    </row>
    <row r="27" spans="2:6">
      <c r="B27" s="3524">
        <v>25</v>
      </c>
      <c r="C27" s="3524" t="str">
        <f>'典型户型修正-住宅'!A49</f>
        <v>15-2-1101</v>
      </c>
      <c r="D27" s="3524">
        <f>'典型户型修正-住宅'!B49</f>
        <v>109.42</v>
      </c>
      <c r="E27" s="3524" t="s">
        <v>4101</v>
      </c>
      <c r="F27" s="3524">
        <f ca="1">'典型户型修正-住宅'!S49</f>
        <v>367</v>
      </c>
    </row>
    <row r="28" spans="2:6">
      <c r="B28" s="3524">
        <v>26</v>
      </c>
      <c r="C28" s="3524" t="str">
        <f>'典型户型修正-住宅'!A50</f>
        <v>15-2-1102</v>
      </c>
      <c r="D28" s="3524">
        <f>'典型户型修正-住宅'!B50</f>
        <v>84.16</v>
      </c>
      <c r="E28" s="3524" t="s">
        <v>4101</v>
      </c>
      <c r="F28" s="3524">
        <f ca="1">'典型户型修正-住宅'!S50</f>
        <v>285</v>
      </c>
    </row>
    <row r="29" spans="2:6">
      <c r="B29" s="3524">
        <v>27</v>
      </c>
      <c r="C29" s="3524" t="str">
        <f>'典型户型修正-住宅'!A51</f>
        <v>16-1-102</v>
      </c>
      <c r="D29" s="3524">
        <f>'典型户型修正-住宅'!B51</f>
        <v>89.7</v>
      </c>
      <c r="E29" s="3524" t="s">
        <v>4101</v>
      </c>
      <c r="F29" s="3524">
        <f ca="1">'典型户型修正-住宅'!S51</f>
        <v>304</v>
      </c>
    </row>
    <row r="30" spans="2:6">
      <c r="B30" s="3524">
        <v>28</v>
      </c>
      <c r="C30" s="3524" t="str">
        <f>'典型户型修正-住宅'!A52</f>
        <v>16-1-201</v>
      </c>
      <c r="D30" s="3524">
        <f>'典型户型修正-住宅'!B52</f>
        <v>87.04</v>
      </c>
      <c r="E30" s="3524" t="s">
        <v>4101</v>
      </c>
      <c r="F30" s="3524">
        <f ca="1">'典型户型修正-住宅'!S52</f>
        <v>301</v>
      </c>
    </row>
    <row r="31" spans="2:6">
      <c r="B31" s="3524">
        <v>29</v>
      </c>
      <c r="C31" s="3524" t="str">
        <f>'典型户型修正-住宅'!A53</f>
        <v>16-2-101</v>
      </c>
      <c r="D31" s="3524">
        <f>'典型户型修正-住宅'!B53</f>
        <v>89.7</v>
      </c>
      <c r="E31" s="3524" t="s">
        <v>4101</v>
      </c>
      <c r="F31" s="3524">
        <f ca="1">'典型户型修正-住宅'!S53</f>
        <v>304</v>
      </c>
    </row>
    <row r="32" spans="2:6">
      <c r="B32" s="3524">
        <v>30</v>
      </c>
      <c r="C32" s="3524" t="str">
        <f>'典型户型修正-住宅'!A54</f>
        <v>12-1-1101</v>
      </c>
      <c r="D32" s="3524">
        <f>'典型户型修正-住宅'!B54</f>
        <v>86.53</v>
      </c>
      <c r="E32" s="3524" t="s">
        <v>4101</v>
      </c>
      <c r="F32" s="3524">
        <f ca="1">'典型户型修正-住宅'!S54</f>
        <v>293</v>
      </c>
    </row>
    <row r="33" spans="2:6">
      <c r="B33" s="3524">
        <v>31</v>
      </c>
      <c r="C33" s="3524" t="str">
        <f>'典型户型修正-住宅'!A55</f>
        <v>12-1-502</v>
      </c>
      <c r="D33" s="3524">
        <f>'典型户型修正-住宅'!B55</f>
        <v>82.59</v>
      </c>
      <c r="E33" s="3524" t="s">
        <v>4101</v>
      </c>
      <c r="F33" s="3524">
        <f ca="1">'典型户型修正-住宅'!S55</f>
        <v>291</v>
      </c>
    </row>
    <row r="34" spans="2:6">
      <c r="B34" s="3524">
        <v>32</v>
      </c>
      <c r="C34" s="3524" t="str">
        <f>'典型户型修正-住宅'!A56</f>
        <v>12-2-1001</v>
      </c>
      <c r="D34" s="3524">
        <f>'典型户型修正-住宅'!B56</f>
        <v>82.59</v>
      </c>
      <c r="E34" s="3524" t="s">
        <v>4101</v>
      </c>
      <c r="F34" s="3524">
        <f ca="1">'典型户型修正-住宅'!S56</f>
        <v>297</v>
      </c>
    </row>
    <row r="35" spans="2:6">
      <c r="B35" s="3524">
        <v>33</v>
      </c>
      <c r="C35" s="3524" t="str">
        <f>'典型户型修正-住宅'!A57</f>
        <v>12-2-1101</v>
      </c>
      <c r="D35" s="3524">
        <f>'典型户型修正-住宅'!B57</f>
        <v>82.59</v>
      </c>
      <c r="E35" s="3524" t="s">
        <v>4101</v>
      </c>
      <c r="F35" s="3524">
        <f ca="1">'典型户型修正-住宅'!S57</f>
        <v>280</v>
      </c>
    </row>
    <row r="36" spans="2:6">
      <c r="B36" s="3524">
        <v>34</v>
      </c>
      <c r="C36" s="3524" t="str">
        <f>'典型户型修正-住宅'!A58</f>
        <v>12-2-1102</v>
      </c>
      <c r="D36" s="3524">
        <f>'典型户型修正-住宅'!B58</f>
        <v>86.53</v>
      </c>
      <c r="E36" s="3524" t="s">
        <v>4101</v>
      </c>
      <c r="F36" s="3524">
        <f ca="1">'典型户型修正-住宅'!S58</f>
        <v>293</v>
      </c>
    </row>
    <row r="37" spans="2:6">
      <c r="B37" s="3524">
        <v>35</v>
      </c>
      <c r="C37" s="3524" t="str">
        <f>'典型户型修正-住宅'!A59</f>
        <v>11-1-201</v>
      </c>
      <c r="D37" s="3524">
        <f>'典型户型修正-住宅'!B59</f>
        <v>87.39</v>
      </c>
      <c r="E37" s="3524" t="s">
        <v>4101</v>
      </c>
      <c r="F37" s="3524">
        <f ca="1">'典型户型修正-住宅'!S59</f>
        <v>302</v>
      </c>
    </row>
    <row r="38" spans="2:6">
      <c r="B38" s="3524">
        <v>36</v>
      </c>
      <c r="C38" s="3524" t="str">
        <f>'典型户型修正-住宅'!A60</f>
        <v>11-1-401</v>
      </c>
      <c r="D38" s="3524">
        <f>'典型户型修正-住宅'!B60</f>
        <v>87.39</v>
      </c>
      <c r="E38" s="3524" t="s">
        <v>4101</v>
      </c>
      <c r="F38" s="3524">
        <f ca="1">'典型户型修正-住宅'!S60</f>
        <v>302</v>
      </c>
    </row>
    <row r="39" spans="2:6">
      <c r="B39" s="3524">
        <v>37</v>
      </c>
      <c r="C39" s="3524" t="str">
        <f>'典型户型修正-住宅'!A61</f>
        <v>11-1-601</v>
      </c>
      <c r="D39" s="3524">
        <f>'典型户型修正-住宅'!B61</f>
        <v>87.39</v>
      </c>
      <c r="E39" s="3524" t="s">
        <v>4101</v>
      </c>
      <c r="F39" s="3524">
        <f ca="1">'典型户型修正-住宅'!S61</f>
        <v>308</v>
      </c>
    </row>
    <row r="40" spans="2:6">
      <c r="B40" s="3524">
        <v>38</v>
      </c>
      <c r="C40" s="3524" t="str">
        <f>'典型户型修正-住宅'!A62</f>
        <v>11-1-801</v>
      </c>
      <c r="D40" s="3524">
        <f>'典型户型修正-住宅'!B62</f>
        <v>87.39</v>
      </c>
      <c r="E40" s="3524" t="s">
        <v>4101</v>
      </c>
      <c r="F40" s="3524">
        <f ca="1">'典型户型修正-住宅'!S62</f>
        <v>314</v>
      </c>
    </row>
    <row r="41" spans="2:6">
      <c r="B41" s="3524">
        <v>39</v>
      </c>
      <c r="C41" s="3524" t="str">
        <f>'典型户型修正-住宅'!A63</f>
        <v>11-1-1101</v>
      </c>
      <c r="D41" s="3524">
        <f>'典型户型修正-住宅'!B63</f>
        <v>87.39</v>
      </c>
      <c r="E41" s="3524" t="s">
        <v>4101</v>
      </c>
      <c r="F41" s="3524">
        <f ca="1">'典型户型修正-住宅'!S63</f>
        <v>296</v>
      </c>
    </row>
    <row r="42" spans="2:6">
      <c r="B42" s="3524">
        <v>40</v>
      </c>
      <c r="C42" s="3524" t="str">
        <f>'典型户型修正-住宅'!A64</f>
        <v>7-1-101</v>
      </c>
      <c r="D42" s="3524">
        <f>'典型户型修正-住宅'!B64</f>
        <v>85.89</v>
      </c>
      <c r="E42" s="3524" t="s">
        <v>4101</v>
      </c>
      <c r="F42" s="3524">
        <f ca="1">'典型户型修正-住宅'!S64</f>
        <v>291</v>
      </c>
    </row>
    <row r="43" spans="2:6">
      <c r="B43" s="3524">
        <v>41</v>
      </c>
      <c r="C43" s="3524" t="str">
        <f>'典型户型修正-住宅'!A65</f>
        <v>7-1-201</v>
      </c>
      <c r="D43" s="3524">
        <f>'典型户型修正-住宅'!B65</f>
        <v>85.89</v>
      </c>
      <c r="E43" s="3524" t="s">
        <v>4101</v>
      </c>
      <c r="F43" s="3524">
        <f ca="1">'典型户型修正-住宅'!S65</f>
        <v>297</v>
      </c>
    </row>
    <row r="44" spans="2:6">
      <c r="B44" s="3524">
        <v>42</v>
      </c>
      <c r="C44" s="3524" t="str">
        <f>'典型户型修正-住宅'!A66</f>
        <v>7-1-202</v>
      </c>
      <c r="D44" s="3524">
        <f>'典型户型修正-住宅'!B66</f>
        <v>81.99</v>
      </c>
      <c r="E44" s="3524" t="s">
        <v>4101</v>
      </c>
      <c r="F44" s="3524">
        <f ca="1">'典型户型修正-住宅'!S66</f>
        <v>283</v>
      </c>
    </row>
    <row r="45" spans="2:6">
      <c r="B45" s="3524">
        <v>43</v>
      </c>
      <c r="C45" s="3524" t="str">
        <f>'典型户型修正-住宅'!A67</f>
        <v>7-1-301</v>
      </c>
      <c r="D45" s="3524">
        <f>'典型户型修正-住宅'!B67</f>
        <v>85.89</v>
      </c>
      <c r="E45" s="3524" t="s">
        <v>4101</v>
      </c>
      <c r="F45" s="3524">
        <f ca="1">'典型户型修正-住宅'!S67</f>
        <v>297</v>
      </c>
    </row>
    <row r="46" spans="2:6">
      <c r="B46" s="3524">
        <v>44</v>
      </c>
      <c r="C46" s="3524" t="str">
        <f>'典型户型修正-住宅'!A68</f>
        <v>7-1-302</v>
      </c>
      <c r="D46" s="3524">
        <f>'典型户型修正-住宅'!B68</f>
        <v>81.99</v>
      </c>
      <c r="E46" s="3524" t="s">
        <v>4101</v>
      </c>
      <c r="F46" s="3524">
        <f ca="1">'典型户型修正-住宅'!S68</f>
        <v>283</v>
      </c>
    </row>
    <row r="47" spans="2:6">
      <c r="B47" s="3524">
        <v>45</v>
      </c>
      <c r="C47" s="3524" t="str">
        <f>'典型户型修正-住宅'!A69</f>
        <v>7-1-401</v>
      </c>
      <c r="D47" s="3524">
        <f>'典型户型修正-住宅'!B69</f>
        <v>85.89</v>
      </c>
      <c r="E47" s="3524" t="s">
        <v>4101</v>
      </c>
      <c r="F47" s="3524">
        <f ca="1">'典型户型修正-住宅'!S69</f>
        <v>303</v>
      </c>
    </row>
    <row r="48" spans="2:6">
      <c r="B48" s="3524">
        <v>46</v>
      </c>
      <c r="C48" s="3524" t="str">
        <f>'典型户型修正-住宅'!A70</f>
        <v>7-1-402</v>
      </c>
      <c r="D48" s="3524">
        <f>'典型户型修正-住宅'!B70</f>
        <v>81.99</v>
      </c>
      <c r="E48" s="3524" t="s">
        <v>4101</v>
      </c>
      <c r="F48" s="3524">
        <f ca="1">'典型户型修正-住宅'!S70</f>
        <v>289</v>
      </c>
    </row>
    <row r="49" spans="2:6">
      <c r="B49" s="3524">
        <v>47</v>
      </c>
      <c r="C49" s="3524" t="str">
        <f>'典型户型修正-住宅'!A71</f>
        <v>7-1-501</v>
      </c>
      <c r="D49" s="3524">
        <f>'典型户型修正-住宅'!B71</f>
        <v>85.89</v>
      </c>
      <c r="E49" s="3524" t="s">
        <v>4101</v>
      </c>
      <c r="F49" s="3524">
        <f ca="1">'典型户型修正-住宅'!S71</f>
        <v>303</v>
      </c>
    </row>
    <row r="50" spans="2:6">
      <c r="B50" s="3524">
        <v>48</v>
      </c>
      <c r="C50" s="3524" t="str">
        <f>'典型户型修正-住宅'!A72</f>
        <v>7-1-502</v>
      </c>
      <c r="D50" s="3524">
        <f>'典型户型修正-住宅'!B72</f>
        <v>81.99</v>
      </c>
      <c r="E50" s="3524" t="s">
        <v>4101</v>
      </c>
      <c r="F50" s="3524">
        <f ca="1">'典型户型修正-住宅'!S72</f>
        <v>289</v>
      </c>
    </row>
    <row r="51" spans="2:6">
      <c r="B51" s="3524">
        <v>49</v>
      </c>
      <c r="C51" s="3524" t="str">
        <f>'典型户型修正-住宅'!A73</f>
        <v>7-1-601</v>
      </c>
      <c r="D51" s="3524">
        <f>'典型户型修正-住宅'!B73</f>
        <v>85.89</v>
      </c>
      <c r="E51" s="3524" t="s">
        <v>4101</v>
      </c>
      <c r="F51" s="3524">
        <f ca="1">'典型户型修正-住宅'!S73</f>
        <v>303</v>
      </c>
    </row>
    <row r="52" spans="2:6">
      <c r="B52" s="3524">
        <v>50</v>
      </c>
      <c r="C52" s="3524" t="str">
        <f>'典型户型修正-住宅'!A74</f>
        <v>7-1-701</v>
      </c>
      <c r="D52" s="3524">
        <f>'典型户型修正-住宅'!B74</f>
        <v>85.89</v>
      </c>
      <c r="E52" s="3524" t="s">
        <v>4101</v>
      </c>
      <c r="F52" s="3524">
        <f ca="1">'典型户型修正-住宅'!S74</f>
        <v>309</v>
      </c>
    </row>
    <row r="53" spans="2:6">
      <c r="B53" s="3524">
        <v>51</v>
      </c>
      <c r="C53" s="3524" t="str">
        <f>'典型户型修正-住宅'!A75</f>
        <v>7-1-801</v>
      </c>
      <c r="D53" s="3524">
        <f>'典型户型修正-住宅'!B75</f>
        <v>85.89</v>
      </c>
      <c r="E53" s="3524" t="s">
        <v>4101</v>
      </c>
      <c r="F53" s="3524">
        <f ca="1">'典型户型修正-住宅'!S75</f>
        <v>309</v>
      </c>
    </row>
    <row r="54" spans="2:6">
      <c r="B54" s="3524">
        <v>52</v>
      </c>
      <c r="C54" s="3524" t="str">
        <f>'典型户型修正-住宅'!A76</f>
        <v>7-1-802</v>
      </c>
      <c r="D54" s="3524">
        <f>'典型户型修正-住宅'!B76</f>
        <v>81.99</v>
      </c>
      <c r="E54" s="3524" t="s">
        <v>4101</v>
      </c>
      <c r="F54" s="3524">
        <f ca="1">'典型户型修正-住宅'!S76</f>
        <v>295</v>
      </c>
    </row>
    <row r="55" spans="2:6">
      <c r="B55" s="3524">
        <v>53</v>
      </c>
      <c r="C55" s="3524" t="str">
        <f>'典型户型修正-住宅'!A77</f>
        <v>7-1-901</v>
      </c>
      <c r="D55" s="3524">
        <f>'典型户型修正-住宅'!B77</f>
        <v>85.89</v>
      </c>
      <c r="E55" s="3524" t="s">
        <v>4101</v>
      </c>
      <c r="F55" s="3524">
        <f ca="1">'典型户型修正-住宅'!S77</f>
        <v>291</v>
      </c>
    </row>
    <row r="56" spans="2:6">
      <c r="B56" s="3524">
        <v>54</v>
      </c>
      <c r="C56" s="3524" t="str">
        <f>'典型户型修正-住宅'!A78</f>
        <v>7-2-102</v>
      </c>
      <c r="D56" s="3524">
        <f>'典型户型修正-住宅'!B78</f>
        <v>85.89</v>
      </c>
      <c r="E56" s="3524" t="s">
        <v>4101</v>
      </c>
      <c r="F56" s="3524">
        <f ca="1">'典型户型修正-住宅'!S78</f>
        <v>291</v>
      </c>
    </row>
    <row r="57" spans="2:6">
      <c r="B57" s="3524">
        <v>55</v>
      </c>
      <c r="C57" s="3524" t="str">
        <f>'典型户型修正-住宅'!A79</f>
        <v>7-2-201</v>
      </c>
      <c r="D57" s="3524">
        <f>'典型户型修正-住宅'!B79</f>
        <v>81.99</v>
      </c>
      <c r="E57" s="3524" t="s">
        <v>4101</v>
      </c>
      <c r="F57" s="3524">
        <f ca="1">'典型户型修正-住宅'!S79</f>
        <v>283</v>
      </c>
    </row>
    <row r="58" spans="2:6">
      <c r="B58" s="3524">
        <v>56</v>
      </c>
      <c r="C58" s="3524" t="str">
        <f>'典型户型修正-住宅'!A80</f>
        <v>7-2-202</v>
      </c>
      <c r="D58" s="3524">
        <f>'典型户型修正-住宅'!B80</f>
        <v>85.89</v>
      </c>
      <c r="E58" s="3524" t="s">
        <v>4101</v>
      </c>
      <c r="F58" s="3524">
        <f ca="1">'典型户型修正-住宅'!S80</f>
        <v>297</v>
      </c>
    </row>
    <row r="59" spans="2:6">
      <c r="B59" s="3524">
        <v>57</v>
      </c>
      <c r="C59" s="3524" t="str">
        <f>'典型户型修正-住宅'!A81</f>
        <v>7-2-301</v>
      </c>
      <c r="D59" s="3524">
        <f>'典型户型修正-住宅'!B81</f>
        <v>81.99</v>
      </c>
      <c r="E59" s="3524" t="s">
        <v>4101</v>
      </c>
      <c r="F59" s="3524">
        <f ca="1">'典型户型修正-住宅'!S81</f>
        <v>283</v>
      </c>
    </row>
    <row r="60" spans="2:6">
      <c r="B60" s="3524">
        <v>58</v>
      </c>
      <c r="C60" s="3524" t="str">
        <f>'典型户型修正-住宅'!A82</f>
        <v>7-2-302</v>
      </c>
      <c r="D60" s="3524">
        <f>'典型户型修正-住宅'!B82</f>
        <v>85.89</v>
      </c>
      <c r="E60" s="3524" t="s">
        <v>4101</v>
      </c>
      <c r="F60" s="3524">
        <f ca="1">'典型户型修正-住宅'!S82</f>
        <v>297</v>
      </c>
    </row>
    <row r="61" spans="2:6">
      <c r="B61" s="3524">
        <v>59</v>
      </c>
      <c r="C61" s="3524" t="str">
        <f>'典型户型修正-住宅'!A83</f>
        <v>7-2-401</v>
      </c>
      <c r="D61" s="3524">
        <f>'典型户型修正-住宅'!B83</f>
        <v>81.99</v>
      </c>
      <c r="E61" s="3524" t="s">
        <v>4101</v>
      </c>
      <c r="F61" s="3524">
        <f ca="1">'典型户型修正-住宅'!S83</f>
        <v>289</v>
      </c>
    </row>
    <row r="62" spans="2:6">
      <c r="B62" s="3524">
        <v>60</v>
      </c>
      <c r="C62" s="3524" t="str">
        <f>'典型户型修正-住宅'!A84</f>
        <v>7-2-402</v>
      </c>
      <c r="D62" s="3524">
        <f>'典型户型修正-住宅'!B84</f>
        <v>85.89</v>
      </c>
      <c r="E62" s="3524" t="s">
        <v>4101</v>
      </c>
      <c r="F62" s="3524">
        <f ca="1">'典型户型修正-住宅'!S84</f>
        <v>303</v>
      </c>
    </row>
    <row r="63" spans="2:6">
      <c r="B63" s="3524">
        <v>61</v>
      </c>
      <c r="C63" s="3524" t="str">
        <f>'典型户型修正-住宅'!A85</f>
        <v>7-2-502</v>
      </c>
      <c r="D63" s="3524">
        <f>'典型户型修正-住宅'!B85</f>
        <v>85.89</v>
      </c>
      <c r="E63" s="3524" t="s">
        <v>4101</v>
      </c>
      <c r="F63" s="3524">
        <f ca="1">'典型户型修正-住宅'!S85</f>
        <v>303</v>
      </c>
    </row>
    <row r="64" spans="2:6">
      <c r="B64" s="3524">
        <v>62</v>
      </c>
      <c r="C64" s="3524" t="str">
        <f>'典型户型修正-住宅'!A86</f>
        <v>7-2-602</v>
      </c>
      <c r="D64" s="3524">
        <f>'典型户型修正-住宅'!B86</f>
        <v>85.89</v>
      </c>
      <c r="E64" s="3524" t="s">
        <v>4101</v>
      </c>
      <c r="F64" s="3524">
        <f ca="1">'典型户型修正-住宅'!S86</f>
        <v>303</v>
      </c>
    </row>
    <row r="65" spans="2:6">
      <c r="B65" s="3524">
        <v>63</v>
      </c>
      <c r="C65" s="3524" t="str">
        <f>'典型户型修正-住宅'!A87</f>
        <v>7-2-702</v>
      </c>
      <c r="D65" s="3524">
        <f>'典型户型修正-住宅'!B87</f>
        <v>85.89</v>
      </c>
      <c r="E65" s="3524" t="s">
        <v>4101</v>
      </c>
      <c r="F65" s="3524">
        <f ca="1">'典型户型修正-住宅'!S87</f>
        <v>309</v>
      </c>
    </row>
    <row r="66" spans="2:6">
      <c r="B66" s="3524">
        <v>64</v>
      </c>
      <c r="C66" s="3524" t="str">
        <f>'典型户型修正-住宅'!A88</f>
        <v>7-2-802</v>
      </c>
      <c r="D66" s="3524">
        <f>'典型户型修正-住宅'!B88</f>
        <v>85.89</v>
      </c>
      <c r="E66" s="3524" t="s">
        <v>4101</v>
      </c>
      <c r="F66" s="3524">
        <f ca="1">'典型户型修正-住宅'!S88</f>
        <v>309</v>
      </c>
    </row>
    <row r="67" spans="2:6">
      <c r="B67" s="3524">
        <v>65</v>
      </c>
      <c r="C67" s="3524" t="str">
        <f>'典型户型修正-住宅'!A89</f>
        <v>7-2-902</v>
      </c>
      <c r="D67" s="3524">
        <f>'典型户型修正-住宅'!B89</f>
        <v>85.89</v>
      </c>
      <c r="E67" s="3524" t="s">
        <v>4101</v>
      </c>
      <c r="F67" s="3524">
        <f ca="1">'典型户型修正-住宅'!S89</f>
        <v>291</v>
      </c>
    </row>
    <row r="68" spans="2:6">
      <c r="B68" s="3524">
        <v>66</v>
      </c>
      <c r="C68" s="3524" t="str">
        <f>'典型户型修正-住宅'!A90</f>
        <v>6-1-201</v>
      </c>
      <c r="D68" s="3524">
        <f>'典型户型修正-住宅'!B90</f>
        <v>87.26</v>
      </c>
      <c r="E68" s="3524" t="s">
        <v>4101</v>
      </c>
      <c r="F68" s="3524">
        <f ca="1">'典型户型修正-住宅'!S90</f>
        <v>302</v>
      </c>
    </row>
    <row r="69" spans="2:6">
      <c r="B69" s="3524">
        <v>67</v>
      </c>
      <c r="C69" s="3524" t="str">
        <f>'典型户型修正-住宅'!A91</f>
        <v>6-1-401</v>
      </c>
      <c r="D69" s="3524">
        <f>'典型户型修正-住宅'!B91</f>
        <v>87.26</v>
      </c>
      <c r="E69" s="3524" t="s">
        <v>4101</v>
      </c>
      <c r="F69" s="3524">
        <f ca="1">'典型户型修正-住宅'!S91</f>
        <v>308</v>
      </c>
    </row>
    <row r="70" spans="2:6">
      <c r="B70" s="3524">
        <v>68</v>
      </c>
      <c r="C70" s="3524" t="str">
        <f>'典型户型修正-住宅'!A92</f>
        <v>6-1-402</v>
      </c>
      <c r="D70" s="3524">
        <f>'典型户型修正-住宅'!B92</f>
        <v>83.29</v>
      </c>
      <c r="E70" s="3524" t="s">
        <v>4101</v>
      </c>
      <c r="F70" s="3524">
        <f ca="1">'典型户型修正-住宅'!S92</f>
        <v>294</v>
      </c>
    </row>
    <row r="71" spans="2:6">
      <c r="B71" s="3524">
        <v>69</v>
      </c>
      <c r="C71" s="3524" t="str">
        <f>'典型户型修正-住宅'!A93</f>
        <v>6-1-501</v>
      </c>
      <c r="D71" s="3524">
        <f>'典型户型修正-住宅'!B93</f>
        <v>87.26</v>
      </c>
      <c r="E71" s="3524" t="s">
        <v>4101</v>
      </c>
      <c r="F71" s="3524">
        <f ca="1">'典型户型修正-住宅'!S93</f>
        <v>308</v>
      </c>
    </row>
    <row r="72" spans="2:6">
      <c r="B72" s="3524">
        <v>70</v>
      </c>
      <c r="C72" s="3524" t="str">
        <f>'典型户型修正-住宅'!A94</f>
        <v>6-1-502</v>
      </c>
      <c r="D72" s="3524">
        <f>'典型户型修正-住宅'!B94</f>
        <v>83.29</v>
      </c>
      <c r="E72" s="3524" t="s">
        <v>4101</v>
      </c>
      <c r="F72" s="3524">
        <f ca="1">'典型户型修正-住宅'!S94</f>
        <v>294</v>
      </c>
    </row>
    <row r="73" spans="2:6">
      <c r="B73" s="3524">
        <v>71</v>
      </c>
      <c r="C73" s="3524" t="str">
        <f>'典型户型修正-住宅'!A95</f>
        <v>6-1-601</v>
      </c>
      <c r="D73" s="3524">
        <f>'典型户型修正-住宅'!B95</f>
        <v>87.26</v>
      </c>
      <c r="E73" s="3524" t="s">
        <v>4101</v>
      </c>
      <c r="F73" s="3524">
        <f ca="1">'典型户型修正-住宅'!S95</f>
        <v>308</v>
      </c>
    </row>
    <row r="74" spans="2:6">
      <c r="B74" s="3524">
        <v>72</v>
      </c>
      <c r="C74" s="3524" t="str">
        <f>'典型户型修正-住宅'!A96</f>
        <v>6-1-701</v>
      </c>
      <c r="D74" s="3524">
        <f>'典型户型修正-住宅'!B96</f>
        <v>87.26</v>
      </c>
      <c r="E74" s="3524" t="s">
        <v>4101</v>
      </c>
      <c r="F74" s="3524">
        <f ca="1">'典型户型修正-住宅'!S96</f>
        <v>314</v>
      </c>
    </row>
    <row r="75" spans="2:6">
      <c r="B75" s="3524">
        <v>73</v>
      </c>
      <c r="C75" s="3524" t="str">
        <f>'典型户型修正-住宅'!A97</f>
        <v>6-1-801</v>
      </c>
      <c r="D75" s="3524">
        <f>'典型户型修正-住宅'!B97</f>
        <v>87.26</v>
      </c>
      <c r="E75" s="3524" t="s">
        <v>4101</v>
      </c>
      <c r="F75" s="3524">
        <f ca="1">'典型户型修正-住宅'!S97</f>
        <v>314</v>
      </c>
    </row>
    <row r="76" spans="2:6">
      <c r="B76" s="3524">
        <v>74</v>
      </c>
      <c r="C76" s="3524" t="str">
        <f>'典型户型修正-住宅'!A98</f>
        <v>6-1-802</v>
      </c>
      <c r="D76" s="3524">
        <f>'典型户型修正-住宅'!B98</f>
        <v>83.29</v>
      </c>
      <c r="E76" s="3524" t="s">
        <v>4101</v>
      </c>
      <c r="F76" s="3524">
        <f ca="1">'典型户型修正-住宅'!S98</f>
        <v>300</v>
      </c>
    </row>
    <row r="77" spans="2:6">
      <c r="B77" s="3524">
        <v>75</v>
      </c>
      <c r="C77" s="3524" t="str">
        <f>'典型户型修正-住宅'!A99</f>
        <v>6-1-901</v>
      </c>
      <c r="D77" s="3524">
        <f>'典型户型修正-住宅'!B99</f>
        <v>87.26</v>
      </c>
      <c r="E77" s="3524" t="s">
        <v>4101</v>
      </c>
      <c r="F77" s="3524">
        <f ca="1">'典型户型修正-住宅'!S99</f>
        <v>314</v>
      </c>
    </row>
    <row r="78" spans="2:6">
      <c r="B78" s="3524">
        <v>76</v>
      </c>
      <c r="C78" s="3524" t="str">
        <f>'典型户型修正-住宅'!A100</f>
        <v>6-1-1001</v>
      </c>
      <c r="D78" s="3524">
        <f>'典型户型修正-住宅'!B100</f>
        <v>87.26</v>
      </c>
      <c r="E78" s="3524" t="s">
        <v>4101</v>
      </c>
      <c r="F78" s="3524">
        <f ca="1">'典型户型修正-住宅'!S100</f>
        <v>295</v>
      </c>
    </row>
    <row r="79" spans="2:6">
      <c r="B79" s="3524">
        <v>77</v>
      </c>
      <c r="C79" s="3524" t="str">
        <f>'典型户型修正-住宅'!A101</f>
        <v>6-1-1002</v>
      </c>
      <c r="D79" s="3524">
        <f>'典型户型修正-住宅'!B101</f>
        <v>83.29</v>
      </c>
      <c r="E79" s="3524" t="s">
        <v>4101</v>
      </c>
      <c r="F79" s="3524">
        <f ca="1">'典型户型修正-住宅'!S101</f>
        <v>282</v>
      </c>
    </row>
    <row r="80" spans="2:6">
      <c r="B80" s="3524">
        <v>78</v>
      </c>
      <c r="C80" s="3524" t="str">
        <f>'典型户型修正-住宅'!A102</f>
        <v>6-2-202</v>
      </c>
      <c r="D80" s="3524">
        <f>'典型户型修正-住宅'!B102</f>
        <v>87.26</v>
      </c>
      <c r="E80" s="3524" t="s">
        <v>4101</v>
      </c>
      <c r="F80" s="3524">
        <f ca="1">'典型户型修正-住宅'!S102</f>
        <v>302</v>
      </c>
    </row>
    <row r="81" spans="2:6">
      <c r="B81" s="3524">
        <v>79</v>
      </c>
      <c r="C81" s="3524" t="str">
        <f>'典型户型修正-住宅'!A103</f>
        <v>6-2-302</v>
      </c>
      <c r="D81" s="3524">
        <f>'典型户型修正-住宅'!B103</f>
        <v>87.26</v>
      </c>
      <c r="E81" s="3524" t="s">
        <v>4101</v>
      </c>
      <c r="F81" s="3524">
        <f ca="1">'典型户型修正-住宅'!S103</f>
        <v>302</v>
      </c>
    </row>
    <row r="82" spans="2:6">
      <c r="B82" s="3524">
        <v>80</v>
      </c>
      <c r="C82" s="3524" t="str">
        <f>'典型户型修正-住宅'!A104</f>
        <v>6-2-402</v>
      </c>
      <c r="D82" s="3524">
        <f>'典型户型修正-住宅'!B104</f>
        <v>87.26</v>
      </c>
      <c r="E82" s="3524" t="s">
        <v>4101</v>
      </c>
      <c r="F82" s="3524">
        <f ca="1">'典型户型修正-住宅'!S104</f>
        <v>308</v>
      </c>
    </row>
    <row r="83" spans="2:6">
      <c r="B83" s="3524">
        <v>81</v>
      </c>
      <c r="C83" s="3524" t="str">
        <f>'典型户型修正-住宅'!A105</f>
        <v>6-2-802</v>
      </c>
      <c r="D83" s="3524">
        <f>'典型户型修正-住宅'!B105</f>
        <v>87.26</v>
      </c>
      <c r="E83" s="3524" t="s">
        <v>4101</v>
      </c>
      <c r="F83" s="3524">
        <f ca="1">'典型户型修正-住宅'!S105</f>
        <v>314</v>
      </c>
    </row>
    <row r="84" spans="2:6">
      <c r="B84" s="3524">
        <v>82</v>
      </c>
      <c r="C84" s="3524" t="str">
        <f>'典型户型修正-住宅'!A106</f>
        <v>3-1-101</v>
      </c>
      <c r="D84" s="3524">
        <f>'典型户型修正-住宅'!B106</f>
        <v>87.15</v>
      </c>
      <c r="E84" s="3524" t="s">
        <v>4101</v>
      </c>
      <c r="F84" s="3524">
        <f ca="1">'典型户型修正-住宅'!S106</f>
        <v>295</v>
      </c>
    </row>
    <row r="85" spans="2:6">
      <c r="B85" s="3524">
        <v>83</v>
      </c>
      <c r="C85" s="3524" t="str">
        <f>'典型户型修正-住宅'!A107</f>
        <v>3-1-102</v>
      </c>
      <c r="D85" s="3524">
        <f>'典型户型修正-住宅'!B107</f>
        <v>73.41</v>
      </c>
      <c r="E85" s="3524" t="s">
        <v>4101</v>
      </c>
      <c r="F85" s="3524">
        <f ca="1">'典型户型修正-住宅'!S107</f>
        <v>251</v>
      </c>
    </row>
    <row r="86" spans="2:6">
      <c r="B86" s="3524">
        <v>84</v>
      </c>
      <c r="C86" s="3524" t="str">
        <f>'典型户型修正-住宅'!A108</f>
        <v>3-1-201</v>
      </c>
      <c r="D86" s="3524">
        <f>'典型户型修正-住宅'!B108</f>
        <v>87.15</v>
      </c>
      <c r="E86" s="3524" t="s">
        <v>4101</v>
      </c>
      <c r="F86" s="3524">
        <f ca="1">'典型户型修正-住宅'!S108</f>
        <v>301</v>
      </c>
    </row>
    <row r="87" spans="2:6">
      <c r="B87" s="3524">
        <v>85</v>
      </c>
      <c r="C87" s="3524" t="str">
        <f>'典型户型修正-住宅'!A109</f>
        <v>3-1-202</v>
      </c>
      <c r="D87" s="3524">
        <f>'典型户型修正-住宅'!B109</f>
        <v>89.82</v>
      </c>
      <c r="E87" s="3524" t="s">
        <v>4101</v>
      </c>
      <c r="F87" s="3524">
        <f ca="1">'典型户型修正-住宅'!S109</f>
        <v>310</v>
      </c>
    </row>
    <row r="88" spans="2:6">
      <c r="B88" s="3524">
        <v>86</v>
      </c>
      <c r="C88" s="3524" t="str">
        <f>'典型户型修正-住宅'!A110</f>
        <v>3-1-301</v>
      </c>
      <c r="D88" s="3524">
        <f>'典型户型修正-住宅'!B110</f>
        <v>87.15</v>
      </c>
      <c r="E88" s="3524" t="s">
        <v>4101</v>
      </c>
      <c r="F88" s="3524">
        <f ca="1">'典型户型修正-住宅'!S110</f>
        <v>301</v>
      </c>
    </row>
    <row r="89" spans="2:6">
      <c r="B89" s="3524">
        <v>87</v>
      </c>
      <c r="C89" s="3524" t="str">
        <f>'典型户型修正-住宅'!A111</f>
        <v>3-1-302</v>
      </c>
      <c r="D89" s="3524">
        <f>'典型户型修正-住宅'!B111</f>
        <v>89.82</v>
      </c>
      <c r="E89" s="3524" t="s">
        <v>4101</v>
      </c>
      <c r="F89" s="3524">
        <f ca="1">'典型户型修正-住宅'!S111</f>
        <v>310</v>
      </c>
    </row>
    <row r="90" spans="2:6">
      <c r="B90" s="3524">
        <v>88</v>
      </c>
      <c r="C90" s="3524" t="str">
        <f>'典型户型修正-住宅'!A112</f>
        <v>3-1-401</v>
      </c>
      <c r="D90" s="3524">
        <f>'典型户型修正-住宅'!B112</f>
        <v>87.15</v>
      </c>
      <c r="E90" s="3524" t="s">
        <v>4101</v>
      </c>
      <c r="F90" s="3524">
        <f ca="1">'典型户型修正-住宅'!S112</f>
        <v>301</v>
      </c>
    </row>
    <row r="91" spans="2:6">
      <c r="B91" s="3524">
        <v>89</v>
      </c>
      <c r="C91" s="3524" t="str">
        <f>'典型户型修正-住宅'!A113</f>
        <v>3-1-402</v>
      </c>
      <c r="D91" s="3524">
        <f>'典型户型修正-住宅'!B113</f>
        <v>89.82</v>
      </c>
      <c r="E91" s="3524" t="s">
        <v>4101</v>
      </c>
      <c r="F91" s="3524">
        <f ca="1">'典型户型修正-住宅'!S113</f>
        <v>310</v>
      </c>
    </row>
    <row r="92" spans="2:6">
      <c r="B92" s="3524">
        <v>90</v>
      </c>
      <c r="C92" s="3524" t="str">
        <f>'典型户型修正-住宅'!A114</f>
        <v>3-1-501</v>
      </c>
      <c r="D92" s="3524">
        <f>'典型户型修正-住宅'!B114</f>
        <v>87.15</v>
      </c>
      <c r="E92" s="3524" t="s">
        <v>4101</v>
      </c>
      <c r="F92" s="3524">
        <f ca="1">'典型户型修正-住宅'!S114</f>
        <v>307</v>
      </c>
    </row>
    <row r="93" spans="2:6">
      <c r="B93" s="3524">
        <v>91</v>
      </c>
      <c r="C93" s="3524" t="str">
        <f>'典型户型修正-住宅'!A115</f>
        <v>3-1-502</v>
      </c>
      <c r="D93" s="3524">
        <f>'典型户型修正-住宅'!B115</f>
        <v>89.82</v>
      </c>
      <c r="E93" s="3524" t="s">
        <v>4101</v>
      </c>
      <c r="F93" s="3524">
        <f ca="1">'典型户型修正-住宅'!S115</f>
        <v>317</v>
      </c>
    </row>
    <row r="94" spans="2:6">
      <c r="B94" s="3524">
        <v>92</v>
      </c>
      <c r="C94" s="3524" t="str">
        <f>'典型户型修正-住宅'!A116</f>
        <v>3-1-601</v>
      </c>
      <c r="D94" s="3524">
        <f>'典型户型修正-住宅'!B116</f>
        <v>87.15</v>
      </c>
      <c r="E94" s="3524" t="s">
        <v>4101</v>
      </c>
      <c r="F94" s="3524">
        <f ca="1">'典型户型修正-住宅'!S116</f>
        <v>307</v>
      </c>
    </row>
    <row r="95" spans="2:6">
      <c r="B95" s="3524">
        <v>93</v>
      </c>
      <c r="C95" s="3524" t="str">
        <f>'典型户型修正-住宅'!A117</f>
        <v>3-1-602</v>
      </c>
      <c r="D95" s="3524">
        <f>'典型户型修正-住宅'!B117</f>
        <v>89.82</v>
      </c>
      <c r="E95" s="3524" t="s">
        <v>4101</v>
      </c>
      <c r="F95" s="3524">
        <f ca="1">'典型户型修正-住宅'!S117</f>
        <v>317</v>
      </c>
    </row>
    <row r="96" spans="2:6">
      <c r="B96" s="3524">
        <v>94</v>
      </c>
      <c r="C96" s="3524" t="str">
        <f>'典型户型修正-住宅'!A118</f>
        <v>3-1-701</v>
      </c>
      <c r="D96" s="3524">
        <f>'典型户型修正-住宅'!B118</f>
        <v>87.15</v>
      </c>
      <c r="E96" s="3524" t="s">
        <v>4101</v>
      </c>
      <c r="F96" s="3524">
        <f ca="1">'典型户型修正-住宅'!S118</f>
        <v>307</v>
      </c>
    </row>
    <row r="97" spans="2:6">
      <c r="B97" s="3524">
        <v>95</v>
      </c>
      <c r="C97" s="3524" t="str">
        <f>'典型户型修正-住宅'!A119</f>
        <v>3-1-702</v>
      </c>
      <c r="D97" s="3524">
        <f>'典型户型修正-住宅'!B119</f>
        <v>89.82</v>
      </c>
      <c r="E97" s="3524" t="s">
        <v>4101</v>
      </c>
      <c r="F97" s="3524">
        <f ca="1">'典型户型修正-住宅'!S119</f>
        <v>317</v>
      </c>
    </row>
    <row r="98" spans="2:6">
      <c r="B98" s="3524">
        <v>96</v>
      </c>
      <c r="C98" s="3524" t="str">
        <f>'典型户型修正-住宅'!A120</f>
        <v>3-1-801</v>
      </c>
      <c r="D98" s="3524">
        <f>'典型户型修正-住宅'!B120</f>
        <v>87.15</v>
      </c>
      <c r="E98" s="3524" t="s">
        <v>4101</v>
      </c>
      <c r="F98" s="3524">
        <f ca="1">'典型户型修正-住宅'!S120</f>
        <v>314</v>
      </c>
    </row>
    <row r="99" spans="2:6">
      <c r="B99" s="3524">
        <v>97</v>
      </c>
      <c r="C99" s="3524" t="str">
        <f>'典型户型修正-住宅'!A121</f>
        <v>3-1-802</v>
      </c>
      <c r="D99" s="3524">
        <f>'典型户型修正-住宅'!B121</f>
        <v>89.82</v>
      </c>
      <c r="E99" s="3524" t="s">
        <v>4101</v>
      </c>
      <c r="F99" s="3524">
        <f ca="1">'典型户型修正-住宅'!S121</f>
        <v>323</v>
      </c>
    </row>
    <row r="100" spans="2:6">
      <c r="B100" s="3524">
        <v>98</v>
      </c>
      <c r="C100" s="3524" t="str">
        <f>'典型户型修正-住宅'!A122</f>
        <v>3-1-901</v>
      </c>
      <c r="D100" s="3524">
        <f>'典型户型修正-住宅'!B122</f>
        <v>87.15</v>
      </c>
      <c r="E100" s="3524" t="s">
        <v>4101</v>
      </c>
      <c r="F100" s="3524">
        <f ca="1">'典型户型修正-住宅'!S122</f>
        <v>314</v>
      </c>
    </row>
    <row r="101" spans="2:6">
      <c r="B101" s="3524">
        <v>99</v>
      </c>
      <c r="C101" s="3524" t="str">
        <f>'典型户型修正-住宅'!A123</f>
        <v>3-1-902</v>
      </c>
      <c r="D101" s="3524">
        <f>'典型户型修正-住宅'!B123</f>
        <v>89.82</v>
      </c>
      <c r="E101" s="3524" t="s">
        <v>4101</v>
      </c>
      <c r="F101" s="3524">
        <f ca="1">'典型户型修正-住宅'!S123</f>
        <v>323</v>
      </c>
    </row>
    <row r="102" spans="2:6">
      <c r="B102" s="3524">
        <v>100</v>
      </c>
      <c r="C102" s="3524" t="str">
        <f>'典型户型修正-住宅'!A124</f>
        <v>3-1-1001</v>
      </c>
      <c r="D102" s="3524">
        <f>'典型户型修正-住宅'!B124</f>
        <v>87.15</v>
      </c>
      <c r="E102" s="3524" t="s">
        <v>4101</v>
      </c>
      <c r="F102" s="3524">
        <f ca="1">'典型户型修正-住宅'!S124</f>
        <v>314</v>
      </c>
    </row>
    <row r="103" spans="2:6">
      <c r="B103" s="3524">
        <v>101</v>
      </c>
      <c r="C103" s="3524" t="str">
        <f>'典型户型修正-住宅'!A125</f>
        <v>3-1-1002</v>
      </c>
      <c r="D103" s="3524">
        <f>'典型户型修正-住宅'!B125</f>
        <v>89.82</v>
      </c>
      <c r="E103" s="3524" t="s">
        <v>4101</v>
      </c>
      <c r="F103" s="3524">
        <f ca="1">'典型户型修正-住宅'!S125</f>
        <v>323</v>
      </c>
    </row>
    <row r="104" spans="2:6">
      <c r="B104" s="3524">
        <v>102</v>
      </c>
      <c r="C104" s="3524" t="str">
        <f>'典型户型修正-住宅'!A126</f>
        <v>3-1-1101</v>
      </c>
      <c r="D104" s="3524">
        <f>'典型户型修正-住宅'!B126</f>
        <v>87.15</v>
      </c>
      <c r="E104" s="3524" t="s">
        <v>4101</v>
      </c>
      <c r="F104" s="3524">
        <f ca="1">'典型户型修正-住宅'!S126</f>
        <v>295</v>
      </c>
    </row>
    <row r="105" spans="2:6">
      <c r="B105" s="3524">
        <v>103</v>
      </c>
      <c r="C105" s="3524" t="str">
        <f>'典型户型修正-住宅'!A127</f>
        <v>3-1-1102</v>
      </c>
      <c r="D105" s="3524">
        <f>'典型户型修正-住宅'!B127</f>
        <v>89.82</v>
      </c>
      <c r="E105" s="3524" t="s">
        <v>4101</v>
      </c>
      <c r="F105" s="3524">
        <f ca="1">'典型户型修正-住宅'!S127</f>
        <v>304</v>
      </c>
    </row>
    <row r="106" spans="2:6">
      <c r="B106" s="3524">
        <v>104</v>
      </c>
      <c r="C106" s="3524" t="str">
        <f>'典型户型修正-住宅'!A128</f>
        <v>3-2-101</v>
      </c>
      <c r="D106" s="3524">
        <f>'典型户型修正-住宅'!B128</f>
        <v>89.82</v>
      </c>
      <c r="E106" s="3524" t="s">
        <v>4101</v>
      </c>
      <c r="F106" s="3524">
        <f ca="1">'典型户型修正-住宅'!S128</f>
        <v>304</v>
      </c>
    </row>
    <row r="107" spans="2:6">
      <c r="B107" s="3524">
        <v>105</v>
      </c>
      <c r="C107" s="3524" t="str">
        <f>'典型户型修正-住宅'!A129</f>
        <v>3-2-102</v>
      </c>
      <c r="D107" s="3524">
        <f>'典型户型修正-住宅'!B129</f>
        <v>73.41</v>
      </c>
      <c r="E107" s="3524" t="s">
        <v>4101</v>
      </c>
      <c r="F107" s="3524">
        <f ca="1">'典型户型修正-住宅'!S129</f>
        <v>251</v>
      </c>
    </row>
    <row r="108" spans="2:6">
      <c r="B108" s="3524">
        <v>106</v>
      </c>
      <c r="C108" s="3524" t="str">
        <f>'典型户型修正-住宅'!A130</f>
        <v>3-2-201</v>
      </c>
      <c r="D108" s="3524">
        <f>'典型户型修正-住宅'!B130</f>
        <v>89.82</v>
      </c>
      <c r="E108" s="3524" t="s">
        <v>4101</v>
      </c>
      <c r="F108" s="3524">
        <f ca="1">'典型户型修正-住宅'!S130</f>
        <v>310</v>
      </c>
    </row>
    <row r="109" spans="2:6">
      <c r="B109" s="3524">
        <v>107</v>
      </c>
      <c r="C109" s="3524" t="str">
        <f>'典型户型修正-住宅'!A131</f>
        <v>3-2-202</v>
      </c>
      <c r="D109" s="3524">
        <f>'典型户型修正-住宅'!B131</f>
        <v>89.82</v>
      </c>
      <c r="E109" s="3524" t="s">
        <v>4101</v>
      </c>
      <c r="F109" s="3524">
        <f ca="1">'典型户型修正-住宅'!S131</f>
        <v>310</v>
      </c>
    </row>
    <row r="110" spans="2:6">
      <c r="B110" s="3524">
        <v>108</v>
      </c>
      <c r="C110" s="3524" t="str">
        <f>'典型户型修正-住宅'!A132</f>
        <v>3-2-301</v>
      </c>
      <c r="D110" s="3524">
        <f>'典型户型修正-住宅'!B132</f>
        <v>89.82</v>
      </c>
      <c r="E110" s="3524" t="s">
        <v>4101</v>
      </c>
      <c r="F110" s="3524">
        <f ca="1">'典型户型修正-住宅'!S132</f>
        <v>310</v>
      </c>
    </row>
    <row r="111" spans="2:6">
      <c r="B111" s="3524">
        <v>109</v>
      </c>
      <c r="C111" s="3524" t="str">
        <f>'典型户型修正-住宅'!A133</f>
        <v>3-2-302</v>
      </c>
      <c r="D111" s="3524">
        <f>'典型户型修正-住宅'!B133</f>
        <v>89.82</v>
      </c>
      <c r="E111" s="3524" t="s">
        <v>4101</v>
      </c>
      <c r="F111" s="3524">
        <f ca="1">'典型户型修正-住宅'!S133</f>
        <v>310</v>
      </c>
    </row>
    <row r="112" spans="2:6">
      <c r="B112" s="3524">
        <v>110</v>
      </c>
      <c r="C112" s="3524" t="str">
        <f>'典型户型修正-住宅'!A134</f>
        <v>3-2-401</v>
      </c>
      <c r="D112" s="3524">
        <f>'典型户型修正-住宅'!B134</f>
        <v>89.82</v>
      </c>
      <c r="E112" s="3524" t="s">
        <v>4101</v>
      </c>
      <c r="F112" s="3524">
        <f ca="1">'典型户型修正-住宅'!S134</f>
        <v>310</v>
      </c>
    </row>
    <row r="113" spans="2:6">
      <c r="B113" s="3524">
        <v>111</v>
      </c>
      <c r="C113" s="3524" t="str">
        <f>'典型户型修正-住宅'!A135</f>
        <v>3-2-402</v>
      </c>
      <c r="D113" s="3524">
        <f>'典型户型修正-住宅'!B135</f>
        <v>89.82</v>
      </c>
      <c r="E113" s="3524" t="s">
        <v>4101</v>
      </c>
      <c r="F113" s="3524">
        <f ca="1">'典型户型修正-住宅'!S135</f>
        <v>310</v>
      </c>
    </row>
    <row r="114" spans="2:6">
      <c r="B114" s="3524">
        <v>112</v>
      </c>
      <c r="C114" s="3524" t="str">
        <f>'典型户型修正-住宅'!A136</f>
        <v>3-2-501</v>
      </c>
      <c r="D114" s="3524">
        <f>'典型户型修正-住宅'!B136</f>
        <v>89.82</v>
      </c>
      <c r="E114" s="3524" t="s">
        <v>4101</v>
      </c>
      <c r="F114" s="3524">
        <f ca="1">'典型户型修正-住宅'!S136</f>
        <v>317</v>
      </c>
    </row>
    <row r="115" spans="2:6">
      <c r="B115" s="3524">
        <v>113</v>
      </c>
      <c r="C115" s="3524" t="str">
        <f>'典型户型修正-住宅'!A137</f>
        <v>3-2-601</v>
      </c>
      <c r="D115" s="3524">
        <f>'典型户型修正-住宅'!B137</f>
        <v>89.82</v>
      </c>
      <c r="E115" s="3524" t="s">
        <v>4101</v>
      </c>
      <c r="F115" s="3524">
        <f ca="1">'典型户型修正-住宅'!S137</f>
        <v>317</v>
      </c>
    </row>
    <row r="116" spans="2:6">
      <c r="B116" s="3524">
        <v>114</v>
      </c>
      <c r="C116" s="3524" t="str">
        <f>'典型户型修正-住宅'!A138</f>
        <v>3-2-602</v>
      </c>
      <c r="D116" s="3524">
        <f>'典型户型修正-住宅'!B138</f>
        <v>89.82</v>
      </c>
      <c r="E116" s="3524" t="s">
        <v>4101</v>
      </c>
      <c r="F116" s="3524">
        <f ca="1">'典型户型修正-住宅'!S138</f>
        <v>317</v>
      </c>
    </row>
    <row r="117" spans="2:6">
      <c r="B117" s="3524">
        <v>115</v>
      </c>
      <c r="C117" s="3524" t="str">
        <f>'典型户型修正-住宅'!A139</f>
        <v>3-2-701</v>
      </c>
      <c r="D117" s="3524">
        <f>'典型户型修正-住宅'!B139</f>
        <v>89.82</v>
      </c>
      <c r="E117" s="3524" t="s">
        <v>4101</v>
      </c>
      <c r="F117" s="3524">
        <f ca="1">'典型户型修正-住宅'!S139</f>
        <v>317</v>
      </c>
    </row>
    <row r="118" spans="2:6">
      <c r="B118" s="3524">
        <v>116</v>
      </c>
      <c r="C118" s="3524" t="str">
        <f>'典型户型修正-住宅'!A140</f>
        <v>3-2-702</v>
      </c>
      <c r="D118" s="3524">
        <f>'典型户型修正-住宅'!B140</f>
        <v>89.82</v>
      </c>
      <c r="E118" s="3524" t="s">
        <v>4101</v>
      </c>
      <c r="F118" s="3524">
        <f ca="1">'典型户型修正-住宅'!S140</f>
        <v>317</v>
      </c>
    </row>
    <row r="119" spans="2:6">
      <c r="B119" s="3524">
        <v>117</v>
      </c>
      <c r="C119" s="3524" t="str">
        <f>'典型户型修正-住宅'!A141</f>
        <v>3-2-801</v>
      </c>
      <c r="D119" s="3524">
        <f>'典型户型修正-住宅'!B141</f>
        <v>89.82</v>
      </c>
      <c r="E119" s="3524" t="s">
        <v>4101</v>
      </c>
      <c r="F119" s="3524">
        <f ca="1">'典型户型修正-住宅'!S141</f>
        <v>323</v>
      </c>
    </row>
    <row r="120" spans="2:6">
      <c r="B120" s="3524">
        <v>118</v>
      </c>
      <c r="C120" s="3524" t="str">
        <f>'典型户型修正-住宅'!A142</f>
        <v>3-2-802</v>
      </c>
      <c r="D120" s="3524">
        <f>'典型户型修正-住宅'!B142</f>
        <v>89.82</v>
      </c>
      <c r="E120" s="3524" t="s">
        <v>4101</v>
      </c>
      <c r="F120" s="3524">
        <f ca="1">'典型户型修正-住宅'!S142</f>
        <v>323</v>
      </c>
    </row>
    <row r="121" spans="2:6">
      <c r="B121" s="3524">
        <v>119</v>
      </c>
      <c r="C121" s="3524" t="str">
        <f>'典型户型修正-住宅'!A143</f>
        <v>3-2-901</v>
      </c>
      <c r="D121" s="3524">
        <f>'典型户型修正-住宅'!B143</f>
        <v>89.82</v>
      </c>
      <c r="E121" s="3524" t="s">
        <v>4101</v>
      </c>
      <c r="F121" s="3524">
        <f ca="1">'典型户型修正-住宅'!S143</f>
        <v>323</v>
      </c>
    </row>
    <row r="122" spans="2:6">
      <c r="B122" s="3524">
        <v>120</v>
      </c>
      <c r="C122" s="3524" t="str">
        <f>'典型户型修正-住宅'!A144</f>
        <v>3-2-902</v>
      </c>
      <c r="D122" s="3524">
        <f>'典型户型修正-住宅'!B144</f>
        <v>89.82</v>
      </c>
      <c r="E122" s="3524" t="s">
        <v>4101</v>
      </c>
      <c r="F122" s="3524">
        <f ca="1">'典型户型修正-住宅'!S144</f>
        <v>323</v>
      </c>
    </row>
    <row r="123" spans="2:6">
      <c r="B123" s="3524">
        <v>121</v>
      </c>
      <c r="C123" s="3524" t="str">
        <f>'典型户型修正-住宅'!A145</f>
        <v>3-2-1001</v>
      </c>
      <c r="D123" s="3524">
        <f>'典型户型修正-住宅'!B145</f>
        <v>89.82</v>
      </c>
      <c r="E123" s="3524" t="s">
        <v>4101</v>
      </c>
      <c r="F123" s="3524">
        <f ca="1">'典型户型修正-住宅'!S145</f>
        <v>323</v>
      </c>
    </row>
    <row r="124" spans="2:6">
      <c r="B124" s="3524">
        <v>122</v>
      </c>
      <c r="C124" s="3524" t="str">
        <f>'典型户型修正-住宅'!A146</f>
        <v>3-2-1002</v>
      </c>
      <c r="D124" s="3524">
        <f>'典型户型修正-住宅'!B146</f>
        <v>89.82</v>
      </c>
      <c r="E124" s="3524" t="s">
        <v>4101</v>
      </c>
      <c r="F124" s="3524">
        <f ca="1">'典型户型修正-住宅'!S146</f>
        <v>323</v>
      </c>
    </row>
    <row r="125" spans="2:6">
      <c r="B125" s="3524">
        <v>123</v>
      </c>
      <c r="C125" s="3524" t="str">
        <f>'典型户型修正-住宅'!A147</f>
        <v>3-2-1102</v>
      </c>
      <c r="D125" s="3524">
        <f>'典型户型修正-住宅'!B147</f>
        <v>89.82</v>
      </c>
      <c r="E125" s="3524" t="s">
        <v>4101</v>
      </c>
      <c r="F125" s="3524">
        <f ca="1">'典型户型修正-住宅'!S147</f>
        <v>304</v>
      </c>
    </row>
    <row r="126" spans="2:6">
      <c r="B126" s="3524">
        <v>124</v>
      </c>
      <c r="C126" s="3524" t="str">
        <f>'典型户型修正-住宅'!A148</f>
        <v>3-3-101</v>
      </c>
      <c r="D126" s="3524">
        <f>'典型户型修正-住宅'!B148</f>
        <v>73.41</v>
      </c>
      <c r="E126" s="3524" t="s">
        <v>4101</v>
      </c>
      <c r="F126" s="3524">
        <f ca="1">'典型户型修正-住宅'!S148</f>
        <v>251</v>
      </c>
    </row>
    <row r="127" spans="2:6">
      <c r="B127" s="3524">
        <v>125</v>
      </c>
      <c r="C127" s="3524" t="str">
        <f>'典型户型修正-住宅'!A149</f>
        <v>3-3-102</v>
      </c>
      <c r="D127" s="3524">
        <f>'典型户型修正-住宅'!B149</f>
        <v>89.82</v>
      </c>
      <c r="E127" s="3524" t="s">
        <v>4101</v>
      </c>
      <c r="F127" s="3524">
        <f ca="1">'典型户型修正-住宅'!S149</f>
        <v>304</v>
      </c>
    </row>
    <row r="128" spans="2:6">
      <c r="B128" s="3524">
        <v>126</v>
      </c>
      <c r="C128" s="3524" t="str">
        <f>'典型户型修正-住宅'!A150</f>
        <v>3-3-201</v>
      </c>
      <c r="D128" s="3524">
        <f>'典型户型修正-住宅'!B150</f>
        <v>89.82</v>
      </c>
      <c r="E128" s="3524" t="s">
        <v>4101</v>
      </c>
      <c r="F128" s="3524">
        <f ca="1">'典型户型修正-住宅'!S150</f>
        <v>310</v>
      </c>
    </row>
    <row r="129" spans="2:6">
      <c r="B129" s="3524">
        <v>127</v>
      </c>
      <c r="C129" s="3524" t="str">
        <f>'典型户型修正-住宅'!A151</f>
        <v>3-3-202</v>
      </c>
      <c r="D129" s="3524">
        <f>'典型户型修正-住宅'!B151</f>
        <v>89.82</v>
      </c>
      <c r="E129" s="3524" t="s">
        <v>4101</v>
      </c>
      <c r="F129" s="3524">
        <f ca="1">'典型户型修正-住宅'!S151</f>
        <v>310</v>
      </c>
    </row>
    <row r="130" spans="2:6">
      <c r="B130" s="3524">
        <v>128</v>
      </c>
      <c r="C130" s="3524" t="str">
        <f>'典型户型修正-住宅'!A152</f>
        <v>3-3-302</v>
      </c>
      <c r="D130" s="3524">
        <f>'典型户型修正-住宅'!B152</f>
        <v>89.82</v>
      </c>
      <c r="E130" s="3524" t="s">
        <v>4101</v>
      </c>
      <c r="F130" s="3524">
        <f ca="1">'典型户型修正-住宅'!S152</f>
        <v>310</v>
      </c>
    </row>
    <row r="131" spans="2:6">
      <c r="B131" s="3524">
        <v>129</v>
      </c>
      <c r="C131" s="3524" t="str">
        <f>'典型户型修正-住宅'!A153</f>
        <v>3-3-401</v>
      </c>
      <c r="D131" s="3524">
        <f>'典型户型修正-住宅'!B153</f>
        <v>89.82</v>
      </c>
      <c r="E131" s="3524" t="s">
        <v>4101</v>
      </c>
      <c r="F131" s="3524">
        <f ca="1">'典型户型修正-住宅'!S153</f>
        <v>310</v>
      </c>
    </row>
    <row r="132" spans="2:6">
      <c r="B132" s="3524">
        <v>130</v>
      </c>
      <c r="C132" s="3524" t="str">
        <f>'典型户型修正-住宅'!A154</f>
        <v>3-3-402</v>
      </c>
      <c r="D132" s="3524">
        <f>'典型户型修正-住宅'!B154</f>
        <v>89.82</v>
      </c>
      <c r="E132" s="3524" t="s">
        <v>4101</v>
      </c>
      <c r="F132" s="3524">
        <f ca="1">'典型户型修正-住宅'!S154</f>
        <v>310</v>
      </c>
    </row>
    <row r="133" spans="2:6">
      <c r="B133" s="3524">
        <v>131</v>
      </c>
      <c r="C133" s="3524" t="str">
        <f>'典型户型修正-住宅'!A155</f>
        <v>3-3-502</v>
      </c>
      <c r="D133" s="3524">
        <f>'典型户型修正-住宅'!B155</f>
        <v>89.82</v>
      </c>
      <c r="E133" s="3524" t="s">
        <v>4101</v>
      </c>
      <c r="F133" s="3524">
        <f ca="1">'典型户型修正-住宅'!S155</f>
        <v>317</v>
      </c>
    </row>
    <row r="134" spans="2:6">
      <c r="B134" s="3524">
        <v>132</v>
      </c>
      <c r="C134" s="3524" t="str">
        <f>'典型户型修正-住宅'!A156</f>
        <v>3-3-601</v>
      </c>
      <c r="D134" s="3524">
        <f>'典型户型修正-住宅'!B156</f>
        <v>89.82</v>
      </c>
      <c r="E134" s="3524" t="s">
        <v>4101</v>
      </c>
      <c r="F134" s="3524">
        <f ca="1">'典型户型修正-住宅'!S156</f>
        <v>317</v>
      </c>
    </row>
    <row r="135" spans="2:6">
      <c r="B135" s="3524">
        <v>133</v>
      </c>
      <c r="C135" s="3524" t="str">
        <f>'典型户型修正-住宅'!A157</f>
        <v>3-3-602</v>
      </c>
      <c r="D135" s="3524">
        <f>'典型户型修正-住宅'!B157</f>
        <v>89.82</v>
      </c>
      <c r="E135" s="3524" t="s">
        <v>4101</v>
      </c>
      <c r="F135" s="3524">
        <f ca="1">'典型户型修正-住宅'!S157</f>
        <v>317</v>
      </c>
    </row>
    <row r="136" spans="2:6">
      <c r="B136" s="3524">
        <v>134</v>
      </c>
      <c r="C136" s="3524" t="str">
        <f>'典型户型修正-住宅'!A158</f>
        <v>3-3-802</v>
      </c>
      <c r="D136" s="3524">
        <f>'典型户型修正-住宅'!B158</f>
        <v>89.82</v>
      </c>
      <c r="E136" s="3524" t="s">
        <v>4101</v>
      </c>
      <c r="F136" s="3524">
        <f ca="1">'典型户型修正-住宅'!S158</f>
        <v>323</v>
      </c>
    </row>
    <row r="137" spans="2:6">
      <c r="B137" s="3524">
        <v>135</v>
      </c>
      <c r="C137" s="3524" t="str">
        <f>'典型户型修正-住宅'!A159</f>
        <v>3-3-1001</v>
      </c>
      <c r="D137" s="3524">
        <f>'典型户型修正-住宅'!B159</f>
        <v>89.82</v>
      </c>
      <c r="E137" s="3524" t="s">
        <v>4101</v>
      </c>
      <c r="F137" s="3524">
        <f ca="1">'典型户型修正-住宅'!S159</f>
        <v>323</v>
      </c>
    </row>
    <row r="138" spans="2:6">
      <c r="B138" s="3524">
        <v>136</v>
      </c>
      <c r="C138" s="3524" t="str">
        <f>'典型户型修正-住宅'!A160</f>
        <v>3-3-1002</v>
      </c>
      <c r="D138" s="3524">
        <f>'典型户型修正-住宅'!B160</f>
        <v>89.82</v>
      </c>
      <c r="E138" s="3524" t="s">
        <v>4101</v>
      </c>
      <c r="F138" s="3524">
        <f ca="1">'典型户型修正-住宅'!S160</f>
        <v>323</v>
      </c>
    </row>
    <row r="139" spans="2:6">
      <c r="B139" s="3524">
        <v>137</v>
      </c>
      <c r="C139" s="3524" t="str">
        <f>'典型户型修正-住宅'!A161</f>
        <v>3-3-1101</v>
      </c>
      <c r="D139" s="3524">
        <f>'典型户型修正-住宅'!B161</f>
        <v>89.82</v>
      </c>
      <c r="E139" s="3524" t="s">
        <v>4101</v>
      </c>
      <c r="F139" s="3524">
        <f ca="1">'典型户型修正-住宅'!S161</f>
        <v>304</v>
      </c>
    </row>
    <row r="140" spans="2:6">
      <c r="B140" s="3524">
        <v>138</v>
      </c>
      <c r="C140" s="3524" t="str">
        <f>'典型户型修正-住宅'!A162</f>
        <v>3-3-1102</v>
      </c>
      <c r="D140" s="3524">
        <f>'典型户型修正-住宅'!B162</f>
        <v>89.82</v>
      </c>
      <c r="E140" s="3524" t="s">
        <v>4101</v>
      </c>
      <c r="F140" s="3524">
        <f ca="1">'典型户型修正-住宅'!S162</f>
        <v>304</v>
      </c>
    </row>
    <row r="141" spans="2:6">
      <c r="B141" s="3524">
        <v>139</v>
      </c>
      <c r="C141" s="3524" t="str">
        <f>'典型户型修正-住宅'!A163</f>
        <v>3-4-101</v>
      </c>
      <c r="D141" s="3524">
        <f>'典型户型修正-住宅'!B163</f>
        <v>73.400000000000006</v>
      </c>
      <c r="E141" s="3524" t="s">
        <v>4101</v>
      </c>
      <c r="F141" s="3524">
        <f ca="1">'典型户型修正-住宅'!S163</f>
        <v>251</v>
      </c>
    </row>
    <row r="142" spans="2:6">
      <c r="B142" s="3524">
        <v>140</v>
      </c>
      <c r="C142" s="3524" t="str">
        <f>'典型户型修正-住宅'!A164</f>
        <v>3-4-102</v>
      </c>
      <c r="D142" s="3524">
        <f>'典型户型修正-住宅'!B164</f>
        <v>174.31</v>
      </c>
      <c r="E142" s="3524" t="s">
        <v>4101</v>
      </c>
      <c r="F142" s="3524">
        <f ca="1">'典型户型修正-住宅'!S164</f>
        <v>591</v>
      </c>
    </row>
    <row r="143" spans="2:6">
      <c r="B143" s="3524">
        <v>141</v>
      </c>
      <c r="C143" s="3524" t="str">
        <f>'典型户型修正-住宅'!A165</f>
        <v>3-4-201</v>
      </c>
      <c r="D143" s="3524">
        <f>'典型户型修正-住宅'!B165</f>
        <v>89.82</v>
      </c>
      <c r="E143" s="3524" t="s">
        <v>4101</v>
      </c>
      <c r="F143" s="3524">
        <f ca="1">'典型户型修正-住宅'!S165</f>
        <v>310</v>
      </c>
    </row>
    <row r="144" spans="2:6">
      <c r="B144" s="3524">
        <v>142</v>
      </c>
      <c r="C144" s="3524" t="str">
        <f>'典型户型修正-住宅'!A166</f>
        <v>3-4-301</v>
      </c>
      <c r="D144" s="3524">
        <f>'典型户型修正-住宅'!B166</f>
        <v>89.82</v>
      </c>
      <c r="E144" s="3524" t="s">
        <v>4101</v>
      </c>
      <c r="F144" s="3524">
        <f ca="1">'典型户型修正-住宅'!S166</f>
        <v>310</v>
      </c>
    </row>
    <row r="145" spans="2:6">
      <c r="B145" s="3524">
        <v>143</v>
      </c>
      <c r="C145" s="3524" t="str">
        <f>'典型户型修正-住宅'!A167</f>
        <v>3-4-302</v>
      </c>
      <c r="D145" s="3524">
        <f>'典型户型修正-住宅'!B167</f>
        <v>87.15</v>
      </c>
      <c r="E145" s="3524" t="s">
        <v>4101</v>
      </c>
      <c r="F145" s="3524">
        <f ca="1">'典型户型修正-住宅'!S167</f>
        <v>301</v>
      </c>
    </row>
    <row r="146" spans="2:6">
      <c r="B146" s="3524">
        <v>144</v>
      </c>
      <c r="C146" s="3524" t="str">
        <f>'典型户型修正-住宅'!A168</f>
        <v>3-4-402</v>
      </c>
      <c r="D146" s="3524">
        <f>'典型户型修正-住宅'!B168</f>
        <v>87.15</v>
      </c>
      <c r="E146" s="3524" t="s">
        <v>4101</v>
      </c>
      <c r="F146" s="3524">
        <f ca="1">'典型户型修正-住宅'!S168</f>
        <v>301</v>
      </c>
    </row>
    <row r="147" spans="2:6">
      <c r="B147" s="3524">
        <v>145</v>
      </c>
      <c r="C147" s="3524" t="str">
        <f>'典型户型修正-住宅'!A169</f>
        <v>3-4-501</v>
      </c>
      <c r="D147" s="3524">
        <f>'典型户型修正-住宅'!B169</f>
        <v>89.82</v>
      </c>
      <c r="E147" s="3524" t="s">
        <v>4101</v>
      </c>
      <c r="F147" s="3524">
        <f ca="1">'典型户型修正-住宅'!S169</f>
        <v>317</v>
      </c>
    </row>
    <row r="148" spans="2:6">
      <c r="B148" s="3524">
        <v>146</v>
      </c>
      <c r="C148" s="3524" t="str">
        <f>'典型户型修正-住宅'!A170</f>
        <v>3-4-502</v>
      </c>
      <c r="D148" s="3524">
        <f>'典型户型修正-住宅'!B170</f>
        <v>87.15</v>
      </c>
      <c r="E148" s="3524" t="s">
        <v>4101</v>
      </c>
      <c r="F148" s="3524">
        <f ca="1">'典型户型修正-住宅'!S170</f>
        <v>307</v>
      </c>
    </row>
    <row r="149" spans="2:6">
      <c r="B149" s="3524">
        <v>147</v>
      </c>
      <c r="C149" s="3524" t="str">
        <f>'典型户型修正-住宅'!A171</f>
        <v>3-4-601</v>
      </c>
      <c r="D149" s="3524">
        <f>'典型户型修正-住宅'!B171</f>
        <v>89.82</v>
      </c>
      <c r="E149" s="3524" t="s">
        <v>4101</v>
      </c>
      <c r="F149" s="3524">
        <f ca="1">'典型户型修正-住宅'!S171</f>
        <v>317</v>
      </c>
    </row>
    <row r="150" spans="2:6">
      <c r="B150" s="3524">
        <v>148</v>
      </c>
      <c r="C150" s="3524" t="str">
        <f>'典型户型修正-住宅'!A172</f>
        <v>3-4-602</v>
      </c>
      <c r="D150" s="3524">
        <f>'典型户型修正-住宅'!B172</f>
        <v>87.15</v>
      </c>
      <c r="E150" s="3524" t="s">
        <v>4101</v>
      </c>
      <c r="F150" s="3524">
        <f ca="1">'典型户型修正-住宅'!S172</f>
        <v>307</v>
      </c>
    </row>
    <row r="151" spans="2:6">
      <c r="B151" s="3524">
        <v>149</v>
      </c>
      <c r="C151" s="3524" t="str">
        <f>'典型户型修正-住宅'!A173</f>
        <v>3-4-701</v>
      </c>
      <c r="D151" s="3524">
        <f>'典型户型修正-住宅'!B173</f>
        <v>89.82</v>
      </c>
      <c r="E151" s="3524" t="s">
        <v>4101</v>
      </c>
      <c r="F151" s="3524">
        <f ca="1">'典型户型修正-住宅'!S173</f>
        <v>317</v>
      </c>
    </row>
    <row r="152" spans="2:6">
      <c r="B152" s="3524">
        <v>150</v>
      </c>
      <c r="C152" s="3524" t="str">
        <f>'典型户型修正-住宅'!A174</f>
        <v>3-4-702</v>
      </c>
      <c r="D152" s="3524">
        <f>'典型户型修正-住宅'!B174</f>
        <v>87.15</v>
      </c>
      <c r="E152" s="3524" t="s">
        <v>4101</v>
      </c>
      <c r="F152" s="3524">
        <f ca="1">'典型户型修正-住宅'!S174</f>
        <v>307</v>
      </c>
    </row>
    <row r="153" spans="2:6">
      <c r="B153" s="3524">
        <v>151</v>
      </c>
      <c r="C153" s="3524" t="str">
        <f>'典型户型修正-住宅'!A175</f>
        <v>3-4-801</v>
      </c>
      <c r="D153" s="3524">
        <f>'典型户型修正-住宅'!B175</f>
        <v>89.82</v>
      </c>
      <c r="E153" s="3524" t="s">
        <v>4101</v>
      </c>
      <c r="F153" s="3524">
        <f ca="1">'典型户型修正-住宅'!S175</f>
        <v>323</v>
      </c>
    </row>
    <row r="154" spans="2:6">
      <c r="B154" s="3524">
        <v>152</v>
      </c>
      <c r="C154" s="3524" t="str">
        <f>'典型户型修正-住宅'!A176</f>
        <v>3-4-802</v>
      </c>
      <c r="D154" s="3524">
        <f>'典型户型修正-住宅'!B176</f>
        <v>87.15</v>
      </c>
      <c r="E154" s="3524" t="s">
        <v>4101</v>
      </c>
      <c r="F154" s="3524">
        <f ca="1">'典型户型修正-住宅'!S176</f>
        <v>314</v>
      </c>
    </row>
    <row r="155" spans="2:6">
      <c r="B155" s="3524">
        <v>153</v>
      </c>
      <c r="C155" s="3524" t="str">
        <f>'典型户型修正-住宅'!A177</f>
        <v>3-4-901</v>
      </c>
      <c r="D155" s="3524">
        <f>'典型户型修正-住宅'!B177</f>
        <v>89.82</v>
      </c>
      <c r="E155" s="3524" t="s">
        <v>4101</v>
      </c>
      <c r="F155" s="3524">
        <f ca="1">'典型户型修正-住宅'!S177</f>
        <v>323</v>
      </c>
    </row>
    <row r="156" spans="2:6">
      <c r="B156" s="3524">
        <v>154</v>
      </c>
      <c r="C156" s="3524" t="str">
        <f>'典型户型修正-住宅'!A178</f>
        <v>3-4-902</v>
      </c>
      <c r="D156" s="3524">
        <f>'典型户型修正-住宅'!B178</f>
        <v>87.15</v>
      </c>
      <c r="E156" s="3524" t="s">
        <v>4101</v>
      </c>
      <c r="F156" s="3524">
        <f ca="1">'典型户型修正-住宅'!S178</f>
        <v>314</v>
      </c>
    </row>
    <row r="157" spans="2:6">
      <c r="B157" s="3524">
        <v>155</v>
      </c>
      <c r="C157" s="3524" t="str">
        <f>'典型户型修正-住宅'!A179</f>
        <v>3-4-1001</v>
      </c>
      <c r="D157" s="3524">
        <f>'典型户型修正-住宅'!B179</f>
        <v>89.82</v>
      </c>
      <c r="E157" s="3524" t="s">
        <v>4101</v>
      </c>
      <c r="F157" s="3524">
        <f ca="1">'典型户型修正-住宅'!S179</f>
        <v>323</v>
      </c>
    </row>
    <row r="158" spans="2:6">
      <c r="B158" s="3524">
        <v>156</v>
      </c>
      <c r="C158" s="3524" t="str">
        <f>'典型户型修正-住宅'!A180</f>
        <v>3-4-1101</v>
      </c>
      <c r="D158" s="3524">
        <f>'典型户型修正-住宅'!B180</f>
        <v>89.82</v>
      </c>
      <c r="E158" s="3524" t="s">
        <v>4101</v>
      </c>
      <c r="F158" s="3524">
        <f ca="1">'典型户型修正-住宅'!S180</f>
        <v>304</v>
      </c>
    </row>
    <row r="159" spans="2:6">
      <c r="B159" s="3524">
        <v>157</v>
      </c>
      <c r="C159" s="3524" t="str">
        <f>'典型户型修正-住宅'!A181</f>
        <v>3-4-1102</v>
      </c>
      <c r="D159" s="3524">
        <f>'典型户型修正-住宅'!B181</f>
        <v>87.15</v>
      </c>
      <c r="E159" s="3524" t="s">
        <v>4101</v>
      </c>
      <c r="F159" s="3524">
        <f ca="1">'典型户型修正-住宅'!S181</f>
        <v>295</v>
      </c>
    </row>
    <row r="160" spans="2:6">
      <c r="B160" s="3524">
        <v>158</v>
      </c>
      <c r="C160" s="3524" t="str">
        <f>'典型户型修正-住宅'!A182</f>
        <v>19-1-501</v>
      </c>
      <c r="D160" s="3524">
        <f>'典型户型修正-住宅'!B182</f>
        <v>77.38</v>
      </c>
      <c r="E160" s="3524" t="s">
        <v>4101</v>
      </c>
      <c r="F160" s="3524">
        <f ca="1">'典型户型修正-住宅'!S182</f>
        <v>265</v>
      </c>
    </row>
    <row r="161" spans="2:6">
      <c r="B161" s="3524">
        <v>159</v>
      </c>
      <c r="C161" s="3524" t="str">
        <f>'典型户型修正-住宅'!A183</f>
        <v>19-2-501</v>
      </c>
      <c r="D161" s="3524">
        <f>'典型户型修正-住宅'!B183</f>
        <v>76.819999999999993</v>
      </c>
      <c r="E161" s="3524" t="s">
        <v>4101</v>
      </c>
      <c r="F161" s="3524">
        <f ca="1">'典型户型修正-住宅'!S183</f>
        <v>279</v>
      </c>
    </row>
    <row r="162" spans="2:6">
      <c r="B162" s="3524">
        <v>160</v>
      </c>
      <c r="C162" s="3524" t="str">
        <f>'典型户型修正-住宅'!A184</f>
        <v>19-2-502</v>
      </c>
      <c r="D162" s="3524">
        <f>'典型户型修正-住宅'!B184</f>
        <v>76.819999999999993</v>
      </c>
      <c r="E162" s="3524" t="s">
        <v>4101</v>
      </c>
      <c r="F162" s="3524">
        <f ca="1">'典型户型修正-住宅'!S184</f>
        <v>279</v>
      </c>
    </row>
    <row r="163" spans="2:6">
      <c r="B163" s="3524">
        <v>161</v>
      </c>
      <c r="C163" s="3524" t="str">
        <f>'典型户型修正-住宅'!A185</f>
        <v>14-1-101</v>
      </c>
      <c r="D163" s="3524">
        <f>'典型户型修正-住宅'!B185</f>
        <v>77.47</v>
      </c>
      <c r="E163" s="3524" t="s">
        <v>4101</v>
      </c>
      <c r="F163" s="3524">
        <f ca="1">'典型户型修正-住宅'!S185</f>
        <v>265</v>
      </c>
    </row>
    <row r="164" spans="2:6">
      <c r="B164" s="3524">
        <v>162</v>
      </c>
      <c r="C164" s="3524" t="str">
        <f>'典型户型修正-住宅'!A186</f>
        <v>14-2-501</v>
      </c>
      <c r="D164" s="3524">
        <f>'典型户型修正-住宅'!B186</f>
        <v>76.91</v>
      </c>
      <c r="E164" s="3524" t="s">
        <v>4101</v>
      </c>
      <c r="F164" s="3524">
        <f ca="1">'典型户型修正-住宅'!S186</f>
        <v>279</v>
      </c>
    </row>
    <row r="165" spans="2:6">
      <c r="B165" s="3524">
        <v>163</v>
      </c>
      <c r="C165" s="3524" t="str">
        <f>'典型户型修正-住宅'!A187</f>
        <v>14-2-502</v>
      </c>
      <c r="D165" s="3524">
        <f>'典型户型修正-住宅'!B187</f>
        <v>76.91</v>
      </c>
      <c r="E165" s="3524" t="s">
        <v>4101</v>
      </c>
      <c r="F165" s="3524">
        <f ca="1">'典型户型修正-住宅'!S187</f>
        <v>279</v>
      </c>
    </row>
    <row r="166" spans="2:6">
      <c r="B166" s="3525" t="s">
        <v>4096</v>
      </c>
      <c r="C166" s="3525" t="s">
        <v>4097</v>
      </c>
      <c r="D166" s="3525">
        <f>SUM(D3:D165)</f>
        <v>14328.91999999998</v>
      </c>
      <c r="E166" s="3525"/>
      <c r="F166" s="3525">
        <f ca="1">SUM(F3:F165)</f>
        <v>50053</v>
      </c>
    </row>
    <row r="167" spans="2:6">
      <c r="B167" s="3524">
        <v>1</v>
      </c>
      <c r="C167" s="3524" t="str">
        <f>'典型户型修正-车库'!A24</f>
        <v>B1002</v>
      </c>
      <c r="D167" s="3524">
        <f>'典型户型修正-车库'!B24</f>
        <v>29.05</v>
      </c>
      <c r="E167" s="3524" t="s">
        <v>4102</v>
      </c>
      <c r="F167" s="3524">
        <f ca="1">'典型户型修正-车库'!S24</f>
        <v>12</v>
      </c>
    </row>
    <row r="168" spans="2:6">
      <c r="B168" s="3524">
        <v>2</v>
      </c>
      <c r="C168" s="3524" t="str">
        <f>'典型户型修正-车库'!A25</f>
        <v>B1011</v>
      </c>
      <c r="D168" s="3524">
        <f>'典型户型修正-车库'!B25</f>
        <v>29.05</v>
      </c>
      <c r="E168" s="3524" t="s">
        <v>4102</v>
      </c>
      <c r="F168" s="3524">
        <f ca="1">'典型户型修正-车库'!S25</f>
        <v>12</v>
      </c>
    </row>
    <row r="169" spans="2:6">
      <c r="B169" s="3524">
        <v>3</v>
      </c>
      <c r="C169" s="3524" t="str">
        <f>'典型户型修正-车库'!A26</f>
        <v>B1012</v>
      </c>
      <c r="D169" s="3524">
        <f>'典型户型修正-车库'!B26</f>
        <v>29.05</v>
      </c>
      <c r="E169" s="3524" t="s">
        <v>4102</v>
      </c>
      <c r="F169" s="3524">
        <f ca="1">'典型户型修正-车库'!S26</f>
        <v>12</v>
      </c>
    </row>
    <row r="170" spans="2:6">
      <c r="B170" s="3524">
        <v>4</v>
      </c>
      <c r="C170" s="3524" t="str">
        <f>'典型户型修正-车库'!A27</f>
        <v>B1015</v>
      </c>
      <c r="D170" s="3524">
        <f>'典型户型修正-车库'!B27</f>
        <v>29.05</v>
      </c>
      <c r="E170" s="3524" t="s">
        <v>4102</v>
      </c>
      <c r="F170" s="3524">
        <f ca="1">'典型户型修正-车库'!S27</f>
        <v>12</v>
      </c>
    </row>
    <row r="171" spans="2:6">
      <c r="B171" s="3524">
        <v>5</v>
      </c>
      <c r="C171" s="3524" t="str">
        <f>'典型户型修正-车库'!A28</f>
        <v>B1017</v>
      </c>
      <c r="D171" s="3524">
        <f>'典型户型修正-车库'!B28</f>
        <v>29.05</v>
      </c>
      <c r="E171" s="3524" t="s">
        <v>4102</v>
      </c>
      <c r="F171" s="3524">
        <f ca="1">'典型户型修正-车库'!S28</f>
        <v>12</v>
      </c>
    </row>
    <row r="172" spans="2:6">
      <c r="B172" s="3524">
        <v>6</v>
      </c>
      <c r="C172" s="3524" t="str">
        <f>'典型户型修正-车库'!A29</f>
        <v>B1020</v>
      </c>
      <c r="D172" s="3524">
        <f>'典型户型修正-车库'!B29</f>
        <v>29.05</v>
      </c>
      <c r="E172" s="3524" t="s">
        <v>4102</v>
      </c>
      <c r="F172" s="3524">
        <f ca="1">'典型户型修正-车库'!S29</f>
        <v>12</v>
      </c>
    </row>
    <row r="173" spans="2:6">
      <c r="B173" s="3524">
        <v>7</v>
      </c>
      <c r="C173" s="3524" t="str">
        <f>'典型户型修正-车库'!A30</f>
        <v>B1026</v>
      </c>
      <c r="D173" s="3524">
        <f>'典型户型修正-车库'!B30</f>
        <v>29.05</v>
      </c>
      <c r="E173" s="3524" t="s">
        <v>4102</v>
      </c>
      <c r="F173" s="3524">
        <f ca="1">'典型户型修正-车库'!S30</f>
        <v>12</v>
      </c>
    </row>
    <row r="174" spans="2:6">
      <c r="B174" s="3524">
        <v>8</v>
      </c>
      <c r="C174" s="3524" t="str">
        <f>'典型户型修正-车库'!A31</f>
        <v>B1029</v>
      </c>
      <c r="D174" s="3524">
        <f>'典型户型修正-车库'!B31</f>
        <v>29.05</v>
      </c>
      <c r="E174" s="3524" t="s">
        <v>4102</v>
      </c>
      <c r="F174" s="3524">
        <f ca="1">'典型户型修正-车库'!S31</f>
        <v>12</v>
      </c>
    </row>
    <row r="175" spans="2:6">
      <c r="B175" s="3524">
        <v>9</v>
      </c>
      <c r="C175" s="3524" t="str">
        <f>'典型户型修正-车库'!A32</f>
        <v>B1033</v>
      </c>
      <c r="D175" s="3524">
        <f>'典型户型修正-车库'!B32</f>
        <v>29.05</v>
      </c>
      <c r="E175" s="3524" t="s">
        <v>4102</v>
      </c>
      <c r="F175" s="3524">
        <f ca="1">'典型户型修正-车库'!S32</f>
        <v>12</v>
      </c>
    </row>
    <row r="176" spans="2:6">
      <c r="B176" s="3524">
        <v>10</v>
      </c>
      <c r="C176" s="3524" t="str">
        <f>'典型户型修正-车库'!A33</f>
        <v>B1034</v>
      </c>
      <c r="D176" s="3524">
        <f>'典型户型修正-车库'!B33</f>
        <v>29.05</v>
      </c>
      <c r="E176" s="3524" t="s">
        <v>4102</v>
      </c>
      <c r="F176" s="3524">
        <f ca="1">'典型户型修正-车库'!S33</f>
        <v>12</v>
      </c>
    </row>
    <row r="177" spans="2:6">
      <c r="B177" s="3524">
        <v>11</v>
      </c>
      <c r="C177" s="3524" t="str">
        <f>'典型户型修正-车库'!A34</f>
        <v>B1038</v>
      </c>
      <c r="D177" s="3524">
        <f>'典型户型修正-车库'!B34</f>
        <v>29.05</v>
      </c>
      <c r="E177" s="3524" t="s">
        <v>4102</v>
      </c>
      <c r="F177" s="3524">
        <f ca="1">'典型户型修正-车库'!S34</f>
        <v>12</v>
      </c>
    </row>
    <row r="178" spans="2:6">
      <c r="B178" s="3524">
        <v>12</v>
      </c>
      <c r="C178" s="3524" t="str">
        <f>'典型户型修正-车库'!A35</f>
        <v>B1039</v>
      </c>
      <c r="D178" s="3524">
        <f>'典型户型修正-车库'!B35</f>
        <v>29.05</v>
      </c>
      <c r="E178" s="3524" t="s">
        <v>4102</v>
      </c>
      <c r="F178" s="3524">
        <f ca="1">'典型户型修正-车库'!S35</f>
        <v>12</v>
      </c>
    </row>
    <row r="179" spans="2:6">
      <c r="B179" s="3524">
        <v>13</v>
      </c>
      <c r="C179" s="3524" t="str">
        <f>'典型户型修正-车库'!A36</f>
        <v>B1040</v>
      </c>
      <c r="D179" s="3524">
        <f>'典型户型修正-车库'!B36</f>
        <v>29.05</v>
      </c>
      <c r="E179" s="3524" t="s">
        <v>4102</v>
      </c>
      <c r="F179" s="3524">
        <f ca="1">'典型户型修正-车库'!S36</f>
        <v>12</v>
      </c>
    </row>
    <row r="180" spans="2:6">
      <c r="B180" s="3524">
        <v>14</v>
      </c>
      <c r="C180" s="3524" t="str">
        <f>'典型户型修正-车库'!A37</f>
        <v>B1043</v>
      </c>
      <c r="D180" s="3524">
        <f>'典型户型修正-车库'!B37</f>
        <v>29.05</v>
      </c>
      <c r="E180" s="3524" t="s">
        <v>4102</v>
      </c>
      <c r="F180" s="3524">
        <f ca="1">'典型户型修正-车库'!S37</f>
        <v>12</v>
      </c>
    </row>
    <row r="181" spans="2:6">
      <c r="B181" s="3524">
        <v>15</v>
      </c>
      <c r="C181" s="3524" t="str">
        <f>'典型户型修正-车库'!A38</f>
        <v>B1045</v>
      </c>
      <c r="D181" s="3524">
        <f>'典型户型修正-车库'!B38</f>
        <v>29.05</v>
      </c>
      <c r="E181" s="3524" t="s">
        <v>4102</v>
      </c>
      <c r="F181" s="3524">
        <f ca="1">'典型户型修正-车库'!S38</f>
        <v>12</v>
      </c>
    </row>
    <row r="182" spans="2:6">
      <c r="B182" s="3524">
        <v>16</v>
      </c>
      <c r="C182" s="3524" t="str">
        <f>'典型户型修正-车库'!A39</f>
        <v>B1046</v>
      </c>
      <c r="D182" s="3524">
        <f>'典型户型修正-车库'!B39</f>
        <v>29.05</v>
      </c>
      <c r="E182" s="3524" t="s">
        <v>4102</v>
      </c>
      <c r="F182" s="3524">
        <f ca="1">'典型户型修正-车库'!S39</f>
        <v>12</v>
      </c>
    </row>
    <row r="183" spans="2:6">
      <c r="B183" s="3524">
        <v>17</v>
      </c>
      <c r="C183" s="3524" t="str">
        <f>'典型户型修正-车库'!A40</f>
        <v>B1048</v>
      </c>
      <c r="D183" s="3524">
        <f>'典型户型修正-车库'!B40</f>
        <v>29.05</v>
      </c>
      <c r="E183" s="3524" t="s">
        <v>4102</v>
      </c>
      <c r="F183" s="3524">
        <f ca="1">'典型户型修正-车库'!S40</f>
        <v>12</v>
      </c>
    </row>
    <row r="184" spans="2:6">
      <c r="B184" s="3524">
        <v>18</v>
      </c>
      <c r="C184" s="3524" t="str">
        <f>'典型户型修正-车库'!A41</f>
        <v>B1049</v>
      </c>
      <c r="D184" s="3524">
        <f>'典型户型修正-车库'!B41</f>
        <v>29.05</v>
      </c>
      <c r="E184" s="3524" t="s">
        <v>4102</v>
      </c>
      <c r="F184" s="3524">
        <f ca="1">'典型户型修正-车库'!S41</f>
        <v>12</v>
      </c>
    </row>
    <row r="185" spans="2:6">
      <c r="B185" s="3524">
        <v>19</v>
      </c>
      <c r="C185" s="3524" t="str">
        <f>'典型户型修正-车库'!A42</f>
        <v>B1052</v>
      </c>
      <c r="D185" s="3524">
        <f>'典型户型修正-车库'!B42</f>
        <v>29.05</v>
      </c>
      <c r="E185" s="3524" t="s">
        <v>4102</v>
      </c>
      <c r="F185" s="3524">
        <f ca="1">'典型户型修正-车库'!S42</f>
        <v>12</v>
      </c>
    </row>
    <row r="186" spans="2:6">
      <c r="B186" s="3524">
        <v>20</v>
      </c>
      <c r="C186" s="3524" t="str">
        <f>'典型户型修正-车库'!A43</f>
        <v>B1054</v>
      </c>
      <c r="D186" s="3524">
        <f>'典型户型修正-车库'!B43</f>
        <v>29.05</v>
      </c>
      <c r="E186" s="3524" t="s">
        <v>4102</v>
      </c>
      <c r="F186" s="3524">
        <f ca="1">'典型户型修正-车库'!S43</f>
        <v>12</v>
      </c>
    </row>
    <row r="187" spans="2:6">
      <c r="B187" s="3524">
        <v>21</v>
      </c>
      <c r="C187" s="3524" t="str">
        <f>'典型户型修正-车库'!A44</f>
        <v>B1055</v>
      </c>
      <c r="D187" s="3524">
        <f>'典型户型修正-车库'!B44</f>
        <v>29.05</v>
      </c>
      <c r="E187" s="3524" t="s">
        <v>4102</v>
      </c>
      <c r="F187" s="3524">
        <f ca="1">'典型户型修正-车库'!S44</f>
        <v>12</v>
      </c>
    </row>
    <row r="188" spans="2:6">
      <c r="B188" s="3524">
        <v>22</v>
      </c>
      <c r="C188" s="3524" t="str">
        <f>'典型户型修正-车库'!A45</f>
        <v>B1057</v>
      </c>
      <c r="D188" s="3524">
        <f>'典型户型修正-车库'!B45</f>
        <v>29.05</v>
      </c>
      <c r="E188" s="3524" t="s">
        <v>4102</v>
      </c>
      <c r="F188" s="3524">
        <f ca="1">'典型户型修正-车库'!S45</f>
        <v>12</v>
      </c>
    </row>
    <row r="189" spans="2:6">
      <c r="B189" s="3524">
        <v>23</v>
      </c>
      <c r="C189" s="3524" t="str">
        <f>'典型户型修正-车库'!A46</f>
        <v>B1058</v>
      </c>
      <c r="D189" s="3524">
        <f>'典型户型修正-车库'!B46</f>
        <v>29.05</v>
      </c>
      <c r="E189" s="3524" t="s">
        <v>4102</v>
      </c>
      <c r="F189" s="3524">
        <f ca="1">'典型户型修正-车库'!S46</f>
        <v>12</v>
      </c>
    </row>
    <row r="190" spans="2:6">
      <c r="B190" s="3524">
        <v>24</v>
      </c>
      <c r="C190" s="3524" t="str">
        <f>'典型户型修正-车库'!A47</f>
        <v>B1060</v>
      </c>
      <c r="D190" s="3524">
        <f>'典型户型修正-车库'!B47</f>
        <v>29.05</v>
      </c>
      <c r="E190" s="3524" t="s">
        <v>4102</v>
      </c>
      <c r="F190" s="3524">
        <f ca="1">'典型户型修正-车库'!S47</f>
        <v>12</v>
      </c>
    </row>
    <row r="191" spans="2:6">
      <c r="B191" s="3524">
        <v>25</v>
      </c>
      <c r="C191" s="3524" t="str">
        <f>'典型户型修正-车库'!A48</f>
        <v>B1061</v>
      </c>
      <c r="D191" s="3524">
        <f>'典型户型修正-车库'!B48</f>
        <v>29.05</v>
      </c>
      <c r="E191" s="3524" t="s">
        <v>4102</v>
      </c>
      <c r="F191" s="3524">
        <f ca="1">'典型户型修正-车库'!S48</f>
        <v>12</v>
      </c>
    </row>
    <row r="192" spans="2:6">
      <c r="B192" s="3524">
        <v>26</v>
      </c>
      <c r="C192" s="3524" t="str">
        <f>'典型户型修正-车库'!A49</f>
        <v>B1062</v>
      </c>
      <c r="D192" s="3524">
        <f>'典型户型修正-车库'!B49</f>
        <v>29.05</v>
      </c>
      <c r="E192" s="3524" t="s">
        <v>4102</v>
      </c>
      <c r="F192" s="3524">
        <f ca="1">'典型户型修正-车库'!S49</f>
        <v>12</v>
      </c>
    </row>
    <row r="193" spans="2:6">
      <c r="B193" s="3524">
        <v>27</v>
      </c>
      <c r="C193" s="3524" t="str">
        <f>'典型户型修正-车库'!A50</f>
        <v>B1063</v>
      </c>
      <c r="D193" s="3524">
        <f>'典型户型修正-车库'!B50</f>
        <v>29.05</v>
      </c>
      <c r="E193" s="3524" t="s">
        <v>4102</v>
      </c>
      <c r="F193" s="3524">
        <f ca="1">'典型户型修正-车库'!S50</f>
        <v>12</v>
      </c>
    </row>
    <row r="194" spans="2:6">
      <c r="B194" s="3524">
        <v>28</v>
      </c>
      <c r="C194" s="3524" t="str">
        <f>'典型户型修正-车库'!A51</f>
        <v>B1064</v>
      </c>
      <c r="D194" s="3524">
        <f>'典型户型修正-车库'!B51</f>
        <v>29.05</v>
      </c>
      <c r="E194" s="3524" t="s">
        <v>4102</v>
      </c>
      <c r="F194" s="3524">
        <f ca="1">'典型户型修正-车库'!S51</f>
        <v>12</v>
      </c>
    </row>
    <row r="195" spans="2:6">
      <c r="B195" s="3524">
        <v>29</v>
      </c>
      <c r="C195" s="3524" t="str">
        <f>'典型户型修正-车库'!A52</f>
        <v>B1067</v>
      </c>
      <c r="D195" s="3524">
        <f>'典型户型修正-车库'!B52</f>
        <v>29.05</v>
      </c>
      <c r="E195" s="3524" t="s">
        <v>4102</v>
      </c>
      <c r="F195" s="3524">
        <f ca="1">'典型户型修正-车库'!S52</f>
        <v>12</v>
      </c>
    </row>
    <row r="196" spans="2:6">
      <c r="B196" s="3524">
        <v>30</v>
      </c>
      <c r="C196" s="3524" t="str">
        <f>'典型户型修正-车库'!A53</f>
        <v>B1068</v>
      </c>
      <c r="D196" s="3524">
        <f>'典型户型修正-车库'!B53</f>
        <v>29.05</v>
      </c>
      <c r="E196" s="3524" t="s">
        <v>4102</v>
      </c>
      <c r="F196" s="3524">
        <f ca="1">'典型户型修正-车库'!S53</f>
        <v>12</v>
      </c>
    </row>
    <row r="197" spans="2:6">
      <c r="B197" s="3524">
        <v>31</v>
      </c>
      <c r="C197" s="3524" t="str">
        <f>'典型户型修正-车库'!A54</f>
        <v>B1069</v>
      </c>
      <c r="D197" s="3524">
        <f>'典型户型修正-车库'!B54</f>
        <v>29.05</v>
      </c>
      <c r="E197" s="3524" t="s">
        <v>4102</v>
      </c>
      <c r="F197" s="3524">
        <f ca="1">'典型户型修正-车库'!S54</f>
        <v>12</v>
      </c>
    </row>
    <row r="198" spans="2:6">
      <c r="B198" s="3524">
        <v>32</v>
      </c>
      <c r="C198" s="3524" t="str">
        <f>'典型户型修正-车库'!A55</f>
        <v>B1070</v>
      </c>
      <c r="D198" s="3524">
        <f>'典型户型修正-车库'!B55</f>
        <v>29.05</v>
      </c>
      <c r="E198" s="3524" t="s">
        <v>4102</v>
      </c>
      <c r="F198" s="3524">
        <f ca="1">'典型户型修正-车库'!S55</f>
        <v>12</v>
      </c>
    </row>
    <row r="199" spans="2:6">
      <c r="B199" s="3524">
        <v>33</v>
      </c>
      <c r="C199" s="3524" t="str">
        <f>'典型户型修正-车库'!A56</f>
        <v>B1071</v>
      </c>
      <c r="D199" s="3524">
        <f>'典型户型修正-车库'!B56</f>
        <v>29.05</v>
      </c>
      <c r="E199" s="3524" t="s">
        <v>4102</v>
      </c>
      <c r="F199" s="3524">
        <f ca="1">'典型户型修正-车库'!S56</f>
        <v>12</v>
      </c>
    </row>
    <row r="200" spans="2:6">
      <c r="B200" s="3524">
        <v>34</v>
      </c>
      <c r="C200" s="3524" t="str">
        <f>'典型户型修正-车库'!A57</f>
        <v>B1072</v>
      </c>
      <c r="D200" s="3524">
        <f>'典型户型修正-车库'!B57</f>
        <v>29.05</v>
      </c>
      <c r="E200" s="3524" t="s">
        <v>4102</v>
      </c>
      <c r="F200" s="3524">
        <f ca="1">'典型户型修正-车库'!S57</f>
        <v>12</v>
      </c>
    </row>
    <row r="201" spans="2:6">
      <c r="B201" s="3524">
        <v>35</v>
      </c>
      <c r="C201" s="3524" t="str">
        <f>'典型户型修正-车库'!A58</f>
        <v>B1073</v>
      </c>
      <c r="D201" s="3524">
        <f>'典型户型修正-车库'!B58</f>
        <v>29.05</v>
      </c>
      <c r="E201" s="3524" t="s">
        <v>4102</v>
      </c>
      <c r="F201" s="3524">
        <f ca="1">'典型户型修正-车库'!S58</f>
        <v>12</v>
      </c>
    </row>
    <row r="202" spans="2:6">
      <c r="B202" s="3524">
        <v>36</v>
      </c>
      <c r="C202" s="3524" t="str">
        <f>'典型户型修正-车库'!A59</f>
        <v>B1074</v>
      </c>
      <c r="D202" s="3524">
        <f>'典型户型修正-车库'!B59</f>
        <v>29.05</v>
      </c>
      <c r="E202" s="3524" t="s">
        <v>4102</v>
      </c>
      <c r="F202" s="3524">
        <f ca="1">'典型户型修正-车库'!S59</f>
        <v>12</v>
      </c>
    </row>
    <row r="203" spans="2:6">
      <c r="B203" s="3524">
        <v>37</v>
      </c>
      <c r="C203" s="3524" t="str">
        <f>'典型户型修正-车库'!A60</f>
        <v>B1075</v>
      </c>
      <c r="D203" s="3524">
        <f>'典型户型修正-车库'!B60</f>
        <v>29.05</v>
      </c>
      <c r="E203" s="3524" t="s">
        <v>4102</v>
      </c>
      <c r="F203" s="3524">
        <f ca="1">'典型户型修正-车库'!S60</f>
        <v>12</v>
      </c>
    </row>
    <row r="204" spans="2:6">
      <c r="B204" s="3524">
        <v>38</v>
      </c>
      <c r="C204" s="3524" t="str">
        <f>'典型户型修正-车库'!A61</f>
        <v>B1076</v>
      </c>
      <c r="D204" s="3524">
        <f>'典型户型修正-车库'!B61</f>
        <v>29.05</v>
      </c>
      <c r="E204" s="3524" t="s">
        <v>4102</v>
      </c>
      <c r="F204" s="3524">
        <f ca="1">'典型户型修正-车库'!S61</f>
        <v>12</v>
      </c>
    </row>
    <row r="205" spans="2:6">
      <c r="B205" s="3524">
        <v>39</v>
      </c>
      <c r="C205" s="3524" t="str">
        <f>'典型户型修正-车库'!A62</f>
        <v>B1077</v>
      </c>
      <c r="D205" s="3524">
        <f>'典型户型修正-车库'!B62</f>
        <v>29.05</v>
      </c>
      <c r="E205" s="3524" t="s">
        <v>4102</v>
      </c>
      <c r="F205" s="3524">
        <f ca="1">'典型户型修正-车库'!S62</f>
        <v>12</v>
      </c>
    </row>
    <row r="206" spans="2:6">
      <c r="B206" s="3524">
        <v>40</v>
      </c>
      <c r="C206" s="3524" t="str">
        <f>'典型户型修正-车库'!A63</f>
        <v>B1078</v>
      </c>
      <c r="D206" s="3524">
        <f>'典型户型修正-车库'!B63</f>
        <v>29.05</v>
      </c>
      <c r="E206" s="3524" t="s">
        <v>4102</v>
      </c>
      <c r="F206" s="3524">
        <f ca="1">'典型户型修正-车库'!S63</f>
        <v>12</v>
      </c>
    </row>
    <row r="207" spans="2:6">
      <c r="B207" s="3524">
        <v>41</v>
      </c>
      <c r="C207" s="3524" t="str">
        <f>'典型户型修正-车库'!A64</f>
        <v>B1079</v>
      </c>
      <c r="D207" s="3524">
        <f>'典型户型修正-车库'!B64</f>
        <v>29.05</v>
      </c>
      <c r="E207" s="3524" t="s">
        <v>4102</v>
      </c>
      <c r="F207" s="3524">
        <f ca="1">'典型户型修正-车库'!S64</f>
        <v>12</v>
      </c>
    </row>
    <row r="208" spans="2:6">
      <c r="B208" s="3524">
        <v>42</v>
      </c>
      <c r="C208" s="3524" t="str">
        <f>'典型户型修正-车库'!A65</f>
        <v>B1082</v>
      </c>
      <c r="D208" s="3524">
        <f>'典型户型修正-车库'!B65</f>
        <v>29.05</v>
      </c>
      <c r="E208" s="3524" t="s">
        <v>4102</v>
      </c>
      <c r="F208" s="3524">
        <f ca="1">'典型户型修正-车库'!S65</f>
        <v>12</v>
      </c>
    </row>
    <row r="209" spans="2:6">
      <c r="B209" s="3524">
        <v>43</v>
      </c>
      <c r="C209" s="3524" t="str">
        <f>'典型户型修正-车库'!A66</f>
        <v>B1084</v>
      </c>
      <c r="D209" s="3524">
        <f>'典型户型修正-车库'!B66</f>
        <v>29.05</v>
      </c>
      <c r="E209" s="3524" t="s">
        <v>4102</v>
      </c>
      <c r="F209" s="3524">
        <f ca="1">'典型户型修正-车库'!S66</f>
        <v>12</v>
      </c>
    </row>
    <row r="210" spans="2:6">
      <c r="B210" s="3524">
        <v>44</v>
      </c>
      <c r="C210" s="3524" t="str">
        <f>'典型户型修正-车库'!A67</f>
        <v>B1085</v>
      </c>
      <c r="D210" s="3524">
        <f>'典型户型修正-车库'!B67</f>
        <v>29.05</v>
      </c>
      <c r="E210" s="3524" t="s">
        <v>4102</v>
      </c>
      <c r="F210" s="3524">
        <f ca="1">'典型户型修正-车库'!S67</f>
        <v>12</v>
      </c>
    </row>
    <row r="211" spans="2:6">
      <c r="B211" s="3524">
        <v>45</v>
      </c>
      <c r="C211" s="3524" t="str">
        <f>'典型户型修正-车库'!A68</f>
        <v>B1088</v>
      </c>
      <c r="D211" s="3524">
        <f>'典型户型修正-车库'!B68</f>
        <v>29.05</v>
      </c>
      <c r="E211" s="3524" t="s">
        <v>4102</v>
      </c>
      <c r="F211" s="3524">
        <f ca="1">'典型户型修正-车库'!S68</f>
        <v>12</v>
      </c>
    </row>
    <row r="212" spans="2:6">
      <c r="B212" s="3524">
        <v>46</v>
      </c>
      <c r="C212" s="3524" t="str">
        <f>'典型户型修正-车库'!A69</f>
        <v>B1091</v>
      </c>
      <c r="D212" s="3524">
        <f>'典型户型修正-车库'!B69</f>
        <v>29.05</v>
      </c>
      <c r="E212" s="3524" t="s">
        <v>4102</v>
      </c>
      <c r="F212" s="3524">
        <f ca="1">'典型户型修正-车库'!S69</f>
        <v>12</v>
      </c>
    </row>
    <row r="213" spans="2:6">
      <c r="B213" s="3524">
        <v>47</v>
      </c>
      <c r="C213" s="3524" t="str">
        <f>'典型户型修正-车库'!A70</f>
        <v>B1093</v>
      </c>
      <c r="D213" s="3524">
        <f>'典型户型修正-车库'!B70</f>
        <v>29.05</v>
      </c>
      <c r="E213" s="3524" t="s">
        <v>4102</v>
      </c>
      <c r="F213" s="3524">
        <f ca="1">'典型户型修正-车库'!S70</f>
        <v>12</v>
      </c>
    </row>
    <row r="214" spans="2:6">
      <c r="B214" s="3524">
        <v>48</v>
      </c>
      <c r="C214" s="3524" t="str">
        <f>'典型户型修正-车库'!A71</f>
        <v>B1094</v>
      </c>
      <c r="D214" s="3524">
        <f>'典型户型修正-车库'!B71</f>
        <v>29.05</v>
      </c>
      <c r="E214" s="3524" t="s">
        <v>4102</v>
      </c>
      <c r="F214" s="3524">
        <f ca="1">'典型户型修正-车库'!S71</f>
        <v>12</v>
      </c>
    </row>
    <row r="215" spans="2:6">
      <c r="B215" s="3524">
        <v>49</v>
      </c>
      <c r="C215" s="3524" t="str">
        <f>'典型户型修正-车库'!A72</f>
        <v>B1096</v>
      </c>
      <c r="D215" s="3524">
        <f>'典型户型修正-车库'!B72</f>
        <v>44.78</v>
      </c>
      <c r="E215" s="3524" t="s">
        <v>4102</v>
      </c>
      <c r="F215" s="3524">
        <f ca="1">'典型户型修正-车库'!S72</f>
        <v>16</v>
      </c>
    </row>
    <row r="216" spans="2:6">
      <c r="B216" s="3524">
        <v>50</v>
      </c>
      <c r="C216" s="3524" t="str">
        <f>'典型户型修正-车库'!A73</f>
        <v>B1098</v>
      </c>
      <c r="D216" s="3524">
        <f>'典型户型修正-车库'!B73</f>
        <v>29.05</v>
      </c>
      <c r="E216" s="3524" t="s">
        <v>4102</v>
      </c>
      <c r="F216" s="3524">
        <f ca="1">'典型户型修正-车库'!S73</f>
        <v>12</v>
      </c>
    </row>
    <row r="217" spans="2:6">
      <c r="B217" s="3524">
        <v>51</v>
      </c>
      <c r="C217" s="3524" t="str">
        <f>'典型户型修正-车库'!A74</f>
        <v>B1101</v>
      </c>
      <c r="D217" s="3524">
        <f>'典型户型修正-车库'!B74</f>
        <v>21.6</v>
      </c>
      <c r="E217" s="3524" t="s">
        <v>4102</v>
      </c>
      <c r="F217" s="3524">
        <f ca="1">'典型户型修正-车库'!S74</f>
        <v>9</v>
      </c>
    </row>
    <row r="218" spans="2:6">
      <c r="B218" s="3524">
        <v>52</v>
      </c>
      <c r="C218" s="3524" t="str">
        <f>'典型户型修正-车库'!A75</f>
        <v>B1102</v>
      </c>
      <c r="D218" s="3524">
        <f>'典型户型修正-车库'!B75</f>
        <v>21.6</v>
      </c>
      <c r="E218" s="3524" t="s">
        <v>4102</v>
      </c>
      <c r="F218" s="3524">
        <f ca="1">'典型户型修正-车库'!S75</f>
        <v>9</v>
      </c>
    </row>
    <row r="219" spans="2:6">
      <c r="B219" s="3524">
        <v>53</v>
      </c>
      <c r="C219" s="3524" t="str">
        <f>'典型户型修正-车库'!A76</f>
        <v>B1103</v>
      </c>
      <c r="D219" s="3524">
        <f>'典型户型修正-车库'!B76</f>
        <v>21.6</v>
      </c>
      <c r="E219" s="3524" t="s">
        <v>4102</v>
      </c>
      <c r="F219" s="3524">
        <f ca="1">'典型户型修正-车库'!S76</f>
        <v>9</v>
      </c>
    </row>
    <row r="220" spans="2:6">
      <c r="B220" s="3524">
        <v>54</v>
      </c>
      <c r="C220" s="3524" t="str">
        <f>'典型户型修正-车库'!A77</f>
        <v>B1104</v>
      </c>
      <c r="D220" s="3524">
        <f>'典型户型修正-车库'!B77</f>
        <v>29.05</v>
      </c>
      <c r="E220" s="3524" t="s">
        <v>4102</v>
      </c>
      <c r="F220" s="3524">
        <f ca="1">'典型户型修正-车库'!S77</f>
        <v>12</v>
      </c>
    </row>
    <row r="221" spans="2:6">
      <c r="B221" s="3524">
        <v>55</v>
      </c>
      <c r="C221" s="3524" t="str">
        <f>'典型户型修正-车库'!A78</f>
        <v>B1108</v>
      </c>
      <c r="D221" s="3524">
        <f>'典型户型修正-车库'!B78</f>
        <v>29.05</v>
      </c>
      <c r="E221" s="3524" t="s">
        <v>4102</v>
      </c>
      <c r="F221" s="3524">
        <f ca="1">'典型户型修正-车库'!S78</f>
        <v>12</v>
      </c>
    </row>
    <row r="222" spans="2:6">
      <c r="B222" s="3524">
        <v>56</v>
      </c>
      <c r="C222" s="3524" t="str">
        <f>'典型户型修正-车库'!A79</f>
        <v>B1110</v>
      </c>
      <c r="D222" s="3524">
        <f>'典型户型修正-车库'!B79</f>
        <v>29.05</v>
      </c>
      <c r="E222" s="3524" t="s">
        <v>4102</v>
      </c>
      <c r="F222" s="3524">
        <f ca="1">'典型户型修正-车库'!S79</f>
        <v>12</v>
      </c>
    </row>
    <row r="223" spans="2:6">
      <c r="B223" s="3524">
        <v>57</v>
      </c>
      <c r="C223" s="3524" t="str">
        <f>'典型户型修正-车库'!A80</f>
        <v>B1111</v>
      </c>
      <c r="D223" s="3524">
        <f>'典型户型修正-车库'!B80</f>
        <v>29.05</v>
      </c>
      <c r="E223" s="3524" t="s">
        <v>4102</v>
      </c>
      <c r="F223" s="3524">
        <f ca="1">'典型户型修正-车库'!S80</f>
        <v>12</v>
      </c>
    </row>
    <row r="224" spans="2:6">
      <c r="B224" s="3524">
        <v>58</v>
      </c>
      <c r="C224" s="3524" t="str">
        <f>'典型户型修正-车库'!A81</f>
        <v>B1112</v>
      </c>
      <c r="D224" s="3524">
        <f>'典型户型修正-车库'!B81</f>
        <v>29.05</v>
      </c>
      <c r="E224" s="3524" t="s">
        <v>4102</v>
      </c>
      <c r="F224" s="3524">
        <f ca="1">'典型户型修正-车库'!S81</f>
        <v>12</v>
      </c>
    </row>
    <row r="225" spans="2:6">
      <c r="B225" s="3524">
        <v>59</v>
      </c>
      <c r="C225" s="3524" t="str">
        <f>'典型户型修正-车库'!A82</f>
        <v>B1113</v>
      </c>
      <c r="D225" s="3524">
        <f>'典型户型修正-车库'!B82</f>
        <v>29.05</v>
      </c>
      <c r="E225" s="3524" t="s">
        <v>4102</v>
      </c>
      <c r="F225" s="3524">
        <f ca="1">'典型户型修正-车库'!S82</f>
        <v>12</v>
      </c>
    </row>
    <row r="226" spans="2:6">
      <c r="B226" s="3524">
        <v>60</v>
      </c>
      <c r="C226" s="3524" t="str">
        <f>'典型户型修正-车库'!A83</f>
        <v>B1114</v>
      </c>
      <c r="D226" s="3524">
        <f>'典型户型修正-车库'!B83</f>
        <v>29.05</v>
      </c>
      <c r="E226" s="3524" t="s">
        <v>4102</v>
      </c>
      <c r="F226" s="3524">
        <f ca="1">'典型户型修正-车库'!S83</f>
        <v>12</v>
      </c>
    </row>
    <row r="227" spans="2:6">
      <c r="B227" s="3524">
        <v>61</v>
      </c>
      <c r="C227" s="3524" t="str">
        <f>'典型户型修正-车库'!A84</f>
        <v>B1115</v>
      </c>
      <c r="D227" s="3524">
        <f>'典型户型修正-车库'!B84</f>
        <v>29.05</v>
      </c>
      <c r="E227" s="3524" t="s">
        <v>4102</v>
      </c>
      <c r="F227" s="3524">
        <f ca="1">'典型户型修正-车库'!S84</f>
        <v>12</v>
      </c>
    </row>
    <row r="228" spans="2:6">
      <c r="B228" s="3524">
        <v>62</v>
      </c>
      <c r="C228" s="3524" t="str">
        <f>'典型户型修正-车库'!A85</f>
        <v>B1116</v>
      </c>
      <c r="D228" s="3524">
        <f>'典型户型修正-车库'!B85</f>
        <v>29.05</v>
      </c>
      <c r="E228" s="3524" t="s">
        <v>4102</v>
      </c>
      <c r="F228" s="3524">
        <f ca="1">'典型户型修正-车库'!S85</f>
        <v>12</v>
      </c>
    </row>
    <row r="229" spans="2:6">
      <c r="B229" s="3524">
        <v>63</v>
      </c>
      <c r="C229" s="3524" t="str">
        <f>'典型户型修正-车库'!A86</f>
        <v>B1118</v>
      </c>
      <c r="D229" s="3524">
        <f>'典型户型修正-车库'!B86</f>
        <v>29.05</v>
      </c>
      <c r="E229" s="3524" t="s">
        <v>4102</v>
      </c>
      <c r="F229" s="3524">
        <f ca="1">'典型户型修正-车库'!S86</f>
        <v>12</v>
      </c>
    </row>
    <row r="230" spans="2:6">
      <c r="B230" s="3524">
        <v>64</v>
      </c>
      <c r="C230" s="3524" t="str">
        <f>'典型户型修正-车库'!A87</f>
        <v>B1120</v>
      </c>
      <c r="D230" s="3524">
        <f>'典型户型修正-车库'!B87</f>
        <v>29.05</v>
      </c>
      <c r="E230" s="3524" t="s">
        <v>4102</v>
      </c>
      <c r="F230" s="3524">
        <f ca="1">'典型户型修正-车库'!S87</f>
        <v>12</v>
      </c>
    </row>
    <row r="231" spans="2:6">
      <c r="B231" s="3524">
        <v>65</v>
      </c>
      <c r="C231" s="3524" t="str">
        <f>'典型户型修正-车库'!A88</f>
        <v>B1121</v>
      </c>
      <c r="D231" s="3524">
        <f>'典型户型修正-车库'!B88</f>
        <v>50.65</v>
      </c>
      <c r="E231" s="3524" t="s">
        <v>4102</v>
      </c>
      <c r="F231" s="3524">
        <f ca="1">'典型户型修正-车库'!S88</f>
        <v>17</v>
      </c>
    </row>
    <row r="232" spans="2:6">
      <c r="B232" s="3524">
        <v>66</v>
      </c>
      <c r="C232" s="3524" t="str">
        <f>'典型户型修正-车库'!A89</f>
        <v>B1122</v>
      </c>
      <c r="D232" s="3524">
        <f>'典型户型修正-车库'!B89</f>
        <v>50.65</v>
      </c>
      <c r="E232" s="3524" t="s">
        <v>4102</v>
      </c>
      <c r="F232" s="3524">
        <f ca="1">'典型户型修正-车库'!S89</f>
        <v>17</v>
      </c>
    </row>
    <row r="233" spans="2:6">
      <c r="B233" s="3524">
        <v>67</v>
      </c>
      <c r="C233" s="3524" t="str">
        <f>'典型户型修正-车库'!A90</f>
        <v>B1123</v>
      </c>
      <c r="D233" s="3524">
        <f>'典型户型修正-车库'!B90</f>
        <v>29.05</v>
      </c>
      <c r="E233" s="3524" t="s">
        <v>4102</v>
      </c>
      <c r="F233" s="3524">
        <f ca="1">'典型户型修正-车库'!S90</f>
        <v>12</v>
      </c>
    </row>
    <row r="234" spans="2:6">
      <c r="B234" s="3524">
        <v>68</v>
      </c>
      <c r="C234" s="3524" t="str">
        <f>'典型户型修正-车库'!A91</f>
        <v>B1126</v>
      </c>
      <c r="D234" s="3524">
        <f>'典型户型修正-车库'!B91</f>
        <v>29.05</v>
      </c>
      <c r="E234" s="3524" t="s">
        <v>4102</v>
      </c>
      <c r="F234" s="3524">
        <f ca="1">'典型户型修正-车库'!S91</f>
        <v>12</v>
      </c>
    </row>
    <row r="235" spans="2:6">
      <c r="B235" s="3524">
        <v>69</v>
      </c>
      <c r="C235" s="3524" t="str">
        <f>'典型户型修正-车库'!A92</f>
        <v>B1130</v>
      </c>
      <c r="D235" s="3524">
        <f>'典型户型修正-车库'!B92</f>
        <v>44.78</v>
      </c>
      <c r="E235" s="3524" t="s">
        <v>4102</v>
      </c>
      <c r="F235" s="3524">
        <f ca="1">'典型户型修正-车库'!S92</f>
        <v>16</v>
      </c>
    </row>
    <row r="236" spans="2:6">
      <c r="B236" s="3524">
        <v>70</v>
      </c>
      <c r="C236" s="3524" t="str">
        <f>'典型户型修正-车库'!A93</f>
        <v>B1131</v>
      </c>
      <c r="D236" s="3524">
        <f>'典型户型修正-车库'!B93</f>
        <v>29.05</v>
      </c>
      <c r="E236" s="3524" t="s">
        <v>4102</v>
      </c>
      <c r="F236" s="3524">
        <f ca="1">'典型户型修正-车库'!S93</f>
        <v>12</v>
      </c>
    </row>
    <row r="237" spans="2:6">
      <c r="B237" s="3524">
        <v>71</v>
      </c>
      <c r="C237" s="3524" t="str">
        <f>'典型户型修正-车库'!A94</f>
        <v>B1133</v>
      </c>
      <c r="D237" s="3524">
        <f>'典型户型修正-车库'!B94</f>
        <v>44.78</v>
      </c>
      <c r="E237" s="3524" t="s">
        <v>4102</v>
      </c>
      <c r="F237" s="3524">
        <f ca="1">'典型户型修正-车库'!S94</f>
        <v>16</v>
      </c>
    </row>
    <row r="238" spans="2:6">
      <c r="B238" s="3524">
        <v>72</v>
      </c>
      <c r="C238" s="3524" t="str">
        <f>'典型户型修正-车库'!A95</f>
        <v>B1134</v>
      </c>
      <c r="D238" s="3524">
        <f>'典型户型修正-车库'!B95</f>
        <v>29.05</v>
      </c>
      <c r="E238" s="3524" t="s">
        <v>4102</v>
      </c>
      <c r="F238" s="3524">
        <f ca="1">'典型户型修正-车库'!S95</f>
        <v>12</v>
      </c>
    </row>
    <row r="239" spans="2:6">
      <c r="B239" s="3524">
        <v>73</v>
      </c>
      <c r="C239" s="3524" t="str">
        <f>'典型户型修正-车库'!A96</f>
        <v>B1143</v>
      </c>
      <c r="D239" s="3524">
        <f>'典型户型修正-车库'!B96</f>
        <v>29.05</v>
      </c>
      <c r="E239" s="3524" t="s">
        <v>4102</v>
      </c>
      <c r="F239" s="3524">
        <f ca="1">'典型户型修正-车库'!S96</f>
        <v>12</v>
      </c>
    </row>
    <row r="240" spans="2:6">
      <c r="B240" s="3524">
        <v>74</v>
      </c>
      <c r="C240" s="3524" t="str">
        <f>'典型户型修正-车库'!A97</f>
        <v>B1148</v>
      </c>
      <c r="D240" s="3524">
        <f>'典型户型修正-车库'!B97</f>
        <v>29.05</v>
      </c>
      <c r="E240" s="3524" t="s">
        <v>4102</v>
      </c>
      <c r="F240" s="3524">
        <f ca="1">'典型户型修正-车库'!S97</f>
        <v>12</v>
      </c>
    </row>
    <row r="241" spans="2:6">
      <c r="B241" s="3524">
        <v>75</v>
      </c>
      <c r="C241" s="3524" t="str">
        <f>'典型户型修正-车库'!A98</f>
        <v>B1152</v>
      </c>
      <c r="D241" s="3524">
        <f>'典型户型修正-车库'!B98</f>
        <v>21.6</v>
      </c>
      <c r="E241" s="3524" t="s">
        <v>4102</v>
      </c>
      <c r="F241" s="3524">
        <f ca="1">'典型户型修正-车库'!S98</f>
        <v>9</v>
      </c>
    </row>
    <row r="242" spans="2:6">
      <c r="B242" s="3524">
        <v>76</v>
      </c>
      <c r="C242" s="3524" t="str">
        <f>'典型户型修正-车库'!A99</f>
        <v>B1155</v>
      </c>
      <c r="D242" s="3524">
        <f>'典型户型修正-车库'!B99</f>
        <v>29.05</v>
      </c>
      <c r="E242" s="3524" t="s">
        <v>4102</v>
      </c>
      <c r="F242" s="3524">
        <f ca="1">'典型户型修正-车库'!S99</f>
        <v>12</v>
      </c>
    </row>
    <row r="243" spans="2:6">
      <c r="B243" s="3524">
        <v>77</v>
      </c>
      <c r="C243" s="3524" t="str">
        <f>'典型户型修正-车库'!A100</f>
        <v>B1156</v>
      </c>
      <c r="D243" s="3524">
        <f>'典型户型修正-车库'!B100</f>
        <v>44.78</v>
      </c>
      <c r="E243" s="3524" t="s">
        <v>4102</v>
      </c>
      <c r="F243" s="3524">
        <f ca="1">'典型户型修正-车库'!S100</f>
        <v>16</v>
      </c>
    </row>
    <row r="244" spans="2:6">
      <c r="B244" s="3524">
        <v>78</v>
      </c>
      <c r="C244" s="3524" t="str">
        <f>'典型户型修正-车库'!A101</f>
        <v>B1157</v>
      </c>
      <c r="D244" s="3524">
        <f>'典型户型修正-车库'!B101</f>
        <v>21.6</v>
      </c>
      <c r="E244" s="3524" t="s">
        <v>4102</v>
      </c>
      <c r="F244" s="3524">
        <f ca="1">'典型户型修正-车库'!S101</f>
        <v>9</v>
      </c>
    </row>
    <row r="245" spans="2:6">
      <c r="B245" s="3524">
        <v>79</v>
      </c>
      <c r="C245" s="3524" t="str">
        <f>'典型户型修正-车库'!A102</f>
        <v>B1158</v>
      </c>
      <c r="D245" s="3524">
        <f>'典型户型修正-车库'!B102</f>
        <v>50.65</v>
      </c>
      <c r="E245" s="3524" t="s">
        <v>4102</v>
      </c>
      <c r="F245" s="3524">
        <f ca="1">'典型户型修正-车库'!S102</f>
        <v>17</v>
      </c>
    </row>
    <row r="246" spans="2:6">
      <c r="B246" s="3525" t="s">
        <v>4096</v>
      </c>
      <c r="C246" s="3525" t="s">
        <v>4098</v>
      </c>
      <c r="D246" s="3525">
        <f>SUM(D167:D245)</f>
        <v>2385.4199999999992</v>
      </c>
      <c r="E246" s="3525" t="s">
        <v>4097</v>
      </c>
      <c r="F246" s="3525">
        <f ca="1">SUM(F167:F245)</f>
        <v>964</v>
      </c>
    </row>
    <row r="247" spans="2:6">
      <c r="B247" s="3525" t="s">
        <v>4099</v>
      </c>
      <c r="C247" s="3525" t="s">
        <v>4097</v>
      </c>
      <c r="D247" s="3525">
        <f>D166+D246</f>
        <v>16714.339999999978</v>
      </c>
      <c r="E247" s="3525" t="s">
        <v>4097</v>
      </c>
      <c r="F247" s="3525">
        <f ca="1">F166+F246</f>
        <v>51017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5" t="s">
        <v>946</v>
      </c>
      <c r="B1" s="3555"/>
      <c r="C1" s="3555"/>
      <c r="D1" s="3555"/>
    </row>
    <row r="2" spans="1:4" ht="18">
      <c r="A2" s="3556" t="s">
        <v>930</v>
      </c>
      <c r="B2" s="3556"/>
      <c r="C2" s="3556"/>
      <c r="D2" s="3556"/>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56" t="s">
        <v>936</v>
      </c>
      <c r="B6" s="3556"/>
      <c r="C6" s="3556"/>
      <c r="D6" s="3556"/>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7" t="s">
        <v>939</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49" t="str">
        <f>IF(项目基本情况!B8="抵押","4.本次评估估价师所知悉的法定优先受偿款情况说明如下：","——")</f>
        <v>4.本次评估估价师所知悉的法定优先受偿款情况说明如下：</v>
      </c>
      <c r="B14" s="3554"/>
      <c r="C14" s="3554"/>
      <c r="D14" s="3554"/>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1" t="s">
        <v>940</v>
      </c>
      <c r="B16" s="3551"/>
      <c r="C16" s="3551"/>
      <c r="D16" s="3551"/>
    </row>
    <row r="17" spans="1:4" ht="144" customHeight="1">
      <c r="A17" s="3551" t="s">
        <v>941</v>
      </c>
      <c r="B17" s="3551"/>
      <c r="C17" s="3551"/>
      <c r="D17" s="3551"/>
    </row>
    <row r="18" spans="1:4" ht="15.75" customHeight="1">
      <c r="A18" s="3549" t="str">
        <f>IF(项目基本情况!B8="抵押",'结果表-住宅基准'!K120,"——")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2"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942</v>
      </c>
      <c r="B22" s="3553"/>
      <c r="C22" s="3553"/>
      <c r="D22" s="3553"/>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50">
        <v>42551</v>
      </c>
      <c r="D31" s="35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3" t="s">
        <v>953</v>
      </c>
      <c r="B15" s="3558" t="s">
        <v>109</v>
      </c>
      <c r="C15" s="3559"/>
    </row>
    <row r="16" spans="1:7" ht="13.5">
      <c r="A16" s="3564"/>
      <c r="B16" s="3558" t="s">
        <v>42</v>
      </c>
      <c r="C16" s="3559"/>
    </row>
    <row r="17" spans="1:3" ht="13.5">
      <c r="A17" s="3564"/>
      <c r="B17" s="3561" t="s">
        <v>954</v>
      </c>
      <c r="C17" s="1529" t="s">
        <v>953</v>
      </c>
    </row>
    <row r="18" spans="1:3" ht="13.5">
      <c r="A18" s="3564"/>
      <c r="B18" s="3561"/>
      <c r="C18" s="1529" t="s">
        <v>955</v>
      </c>
    </row>
    <row r="19" spans="1:3" ht="13.5">
      <c r="A19" s="3564"/>
      <c r="B19" s="3561"/>
      <c r="C19" s="1529" t="s">
        <v>956</v>
      </c>
    </row>
    <row r="20" spans="1:3" ht="13.5">
      <c r="A20" s="3565"/>
      <c r="B20" s="3560" t="s">
        <v>957</v>
      </c>
      <c r="C20" s="3559"/>
    </row>
    <row r="21" spans="1:3" ht="13.5">
      <c r="A21" s="1530" t="s">
        <v>958</v>
      </c>
      <c r="B21" s="1531"/>
      <c r="C21" s="1532"/>
    </row>
    <row r="22" spans="1:3" ht="13.5">
      <c r="A22" s="3562" t="s">
        <v>959</v>
      </c>
      <c r="B22" s="3560" t="s">
        <v>960</v>
      </c>
      <c r="C22" s="3559"/>
    </row>
    <row r="23" spans="1:3" ht="13.5">
      <c r="A23" s="3562"/>
      <c r="B23" s="3560" t="s">
        <v>961</v>
      </c>
      <c r="C23" s="3559"/>
    </row>
    <row r="24" spans="1:3" ht="13.5">
      <c r="A24" s="3562"/>
      <c r="B24" s="3560" t="s">
        <v>962</v>
      </c>
      <c r="C24" s="3559"/>
    </row>
    <row r="25" spans="1:3" ht="13.5">
      <c r="A25" s="3562"/>
      <c r="B25" s="3561" t="s">
        <v>963</v>
      </c>
      <c r="C25" s="1529" t="s">
        <v>964</v>
      </c>
    </row>
    <row r="26" spans="1:3" ht="13.5">
      <c r="A26" s="3562"/>
      <c r="B26" s="3561"/>
      <c r="C26" s="1529" t="s">
        <v>965</v>
      </c>
    </row>
    <row r="27" spans="1:3" ht="13.5">
      <c r="A27" s="3562"/>
      <c r="B27" s="3561"/>
      <c r="C27" s="1529" t="s">
        <v>966</v>
      </c>
    </row>
    <row r="28" spans="1:3" ht="13.5">
      <c r="A28" s="3562"/>
      <c r="B28" s="3561"/>
      <c r="C28" s="1529" t="s">
        <v>967</v>
      </c>
    </row>
    <row r="29" spans="1:3" ht="13.5">
      <c r="A29" s="3562"/>
      <c r="B29" s="3561"/>
      <c r="C29" s="1529" t="s">
        <v>968</v>
      </c>
    </row>
    <row r="30" spans="1:3" ht="13.5">
      <c r="A30" s="3562"/>
      <c r="B30" s="3561"/>
      <c r="C30" s="1529" t="s">
        <v>969</v>
      </c>
    </row>
    <row r="31" spans="1:3" ht="13.5">
      <c r="A31" s="3562"/>
      <c r="B31" s="3561"/>
      <c r="C31" s="1529" t="s">
        <v>970</v>
      </c>
    </row>
    <row r="32" spans="1:3" ht="13.5">
      <c r="A32" s="3562"/>
      <c r="B32" s="3561"/>
      <c r="C32" s="1529" t="s">
        <v>971</v>
      </c>
    </row>
    <row r="33" spans="1:3" ht="13.5">
      <c r="A33" s="3562"/>
      <c r="B33" s="3561"/>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45236</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6" t="s">
        <v>2156</v>
      </c>
      <c r="B17" s="3566"/>
      <c r="C17" s="3566"/>
      <c r="D17" s="3566"/>
      <c r="E17" s="3566"/>
      <c r="F17" s="3566"/>
      <c r="G17" s="3566"/>
      <c r="H17" s="3566"/>
    </row>
    <row r="18" spans="1:8" ht="24" customHeight="1">
      <c r="A18" s="3567" t="s">
        <v>2157</v>
      </c>
      <c r="B18" s="3567"/>
      <c r="C18" s="3567"/>
      <c r="D18" s="2338"/>
      <c r="E18" s="3568" t="s">
        <v>2158</v>
      </c>
      <c r="F18" s="3567"/>
      <c r="G18" s="3567"/>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2023-11-06T02:32:41Z</dcterms:modified>
</cp:coreProperties>
</file>