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7"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案例" sheetId="68"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9" i="1"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H7" i="1"/>
  <c r="D124" i="34"/>
  <c r="E124" i="34"/>
  <c r="F124" i="34"/>
  <c r="F43" i="34"/>
  <c r="AA43" i="34"/>
  <c r="D86" i="34"/>
  <c r="E86" i="34"/>
  <c r="F23" i="34"/>
  <c r="AA23" i="34"/>
  <c r="R49" i="34"/>
  <c r="H43" i="34"/>
  <c r="AB43" i="34"/>
  <c r="H23" i="34"/>
  <c r="AB23" i="34"/>
  <c r="T49" i="34"/>
  <c r="J43" i="34"/>
  <c r="AC43" i="34"/>
  <c r="J23" i="34"/>
  <c r="AC23" i="34"/>
  <c r="V49" i="34"/>
  <c r="R50" i="34"/>
  <c r="C50" i="34"/>
  <c r="B3" i="34"/>
  <c r="B2" i="34"/>
  <c r="C10" i="12"/>
  <c r="F21" i="39"/>
  <c r="AA21" i="39"/>
  <c r="F43" i="39"/>
  <c r="AA43" i="39"/>
  <c r="R49" i="39"/>
  <c r="H21" i="39"/>
  <c r="AB21" i="39"/>
  <c r="H43" i="39"/>
  <c r="AB43" i="39"/>
  <c r="T49" i="39"/>
  <c r="J21" i="39"/>
  <c r="AC21"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6" i="15"/>
  <c r="M8" i="15"/>
  <c r="M7" i="15"/>
  <c r="M9" i="15"/>
  <c r="J6" i="15"/>
  <c r="M11" i="15"/>
  <c r="J10" i="15"/>
  <c r="J5" i="15"/>
  <c r="J26" i="15"/>
  <c r="C13" i="12"/>
  <c r="C14" i="12"/>
  <c r="C15" i="12"/>
  <c r="D16" i="12"/>
  <c r="C16" i="12"/>
  <c r="C17" i="12"/>
  <c r="C18" i="12"/>
  <c r="D19" i="12"/>
  <c r="E19" i="12"/>
  <c r="C19" i="12"/>
  <c r="D21" i="12"/>
  <c r="C21" i="12"/>
  <c r="D22" i="12"/>
  <c r="C22" i="12"/>
  <c r="C20" i="12"/>
  <c r="C23" i="12"/>
  <c r="F26" i="12"/>
  <c r="Q16" i="1"/>
  <c r="F33" i="12"/>
  <c r="C27" i="12"/>
  <c r="D26" i="12"/>
  <c r="C32" i="12"/>
  <c r="D30" i="12"/>
  <c r="C34" i="12"/>
  <c r="D33" i="12"/>
  <c r="B22" i="1"/>
  <c r="C2" i="65"/>
  <c r="I1" i="65"/>
  <c r="F23" i="15"/>
  <c r="G20" i="6"/>
  <c r="I9" i="39"/>
  <c r="G9" i="39"/>
  <c r="E9" i="39"/>
  <c r="E119" i="39"/>
  <c r="F119" i="39"/>
  <c r="G119" i="39"/>
  <c r="H119" i="39"/>
  <c r="I119" i="39"/>
  <c r="D119" i="39"/>
  <c r="E73" i="39"/>
  <c r="F73" i="39"/>
  <c r="G73" i="39"/>
  <c r="H73" i="39"/>
  <c r="D73" i="39"/>
  <c r="I7" i="39"/>
  <c r="G7" i="39"/>
  <c r="E7" i="39"/>
  <c r="I40" i="39"/>
  <c r="G40" i="39"/>
  <c r="E40" i="39"/>
  <c r="C40" i="39"/>
  <c r="I48" i="39"/>
  <c r="G48" i="39"/>
  <c r="E48" i="39"/>
  <c r="BC10" i="3"/>
  <c r="E8" i="6"/>
  <c r="F27" i="6"/>
  <c r="F31" i="6"/>
  <c r="BC32" i="3"/>
  <c r="BA32" i="3"/>
  <c r="BR32" i="3"/>
  <c r="BL32" i="3"/>
  <c r="AZ32" i="3"/>
  <c r="AZ5" i="3"/>
  <c r="H32" i="3"/>
  <c r="AC32" i="3"/>
  <c r="G32" i="3"/>
  <c r="G5" i="3"/>
  <c r="B3" i="3"/>
  <c r="AY6" i="3"/>
  <c r="D3" i="6"/>
  <c r="E3" i="6"/>
  <c r="D19" i="6"/>
  <c r="E20" i="6"/>
  <c r="D20" i="6"/>
  <c r="D21" i="6"/>
  <c r="D22" i="6"/>
  <c r="D23" i="6"/>
  <c r="D24" i="6"/>
  <c r="D25" i="6"/>
  <c r="D26" i="6"/>
  <c r="D27" i="6"/>
  <c r="BR5" i="3"/>
  <c r="G28" i="6"/>
  <c r="E28" i="6"/>
  <c r="D28" i="6"/>
  <c r="D29" i="6"/>
  <c r="D30" i="6"/>
  <c r="D31" i="6"/>
  <c r="I6" i="6"/>
  <c r="C13" i="39"/>
  <c r="N14" i="1"/>
  <c r="E120" i="39"/>
  <c r="F120" i="39"/>
  <c r="G120" i="39"/>
  <c r="H120" i="39"/>
  <c r="I120" i="39"/>
  <c r="D120" i="39"/>
  <c r="D78" i="34"/>
  <c r="E78" i="34"/>
  <c r="F15" i="34"/>
  <c r="AA15" i="34"/>
  <c r="D80" i="34"/>
  <c r="F17" i="34"/>
  <c r="AA17" i="34"/>
  <c r="D82" i="34"/>
  <c r="E82" i="34"/>
  <c r="F19" i="34"/>
  <c r="AA19" i="34"/>
  <c r="D84" i="34"/>
  <c r="F21" i="34"/>
  <c r="AA21"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D116" i="34"/>
  <c r="F39" i="34"/>
  <c r="AA39" i="34"/>
  <c r="D118" i="34"/>
  <c r="F40" i="34"/>
  <c r="AA40" i="34"/>
  <c r="D126" i="34"/>
  <c r="F44" i="34"/>
  <c r="AA44" i="34"/>
  <c r="F41" i="34"/>
  <c r="AA41" i="34"/>
  <c r="F42" i="34"/>
  <c r="AA42" i="34"/>
  <c r="B131" i="34"/>
  <c r="F47" i="34"/>
  <c r="AA47" i="34"/>
  <c r="B127" i="34"/>
  <c r="F45" i="34"/>
  <c r="AA45" i="34"/>
  <c r="B129" i="34"/>
  <c r="F46" i="34"/>
  <c r="AA46" i="34"/>
  <c r="D112" i="34"/>
  <c r="E112" i="34"/>
  <c r="F112" i="34"/>
  <c r="G112" i="34"/>
  <c r="F37" i="34"/>
  <c r="AA37" i="34"/>
  <c r="B71" i="34"/>
  <c r="F12" i="34"/>
  <c r="AA12" i="34"/>
  <c r="B73" i="34"/>
  <c r="F13" i="34"/>
  <c r="AA13" i="34"/>
  <c r="B75" i="34"/>
  <c r="F14" i="34"/>
  <c r="AA14" i="34"/>
  <c r="C11" i="34"/>
  <c r="D70" i="34"/>
  <c r="F11" i="34"/>
  <c r="AA11" i="34"/>
  <c r="C34" i="34"/>
  <c r="F34" i="34"/>
  <c r="AA34" i="34"/>
  <c r="H15" i="34"/>
  <c r="AB15" i="34"/>
  <c r="H17" i="34"/>
  <c r="AB17" i="34"/>
  <c r="H19" i="34"/>
  <c r="AB19" i="34"/>
  <c r="H21" i="34"/>
  <c r="AB21"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4" i="34"/>
  <c r="AB44" i="34"/>
  <c r="H41" i="34"/>
  <c r="AB41" i="34"/>
  <c r="H42" i="34"/>
  <c r="AB42" i="34"/>
  <c r="H47" i="34"/>
  <c r="AB47" i="34"/>
  <c r="H45" i="34"/>
  <c r="AB45" i="34"/>
  <c r="H46" i="34"/>
  <c r="AB46" i="34"/>
  <c r="H37" i="34"/>
  <c r="AB37" i="34"/>
  <c r="H12" i="34"/>
  <c r="AB12" i="34"/>
  <c r="H13" i="34"/>
  <c r="AB13" i="34"/>
  <c r="H14" i="34"/>
  <c r="AB14" i="34"/>
  <c r="H11" i="34"/>
  <c r="AB11" i="34"/>
  <c r="H34" i="34"/>
  <c r="AB34" i="34"/>
  <c r="J15" i="34"/>
  <c r="AC15" i="34"/>
  <c r="J17" i="34"/>
  <c r="AC17" i="34"/>
  <c r="J19" i="34"/>
  <c r="AC19" i="34"/>
  <c r="J21" i="34"/>
  <c r="AC21"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4" i="34"/>
  <c r="AC44" i="34"/>
  <c r="J41" i="34"/>
  <c r="AC41" i="34"/>
  <c r="J42" i="34"/>
  <c r="AC42" i="34"/>
  <c r="J47" i="34"/>
  <c r="AC47" i="34"/>
  <c r="J45" i="34"/>
  <c r="AC45" i="34"/>
  <c r="J46" i="34"/>
  <c r="AC46" i="34"/>
  <c r="J37" i="34"/>
  <c r="AC37" i="34"/>
  <c r="J12" i="34"/>
  <c r="AC12" i="34"/>
  <c r="J13" i="34"/>
  <c r="AC13" i="34"/>
  <c r="J14" i="34"/>
  <c r="AC14" i="34"/>
  <c r="E70" i="34"/>
  <c r="F70" i="34"/>
  <c r="J11" i="34"/>
  <c r="AC11" i="34"/>
  <c r="J34" i="34"/>
  <c r="AC34" i="34"/>
  <c r="D3" i="34"/>
  <c r="C8" i="12"/>
  <c r="E105" i="34"/>
  <c r="F105" i="34"/>
  <c r="G105" i="34"/>
  <c r="H105" i="34"/>
  <c r="I105" i="34"/>
  <c r="D105" i="34"/>
  <c r="E104" i="34"/>
  <c r="F104" i="34"/>
  <c r="G104" i="34"/>
  <c r="H104" i="34"/>
  <c r="I104" i="34"/>
  <c r="D104" i="34"/>
  <c r="F19" i="6"/>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Q32" i="3"/>
  <c r="BP32" i="3"/>
  <c r="BO32" i="3"/>
  <c r="BN32" i="3"/>
  <c r="BM32" i="3"/>
  <c r="BK32" i="3"/>
  <c r="BJ32" i="3"/>
  <c r="BI32" i="3"/>
  <c r="BH32" i="3"/>
  <c r="BG32" i="3"/>
  <c r="BF32" i="3"/>
  <c r="BE32" i="3"/>
  <c r="BD32" i="3"/>
  <c r="BB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K8" i="1"/>
  <c r="M8" i="1"/>
  <c r="O8" i="1"/>
  <c r="P8" i="1"/>
  <c r="E22" i="6"/>
  <c r="E23" i="6"/>
  <c r="E24" i="6"/>
  <c r="E25" i="6"/>
  <c r="E26" i="6"/>
  <c r="D38" i="4"/>
  <c r="C39" i="4"/>
  <c r="C35" i="4"/>
  <c r="E16" i="12"/>
  <c r="F14" i="12"/>
  <c r="F15" i="12"/>
  <c r="F17"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E126" i="34"/>
  <c r="F126" i="34"/>
  <c r="G126" i="34"/>
  <c r="G124" i="34"/>
  <c r="H124" i="34"/>
  <c r="I124" i="34"/>
  <c r="J124" i="34"/>
  <c r="K124" i="34"/>
  <c r="L124" i="34"/>
  <c r="M124" i="34"/>
  <c r="E118" i="34"/>
  <c r="F118" i="34"/>
  <c r="G118" i="34"/>
  <c r="U40"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J10" i="34"/>
  <c r="AC10"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U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L571" i="3"/>
  <c r="BA571" i="3"/>
  <c r="AZ571" i="3"/>
  <c r="BL570" i="3"/>
  <c r="AZ570" i="3"/>
  <c r="BE5" i="3"/>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U21" i="39"/>
  <c r="AB17" i="39"/>
  <c r="AB33" i="36"/>
  <c r="AA11" i="36"/>
  <c r="AA14" i="35"/>
  <c r="S14" i="35"/>
  <c r="G99" i="37"/>
  <c r="F33" i="37"/>
  <c r="AB19" i="39"/>
  <c r="U19" i="39"/>
  <c r="U46" i="34"/>
  <c r="W12" i="34"/>
  <c r="U29" i="33"/>
  <c r="AC13" i="33"/>
  <c r="U17" i="34"/>
  <c r="W32" i="33"/>
  <c r="H15" i="33"/>
  <c r="U15" i="33"/>
  <c r="AA11" i="33"/>
  <c r="AA40" i="21"/>
  <c r="U17" i="21"/>
  <c r="S13" i="39"/>
  <c r="AA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W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9" i="52"/>
  <c r="C4" i="4"/>
  <c r="G66" i="36"/>
  <c r="J18" i="36"/>
  <c r="AE8" i="1"/>
  <c r="AE6" i="1"/>
  <c r="W18" i="36"/>
  <c r="AC18" i="36"/>
  <c r="AG6" i="1"/>
  <c r="D12" i="11"/>
  <c r="C12" i="11"/>
  <c r="L20" i="6"/>
  <c r="D16" i="43"/>
  <c r="C16" i="43"/>
  <c r="L19" i="6"/>
  <c r="L27" i="6"/>
  <c r="B21" i="55"/>
  <c r="B72" i="63"/>
  <c r="B20" i="55"/>
  <c r="B70" i="63"/>
  <c r="K20" i="6"/>
  <c r="S7" i="1"/>
  <c r="K19" i="6"/>
  <c r="S6" i="1"/>
  <c r="S8" i="1"/>
  <c r="S9" i="1"/>
  <c r="E6" i="6"/>
  <c r="L38" i="9"/>
  <c r="B14" i="66"/>
  <c r="B1" i="66"/>
  <c r="C45" i="9"/>
  <c r="H14" i="66"/>
  <c r="B7" i="66"/>
  <c r="C7" i="66"/>
  <c r="R9" i="1"/>
  <c r="M20" i="6"/>
  <c r="I20" i="6"/>
  <c r="H20" i="6"/>
  <c r="R20" i="6"/>
  <c r="R7" i="1"/>
  <c r="R8" i="1"/>
  <c r="M19" i="6"/>
  <c r="I19" i="6"/>
  <c r="H19" i="6"/>
  <c r="R19" i="6"/>
  <c r="R6" i="1"/>
  <c r="F9" i="39"/>
  <c r="AA9" i="39"/>
  <c r="G16" i="1"/>
  <c r="F12" i="39"/>
  <c r="AA12" i="39"/>
  <c r="H9" i="39"/>
  <c r="AB9" i="39"/>
  <c r="H12" i="39"/>
  <c r="AB12" i="39"/>
  <c r="J9" i="39"/>
  <c r="AC9" i="39"/>
  <c r="J12" i="39"/>
  <c r="AC12" i="39"/>
  <c r="E11" i="6"/>
  <c r="E63" i="39"/>
  <c r="E12" i="6"/>
  <c r="E64" i="39"/>
  <c r="E13" i="6"/>
  <c r="E65" i="39"/>
  <c r="E14" i="6"/>
  <c r="E66" i="39"/>
  <c r="E15" i="6"/>
  <c r="E67" i="39"/>
  <c r="K14" i="1"/>
  <c r="M14" i="1"/>
  <c r="O14" i="1"/>
  <c r="P14" i="1"/>
  <c r="O7" i="1"/>
  <c r="P7" i="1"/>
  <c r="O9" i="1"/>
  <c r="P9" i="1"/>
  <c r="O11" i="1"/>
  <c r="P11" i="1"/>
  <c r="O12" i="1"/>
  <c r="P12" i="1"/>
  <c r="O13" i="1"/>
  <c r="P13" i="1"/>
  <c r="P1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72" i="39"/>
  <c r="G70" i="39"/>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I49" i="34"/>
  <c r="S7" i="34"/>
  <c r="AA7" i="34"/>
  <c r="H7" i="36"/>
  <c r="C49" i="33"/>
  <c r="B3" i="33"/>
  <c r="B2" i="33"/>
  <c r="C48" i="33"/>
  <c r="AB7" i="34"/>
  <c r="G49" i="34"/>
  <c r="U7" i="34"/>
  <c r="H52" i="37"/>
  <c r="J7" i="36"/>
  <c r="Q69" i="44"/>
  <c r="L58" i="44"/>
  <c r="L61" i="44"/>
  <c r="L47" i="44"/>
  <c r="B5" i="11"/>
  <c r="B3" i="11"/>
  <c r="B4" i="11"/>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J39" i="15"/>
  <c r="J40" i="15"/>
  <c r="Q70" i="15"/>
  <c r="Q69" i="15"/>
  <c r="L57" i="15"/>
  <c r="L60" i="15"/>
  <c r="Q58" i="15"/>
  <c r="Q68" i="15"/>
  <c r="Q71" i="44"/>
  <c r="Q70" i="44"/>
  <c r="C44" i="44"/>
  <c r="C45" i="44"/>
  <c r="B2" i="44"/>
  <c r="J18" i="44"/>
  <c r="J27" i="44"/>
  <c r="N52" i="37"/>
  <c r="O52" i="37"/>
  <c r="F7" i="37"/>
  <c r="R39" i="35"/>
  <c r="E38" i="35"/>
  <c r="G42" i="35"/>
  <c r="H42" i="35"/>
  <c r="G43" i="35"/>
  <c r="H43" i="35"/>
  <c r="N70" i="39"/>
  <c r="N72" i="39"/>
  <c r="M72" i="39"/>
  <c r="N65" i="40"/>
  <c r="N67" i="40"/>
  <c r="M67" i="40"/>
  <c r="F9" i="40"/>
  <c r="Q67"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AE7" i="1"/>
  <c r="F41" i="15"/>
  <c r="J29" i="15"/>
  <c r="C40" i="15"/>
  <c r="B2" i="15"/>
  <c r="D10" i="12"/>
  <c r="C6" i="12"/>
  <c r="C24" i="12"/>
  <c r="C28" i="12"/>
  <c r="C26" i="12"/>
  <c r="C29" i="12"/>
  <c r="C31" i="12"/>
  <c r="C30" i="12"/>
  <c r="C35" i="12"/>
  <c r="C33" i="12"/>
  <c r="C36" i="12"/>
  <c r="B2" i="12"/>
  <c r="D19" i="9"/>
  <c r="G19" i="9"/>
  <c r="D27" i="9"/>
  <c r="B3" i="15"/>
  <c r="D8" i="12"/>
  <c r="C32" i="9"/>
  <c r="C42" i="9"/>
  <c r="C44" i="9"/>
  <c r="D44" i="9"/>
  <c r="N69" i="9"/>
  <c r="M86" i="9"/>
  <c r="N86" i="9"/>
  <c r="M84" i="9"/>
  <c r="N84" i="9"/>
  <c r="M88" i="9"/>
  <c r="N88" i="9"/>
  <c r="M87" i="9"/>
  <c r="N87" i="9"/>
  <c r="M85" i="9"/>
  <c r="N85" i="9"/>
  <c r="O39" i="9"/>
  <c r="K29" i="9"/>
  <c r="K30" i="9"/>
  <c r="R6" i="54"/>
  <c r="B50" i="63"/>
  <c r="M83" i="9"/>
  <c r="N83" i="9"/>
  <c r="N89" i="9"/>
  <c r="O89" i="9"/>
  <c r="G14" i="66"/>
  <c r="B6" i="66"/>
  <c r="C6" i="66"/>
  <c r="B4" i="12"/>
  <c r="D21" i="9"/>
  <c r="G21" i="9"/>
  <c r="D22" i="9"/>
  <c r="B3" i="12"/>
  <c r="D20" i="9"/>
  <c r="G20" i="9"/>
  <c r="L44" i="9"/>
  <c r="G22" i="9"/>
  <c r="N43" i="9"/>
  <c r="F44" i="9"/>
  <c r="E44" i="9"/>
  <c r="C35" i="9"/>
  <c r="F42" i="9"/>
  <c r="O43" i="9"/>
  <c r="D6" i="66"/>
  <c r="C34" i="9"/>
  <c r="M38" i="9"/>
  <c r="K27" i="9"/>
  <c r="E42" i="9"/>
  <c r="P5" i="54"/>
  <c r="B46" i="63"/>
  <c r="C33" i="9"/>
  <c r="N38" i="9"/>
  <c r="K28" i="9"/>
  <c r="D42" i="9"/>
  <c r="Q5" i="54"/>
  <c r="B47" i="63"/>
  <c r="O38" i="9"/>
  <c r="K25" i="9"/>
  <c r="K26" i="9"/>
  <c r="N68" i="9"/>
  <c r="R5" i="54"/>
  <c r="B48" i="63"/>
  <c r="D63" i="9"/>
  <c r="C111" i="9"/>
  <c r="C104" i="9"/>
  <c r="C82" i="9"/>
  <c r="C81" i="9"/>
  <c r="C85" i="9"/>
  <c r="C86" i="9"/>
  <c r="D72" i="9"/>
  <c r="D70" i="9"/>
  <c r="D77" i="9"/>
  <c r="N75" i="9"/>
  <c r="C96" i="9"/>
  <c r="C91" i="9"/>
  <c r="D14" i="66"/>
  <c r="F14" i="66"/>
  <c r="E14" i="66"/>
  <c r="C103" i="9"/>
  <c r="C113" i="9"/>
  <c r="C114" i="9"/>
  <c r="C115" i="9"/>
  <c r="D76" i="9"/>
  <c r="D74" i="9"/>
  <c r="N74" i="9"/>
  <c r="B5" i="66"/>
  <c r="C5" i="66"/>
  <c r="D5" i="66"/>
  <c r="E114" i="9"/>
  <c r="E115" i="9"/>
  <c r="D71" i="9"/>
  <c r="D66" i="9"/>
  <c r="N72" i="9"/>
  <c r="O77" i="9"/>
  <c r="O78" i="9"/>
  <c r="Q77" i="9"/>
  <c r="C90" i="9"/>
  <c r="C97" i="9"/>
  <c r="C98" i="9"/>
  <c r="C99" i="9"/>
  <c r="E98" i="9"/>
  <c r="E99" i="9"/>
  <c r="B5" i="12"/>
  <c r="O79" i="9"/>
  <c r="O81" i="9"/>
  <c r="O80" i="9"/>
  <c r="F68" i="15"/>
  <c r="C67" i="15"/>
  <c r="C70" i="15"/>
  <c r="C43" i="15"/>
  <c r="Q48" i="15"/>
  <c r="Q54" i="15"/>
  <c r="J42" i="15"/>
  <c r="J43" i="15"/>
  <c r="C46" i="15"/>
  <c r="Q57" i="15"/>
  <c r="Q63" i="15"/>
  <c r="Q66"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<sst xmlns="http://schemas.openxmlformats.org/spreadsheetml/2006/main" count="7590" uniqueCount="3255">
  <si>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</si>
  <si>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</si>
  <si>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</si>
  <si>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</si>
  <si>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</si>
  <si>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</si>
  <si>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</si>
  <si>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</si>
  <si>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</si>
  <si>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</si>
  <si>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</si>
  <si>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</si>
  <si>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</si>
  <si>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</si>
  <si>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</si>
  <si>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</si>
  <si>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</si>
  <si>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</si>
  <si>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</si>
  <si>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</si>
  <si>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</si>
  <si>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</si>
  <si>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</si>
  <si>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</si>
  <si>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</si>
  <si>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</si>
  <si>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</si>
  <si>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</si>
  <si>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</si>
  <si>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</si>
  <si>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</si>
  <si>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</si>
  <si>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</si>
  <si>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</si>
  <si>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</si>
  <si>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</si>
  <si>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</si>
  <si>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</si>
  <si>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</si>
  <si>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</si>
  <si>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</si>
  <si>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</si>
  <si>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</si>
  <si>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</si>
  <si>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</si>
  <si>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</si>
  <si>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</si>
  <si>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</si>
  <si>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</si>
  <si>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</si>
  <si>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</si>
  <si>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</si>
  <si>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</si>
  <si>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</si>
  <si>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</si>
  <si>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</si>
  <si>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</si>
  <si>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</si>
  <si>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</si>
  <si>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</si>
  <si>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</si>
  <si>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</si>
  <si>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</si>
  <si>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</si>
  <si>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</si>
  <si>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</si>
  <si>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</si>
  <si>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</si>
  <si>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</si>
  <si>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</si>
  <si>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</si>
  <si>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</si>
  <si>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</si>
  <si>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</si>
  <si>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</si>
  <si>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</si>
  <si>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</si>
  <si>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</si>
  <si>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</si>
  <si>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</si>
  <si>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</si>
  <si>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</si>
  <si>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</si>
  <si>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</si>
  <si>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</si>
  <si>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</si>
  <si>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</si>
  <si>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</si>
  <si>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</si>
  <si>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</si>
  <si>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</si>
  <si>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</si>
  <si>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</si>
  <si>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</si>
  <si>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</si>
  <si>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</si>
  <si>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</si>
  <si>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</si>
  <si>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</si>
  <si>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</si>
  <si>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</si>
  <si>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</si>
  <si>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</si>
  <si>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</si>
  <si>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</si>
  <si>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</si>
  <si>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</si>
  <si>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</si>
  <si>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</si>
  <si>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</si>
  <si>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</si>
  <si>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</si>
  <si>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</si>
  <si>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</si>
  <si>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</si>
  <si>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</si>
  <si>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</si>
  <si>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</si>
  <si>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</si>
  <si>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</si>
  <si>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</si>
  <si>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</si>
  <si>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</si>
  <si>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</si>
  <si>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</si>
  <si>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</si>
  <si>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</si>
  <si>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</si>
  <si>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</si>
  <si>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</si>
  <si>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</si>
  <si>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</si>
  <si>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</si>
  <si>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</si>
  <si>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</si>
  <si>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</si>
  <si>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</si>
  <si>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</si>
  <si>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</si>
  <si>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</si>
  <si>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</si>
  <si>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</si>
  <si>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</si>
  <si>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</si>
  <si>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</si>
  <si>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</si>
  <si>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</si>
  <si>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</si>
  <si>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</si>
  <si>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</si>
  <si>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</si>
  <si>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</si>
  <si>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</si>
  <si>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</si>
  <si>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</si>
  <si>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</si>
  <si>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</si>
  <si>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</si>
  <si>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</si>
  <si>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</si>
  <si>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</si>
  <si>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</si>
  <si>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</si>
  <si>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</si>
  <si>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</si>
  <si>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</si>
  <si>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</si>
  <si>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</si>
  <si>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</si>
  <si>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</si>
  <si>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</si>
  <si>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</si>
  <si>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</si>
  <si>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</si>
  <si>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</si>
  <si>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</si>
  <si>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</si>
  <si>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</si>
  <si>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</si>
  <si>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</si>
  <si>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</si>
  <si>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</si>
  <si>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</si>
  <si>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</si>
  <si>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</si>
  <si>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</si>
  <si>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</si>
  <si>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</si>
  <si>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</si>
  <si>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</si>
  <si>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</si>
  <si>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</si>
  <si>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</si>
  <si>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</si>
  <si>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</si>
  <si>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</si>
  <si>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</si>
  <si>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</si>
  <si>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</si>
  <si>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</si>
  <si>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</si>
  <si>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</si>
  <si>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</si>
  <si>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</si>
  <si>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</si>
  <si>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</si>
  <si>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</si>
  <si>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</si>
  <si>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</si>
  <si>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</si>
  <si>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</si>
  <si>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</si>
  <si>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</si>
  <si>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</si>
  <si>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</si>
  <si>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</si>
  <si>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</si>
  <si>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</si>
  <si>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</si>
  <si>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</si>
  <si>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</si>
  <si>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</si>
  <si>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</si>
  <si>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</si>
  <si>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</si>
  <si>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</si>
  <si>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</si>
  <si>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</si>
  <si>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</si>
  <si>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</si>
  <si>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</si>
  <si>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</si>
  <si>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</si>
  <si>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</si>
  <si>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</si>
  <si>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</si>
  <si>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</si>
  <si>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</si>
  <si>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</si>
  <si>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</si>
  <si>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</si>
  <si>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</si>
  <si>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</si>
  <si>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</si>
  <si>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</si>
  <si>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</si>
  <si>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</si>
  <si>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</si>
  <si>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</si>
  <si>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</si>
  <si>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</si>
  <si>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</si>
  <si>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</si>
  <si>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</si>
  <si>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</si>
  <si>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</si>
  <si>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</si>
  <si>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</si>
  <si>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</si>
  <si>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</si>
  <si>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</si>
  <si>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</si>
  <si>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</si>
  <si>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</si>
  <si>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</si>
  <si>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</si>
  <si>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</si>
  <si>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</si>
  <si>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</si>
  <si>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</si>
  <si>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</si>
  <si>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</si>
  <si>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</si>
  <si>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</si>
  <si>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</si>
  <si>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</si>
  <si>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</si>
  <si>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</si>
  <si>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</si>
  <si>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</si>
  <si>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</si>
  <si>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</si>
  <si>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</si>
  <si>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</si>
  <si>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</si>
  <si>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</si>
  <si>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</si>
  <si>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</si>
  <si>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</si>
  <si>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</si>
  <si>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</si>
  <si>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</si>
  <si>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</si>
  <si>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</si>
  <si>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</si>
  <si>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</si>
  <si>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</si>
  <si>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</si>
  <si>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</si>
  <si>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</si>
  <si>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</si>
  <si>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</si>
  <si>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</si>
  <si>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</si>
  <si>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</si>
  <si>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</si>
  <si>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</si>
  <si>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</si>
  <si>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</si>
  <si>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</si>
  <si>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</si>
  <si>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</si>
  <si>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</si>
  <si>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</si>
  <si>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</si>
  <si>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</si>
  <si>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</si>
  <si>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</si>
  <si>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</si>
  <si>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</si>
  <si>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</si>
  <si>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</si>
  <si>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</si>
  <si>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</si>
  <si>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</si>
  <si>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</si>
  <si>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</si>
  <si>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</si>
  <si>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</si>
  <si>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</si>
  <si>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</si>
  <si>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</si>
  <si>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</si>
  <si>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</si>
  <si>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</si>
  <si>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</si>
  <si>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</si>
  <si>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</si>
  <si>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</si>
  <si>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</si>
  <si>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</si>
  <si>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</si>
  <si>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</si>
  <si>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</si>
  <si>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</si>
  <si>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</si>
  <si>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</si>
  <si>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</si>
  <si>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</si>
  <si>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</si>
  <si>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</si>
  <si>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</si>
  <si>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</si>
  <si>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</si>
  <si>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</si>
  <si>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</si>
  <si>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</si>
  <si>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</si>
  <si>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</si>
  <si>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</si>
  <si>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</si>
  <si>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</si>
  <si>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</si>
  <si>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</si>
  <si>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</si>
  <si>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</si>
  <si>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</si>
  <si>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</si>
  <si>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</si>
  <si>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</si>
  <si>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</si>
  <si>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</si>
  <si>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</si>
  <si>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</si>
  <si>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</si>
  <si>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</si>
  <si>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</si>
  <si>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</si>
  <si>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</si>
  <si>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</si>
  <si>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</si>
  <si>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</si>
  <si>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</si>
  <si>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</si>
  <si>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</si>
  <si>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</si>
  <si>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</si>
  <si>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</si>
  <si>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</si>
  <si>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</si>
  <si>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</si>
  <si>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</si>
  <si>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</si>
  <si>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</si>
  <si>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</si>
  <si>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</si>
  <si>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</si>
  <si>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</si>
  <si>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</si>
  <si>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</si>
  <si>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</si>
  <si>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</si>
  <si>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</si>
  <si>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</si>
  <si>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</si>
  <si>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</si>
  <si>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</si>
  <si>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</si>
  <si>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</si>
  <si>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</si>
  <si>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</si>
  <si>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</si>
  <si>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</si>
  <si>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</si>
  <si>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</si>
  <si>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</si>
  <si>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</si>
  <si>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</si>
  <si>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</si>
  <si>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</si>
  <si>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</si>
  <si>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</si>
  <si>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</si>
  <si>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</si>
  <si>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</si>
  <si>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</si>
  <si>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</si>
  <si>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</si>
  <si>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</si>
  <si>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</si>
  <si>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</si>
  <si>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</si>
  <si>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</si>
  <si>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</si>
  <si>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</si>
  <si>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</si>
  <si>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</si>
  <si>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</si>
  <si>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</si>
  <si>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</si>
  <si>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</si>
  <si>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</si>
  <si>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</si>
  <si>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</si>
  <si>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</si>
  <si>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</si>
  <si>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</si>
  <si>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</si>
  <si>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</si>
  <si>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</si>
  <si>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</si>
  <si>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</si>
  <si>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</si>
  <si>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</si>
  <si>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</si>
  <si>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</si>
  <si>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</si>
  <si>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</si>
  <si>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</si>
  <si>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</si>
  <si>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</si>
  <si>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</si>
  <si>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</si>
  <si>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</si>
  <si>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</si>
  <si>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</si>
  <si>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</si>
  <si>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</si>
  <si>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</si>
  <si>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</si>
  <si>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</si>
  <si>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</si>
  <si>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</si>
  <si>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</si>
  <si>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</si>
  <si>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</si>
  <si>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</si>
  <si>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</si>
  <si>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</si>
  <si>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</si>
  <si>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</si>
  <si>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</si>
  <si>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</si>
  <si>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</si>
  <si>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</si>
  <si>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</si>
  <si>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</si>
  <si>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</si>
  <si>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</si>
  <si>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</si>
  <si>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</si>
  <si>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</si>
  <si>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</si>
  <si>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</si>
  <si>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</si>
  <si>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</si>
  <si>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</si>
  <si>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</si>
  <si>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</si>
  <si>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</si>
  <si>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</si>
  <si>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</si>
  <si>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</si>
  <si>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</si>
  <si>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</si>
  <si>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</si>
  <si>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</si>
  <si>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</si>
  <si>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</si>
  <si>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</si>
  <si>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</si>
  <si>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</si>
  <si>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</si>
  <si>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</si>
  <si>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</si>
  <si>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</si>
  <si>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</si>
  <si>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</si>
  <si>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</si>
  <si>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</si>
  <si>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</si>
  <si>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</si>
  <si>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</si>
  <si>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</si>
  <si>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</si>
  <si>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</si>
  <si>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</si>
  <si>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</si>
  <si>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</si>
  <si>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</si>
  <si>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</si>
  <si>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</si>
  <si>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</si>
  <si>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</si>
  <si>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</si>
  <si>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</si>
  <si>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</si>
  <si>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</si>
  <si>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</si>
  <si>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</si>
  <si>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</si>
  <si>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</si>
  <si>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</si>
  <si>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</si>
  <si>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</si>
  <si>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</si>
  <si>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</si>
  <si>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</si>
  <si>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</si>
  <si>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</si>
  <si>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</si>
  <si>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</si>
  <si>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</si>
  <si>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</si>
  <si>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</si>
  <si>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</si>
  <si>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</si>
  <si>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</si>
  <si>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</si>
  <si>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</si>
  <si>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</si>
  <si>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</si>
  <si>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</si>
  <si>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</si>
  <si>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</si>
  <si>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</si>
  <si>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</si>
  <si>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</si>
  <si>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</si>
  <si>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</si>
  <si>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</si>
  <si>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</si>
  <si>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</si>
  <si>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</si>
  <si>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</si>
  <si>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</si>
  <si>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</si>
  <si>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</si>
  <si>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</si>
  <si>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</si>
  <si>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</si>
  <si>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</si>
  <si>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</si>
  <si>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</si>
  <si>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</si>
  <si>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</si>
  <si>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</si>
  <si>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</si>
  <si>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</si>
  <si>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</si>
  <si>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</si>
  <si>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</si>
  <si>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</si>
  <si>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</si>
  <si>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</si>
  <si>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</si>
  <si>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</si>
  <si>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</si>
  <si>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</si>
  <si>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</si>
  <si>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</si>
  <si>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</si>
  <si>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</si>
  <si>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</si>
  <si>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</si>
  <si>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</si>
  <si>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</si>
  <si>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</si>
  <si>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</si>
  <si>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</si>
  <si>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</si>
  <si>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</si>
  <si>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</si>
  <si>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</si>
  <si>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</si>
  <si>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</si>
  <si>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</si>
  <si>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</si>
  <si>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</si>
  <si>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</si>
  <si>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</si>
  <si>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</si>
  <si>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</si>
  <si>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</si>
  <si>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</si>
  <si>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</si>
  <si>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</si>
  <si>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</si>
  <si>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</si>
  <si>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</si>
  <si>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</si>
  <si>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</si>
  <si>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</si>
  <si>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</si>
  <si>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</si>
  <si>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</si>
  <si>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</si>
  <si>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</si>
  <si>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</si>
  <si>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</si>
  <si>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</si>
  <si>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</si>
  <si>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</si>
  <si>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</si>
  <si>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</si>
  <si>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</si>
  <si>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</si>
  <si>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</si>
  <si>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</si>
  <si>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</si>
  <si>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</si>
  <si>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</si>
  <si>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</si>
  <si>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</si>
  <si>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</si>
  <si>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</si>
  <si>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</si>
  <si>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</si>
  <si>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</si>
  <si>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</si>
  <si>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</si>
  <si>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</si>
  <si>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</si>
  <si>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</si>
  <si>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</si>
  <si>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</si>
  <si>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</si>
  <si>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</si>
  <si>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</si>
  <si>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</si>
  <si>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</si>
  <si>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</si>
  <si>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</si>
  <si>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</si>
  <si>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</si>
  <si>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</si>
  <si>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</si>
  <si>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</si>
  <si>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</si>
  <si>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</si>
  <si>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</si>
  <si>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</si>
  <si>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</si>
  <si>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</si>
  <si>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</si>
  <si>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</si>
  <si>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</si>
  <si>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</si>
  <si>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</si>
  <si>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</si>
  <si>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</si>
  <si>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</si>
  <si>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</si>
  <si>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</si>
  <si>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</si>
  <si>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</si>
  <si>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</si>
  <si>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</si>
  <si>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</si>
  <si>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</si>
  <si>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</si>
  <si>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</si>
  <si>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</si>
  <si>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</si>
  <si>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</si>
  <si>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</si>
  <si>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</si>
  <si>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</si>
  <si>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</si>
  <si>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</si>
  <si>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</si>
  <si>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</si>
  <si>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</si>
  <si>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</si>
  <si>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</si>
  <si>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</si>
  <si>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</si>
  <si>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</si>
  <si>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</si>
  <si>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</si>
  <si>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</si>
  <si>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</si>
  <si>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</si>
  <si>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</si>
  <si>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</si>
  <si>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</si>
  <si>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</si>
  <si>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</si>
  <si>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</si>
  <si>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</si>
  <si>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</si>
  <si>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</si>
  <si>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</si>
  <si>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</si>
  <si>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</si>
  <si>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</si>
  <si>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</si>
  <si>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</si>
  <si>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</si>
  <si>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</si>
  <si>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</si>
  <si>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</si>
  <si>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</si>
  <si>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</si>
  <si>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</si>
  <si>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</si>
  <si>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</si>
  <si>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</si>
  <si>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</si>
  <si>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</si>
  <si>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</si>
  <si>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</si>
  <si>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</si>
  <si>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</si>
  <si>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</si>
  <si>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</si>
  <si>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</si>
  <si>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</si>
  <si>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</si>
  <si>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</si>
  <si>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</si>
  <si>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</si>
  <si>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</si>
  <si>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</si>
  <si>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</si>
  <si>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</si>
  <si>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</si>
  <si>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</si>
  <si>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</si>
  <si>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</si>
  <si>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</si>
  <si>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</si>
  <si>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</si>
  <si>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</si>
  <si>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</si>
  <si>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</si>
  <si>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</si>
  <si>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</si>
  <si>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</si>
  <si>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</si>
  <si>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</si>
  <si>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</si>
  <si>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</si>
  <si>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</si>
  <si>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</si>
  <si>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</si>
  <si>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</si>
  <si>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</si>
  <si>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</si>
  <si>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</si>
  <si>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</si>
  <si>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</si>
  <si>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</si>
  <si>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</si>
  <si>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</si>
  <si>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</si>
  <si>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</si>
  <si>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</si>
  <si>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</si>
  <si>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</si>
  <si>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</si>
  <si>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</si>
  <si>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</si>
  <si>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</si>
  <si>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</si>
  <si>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</si>
  <si>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</si>
  <si>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</si>
  <si>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</si>
  <si>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</si>
  <si>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</si>
  <si>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</si>
  <si>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</si>
  <si>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</si>
  <si>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</si>
  <si>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</si>
  <si>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</si>
  <si>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</si>
  <si>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</si>
  <si>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</si>
  <si>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</si>
  <si>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</si>
  <si>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</si>
  <si>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</si>
  <si>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</si>
  <si>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</si>
  <si>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</si>
  <si>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</si>
  <si>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</si>
  <si>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</si>
  <si>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</si>
  <si>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</si>
  <si>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</si>
  <si>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</si>
  <si>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</si>
  <si>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</si>
  <si>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</si>
  <si>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</si>
  <si>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</si>
  <si>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</si>
  <si>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</si>
  <si>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</si>
  <si>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</si>
  <si>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</si>
  <si>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</si>
  <si>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</si>
  <si>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</si>
  <si>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</si>
  <si>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</si>
  <si>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</si>
  <si>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</si>
  <si>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</si>
  <si>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</si>
  <si>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</si>
  <si>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</si>
  <si>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</si>
  <si>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</si>
  <si>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</si>
  <si>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</si>
  <si>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</si>
  <si>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</si>
  <si>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</si>
  <si>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</si>
  <si>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</si>
  <si>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</si>
  <si>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</si>
  <si>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</si>
  <si>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</si>
  <si>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</si>
  <si>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</si>
  <si>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</si>
  <si>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</si>
  <si>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</si>
  <si>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</si>
  <si>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</si>
  <si>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</si>
  <si>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</si>
  <si>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</si>
  <si>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</si>
  <si>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</si>
  <si>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</si>
  <si>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</si>
  <si>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</si>
  <si>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</si>
  <si>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</si>
  <si>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</si>
  <si>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</si>
  <si>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</si>
  <si>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</si>
  <si>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</si>
  <si>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</si>
  <si>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</si>
  <si>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</si>
  <si>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</si>
  <si>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</si>
  <si>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</si>
  <si>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</si>
  <si>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</si>
  <si>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</si>
  <si>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</si>
  <si>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</si>
  <si>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</si>
  <si>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</si>
  <si>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</si>
  <si>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</si>
  <si>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</si>
  <si>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</si>
  <si>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</si>
  <si>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</si>
  <si>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</si>
  <si>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</si>
  <si>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</si>
  <si>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</si>
  <si>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</si>
  <si>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</si>
  <si>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</si>
  <si>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</si>
  <si>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</si>
  <si>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</si>
  <si>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</si>
  <si>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</si>
  <si>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</si>
  <si>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</si>
  <si>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</si>
  <si>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</si>
  <si>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</si>
  <si>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</si>
  <si>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</si>
  <si>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</si>
  <si>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</si>
  <si>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</si>
  <si>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</si>
  <si>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</si>
  <si>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</si>
  <si>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</si>
  <si>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</si>
  <si>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</si>
  <si>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</si>
  <si>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</si>
  <si>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</si>
  <si>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</si>
  <si>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</si>
  <si>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</si>
  <si>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</si>
  <si>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</si>
  <si>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</si>
  <si>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</si>
  <si>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</si>
  <si>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</si>
  <si>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</si>
  <si>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</si>
  <si>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</si>
  <si>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</si>
  <si>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</si>
  <si>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</si>
  <si>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</si>
  <si>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</si>
  <si>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</si>
  <si>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</si>
  <si>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</si>
  <si>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</si>
  <si>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</si>
  <si>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</si>
  <si>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</si>
  <si>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</si>
  <si>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</si>
  <si>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</si>
  <si>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</si>
  <si>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</si>
  <si>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</si>
  <si>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</si>
  <si>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</si>
  <si>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</si>
  <si>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</si>
  <si>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</si>
  <si>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</si>
  <si>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</si>
  <si>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</si>
  <si>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</si>
  <si>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</si>
  <si>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</si>
  <si>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</si>
  <si>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</si>
  <si>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</si>
  <si>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</si>
  <si>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</si>
  <si>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</si>
  <si>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</si>
  <si>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</si>
  <si>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</si>
  <si>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</si>
  <si>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</si>
  <si>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</si>
  <si>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</si>
  <si>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</si>
  <si>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</si>
  <si>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</si>
  <si>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</si>
  <si>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</si>
  <si>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</si>
  <si>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</si>
  <si>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</si>
  <si>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</si>
  <si>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</si>
  <si>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</si>
  <si>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</si>
  <si>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</si>
  <si>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</si>
  <si>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</si>
  <si>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</si>
  <si>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</si>
  <si>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</si>
  <si>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</si>
  <si>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</si>
  <si>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</si>
  <si>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</si>
  <si>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</si>
  <si>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</si>
  <si>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</si>
  <si>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</si>
  <si>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</si>
  <si>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</si>
  <si>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</si>
  <si>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</si>
  <si>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</si>
  <si>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</si>
  <si>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</si>
  <si>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</si>
  <si>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</si>
  <si>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</si>
  <si>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</si>
  <si>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</si>
  <si>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</si>
  <si>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</si>
  <si>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</si>
  <si>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</si>
  <si>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</si>
  <si>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</si>
  <si>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</si>
  <si>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</si>
  <si>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</si>
  <si>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</si>
  <si>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</si>
  <si>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</si>
  <si>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</si>
  <si>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</si>
  <si>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</si>
  <si>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</si>
  <si>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</si>
  <si>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</si>
  <si>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</si>
  <si>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</si>
  <si>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</si>
  <si>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</si>
  <si>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</si>
  <si>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</si>
  <si>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</si>
  <si>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</si>
  <si>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</si>
  <si>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</si>
  <si>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</si>
  <si>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</si>
  <si>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</si>
  <si>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</si>
  <si>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</si>
  <si>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</si>
  <si>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</si>
  <si>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</si>
  <si>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</si>
  <si>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</si>
  <si>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</si>
  <si>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</si>
  <si>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</si>
  <si>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</si>
  <si>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</si>
  <si>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</si>
  <si>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</si>
  <si>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</si>
  <si>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</si>
  <si>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</si>
  <si>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</si>
  <si>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</si>
  <si>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</si>
  <si>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</si>
  <si>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</si>
  <si>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</si>
  <si>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</si>
  <si>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</si>
  <si>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</si>
  <si>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</si>
  <si>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</si>
  <si>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</si>
  <si>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</si>
  <si>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</si>
  <si>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</si>
  <si>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</si>
  <si>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</si>
  <si>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</si>
  <si>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</si>
  <si>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</si>
  <si>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</si>
  <si>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</si>
  <si>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</si>
  <si>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</si>
  <si>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</si>
  <si>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</si>
  <si>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</si>
  <si>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</si>
  <si>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</si>
  <si>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</si>
  <si>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</si>
  <si>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</si>
  <si>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</si>
  <si>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</si>
  <si>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</si>
  <si>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</si>
  <si>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</si>
  <si>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</si>
  <si>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</si>
  <si>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</si>
  <si>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</si>
  <si>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</si>
  <si>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</si>
  <si>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</si>
  <si>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</si>
  <si>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</si>
  <si>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</si>
  <si>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</si>
  <si>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</si>
  <si>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</si>
  <si>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</si>
  <si>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</si>
  <si>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</si>
  <si>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</si>
  <si>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</si>
  <si>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</si>
  <si>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</si>
  <si>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</si>
  <si>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</si>
  <si>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</si>
  <si>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</si>
  <si>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</si>
  <si>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</si>
  <si>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</si>
  <si>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</si>
  <si>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</si>
  <si>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</si>
  <si>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</si>
  <si>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</si>
  <si>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</si>
  <si>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</si>
  <si>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</si>
  <si>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</si>
  <si>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</si>
  <si>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</si>
  <si>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</si>
  <si>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</si>
  <si>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</si>
  <si>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</si>
  <si>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</si>
  <si>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</si>
  <si>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</si>
  <si>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</si>
  <si>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</si>
  <si>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</si>
  <si>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</si>
  <si>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</si>
  <si>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</si>
  <si>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</si>
  <si>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</si>
  <si>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</si>
  <si>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</si>
  <si>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</si>
  <si>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</si>
  <si>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</si>
  <si>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</si>
  <si>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</si>
  <si>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</si>
  <si>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</si>
  <si>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</si>
  <si>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</si>
  <si>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</si>
  <si>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</si>
  <si>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</si>
  <si>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</si>
  <si>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</si>
  <si>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</si>
  <si>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</si>
  <si>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</si>
  <si>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</si>
  <si>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</si>
  <si>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</si>
  <si>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</si>
  <si>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</si>
  <si>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</si>
  <si>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</si>
  <si>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</si>
  <si>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</si>
  <si>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</si>
  <si>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</si>
  <si>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</si>
  <si>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</si>
  <si>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</si>
  <si>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</si>
  <si>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</si>
  <si>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</si>
  <si>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</si>
  <si>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</si>
  <si>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</si>
  <si>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</si>
  <si>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</si>
  <si>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</si>
  <si>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</si>
  <si>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</si>
  <si>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</si>
  <si>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</si>
  <si>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</si>
  <si>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</si>
  <si>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</si>
  <si>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</si>
  <si>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</si>
  <si>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</si>
  <si>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</si>
  <si>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</si>
  <si>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</si>
  <si>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</si>
  <si>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</si>
  <si>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</si>
  <si>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</si>
  <si>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</si>
  <si>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</si>
  <si>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</si>
  <si>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</si>
  <si>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</si>
  <si>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</si>
  <si>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</si>
  <si>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</si>
  <si>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</si>
  <si>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</si>
  <si>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</si>
  <si>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</si>
  <si>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</si>
  <si>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</si>
  <si>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</si>
  <si>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</si>
  <si>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</si>
  <si>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</si>
  <si>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</si>
  <si>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</si>
  <si>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</si>
  <si>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</si>
  <si>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</si>
  <si>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</si>
  <si>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</si>
  <si>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</si>
  <si>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</si>
  <si>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</si>
  <si>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</si>
  <si>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</si>
  <si>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</si>
  <si>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</si>
  <si>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</si>
  <si>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</si>
  <si>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</si>
  <si>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</si>
  <si>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</si>
  <si>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</si>
  <si>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</si>
  <si>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</si>
  <si>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</si>
  <si>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</si>
  <si>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</si>
  <si>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</si>
  <si>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</si>
  <si>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</si>
  <si>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</si>
  <si>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</si>
  <si>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</si>
  <si>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</si>
  <si>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</si>
  <si>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</si>
  <si>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</si>
  <si>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</si>
  <si>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</si>
  <si>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</si>
  <si>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</si>
  <si>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</si>
  <si>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</si>
  <si>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</si>
  <si>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</si>
  <si>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</si>
  <si>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</si>
  <si>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</si>
  <si>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</si>
  <si>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</si>
  <si>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</si>
  <si>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</si>
  <si>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</si>
  <si>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</si>
  <si>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</si>
  <si>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</si>
  <si>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</si>
  <si>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</si>
  <si>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</si>
  <si>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</si>
  <si>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</si>
  <si>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</si>
  <si>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</si>
  <si>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</si>
  <si>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</si>
  <si>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</si>
  <si>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</si>
  <si>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</si>
  <si>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</si>
  <si>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</si>
  <si>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</si>
  <si>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</si>
  <si>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</si>
  <si>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</si>
  <si>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</si>
  <si>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</si>
  <si>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</si>
  <si>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</si>
  <si>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</si>
  <si>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</si>
  <si>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</si>
  <si>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</si>
  <si>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</si>
  <si>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</si>
  <si>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</si>
  <si>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</si>
  <si>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</si>
  <si>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</si>
  <si>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</si>
  <si>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</si>
  <si>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</si>
  <si>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</si>
  <si>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</si>
  <si>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</si>
  <si>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</si>
  <si>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</si>
  <si>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</si>
  <si>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</si>
  <si>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</si>
  <si>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</si>
  <si>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</si>
  <si>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</si>
  <si>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</si>
  <si>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</si>
  <si>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</si>
  <si>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</si>
  <si>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</si>
  <si>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</si>
  <si>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</si>
  <si>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</si>
  <si>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</si>
  <si>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</si>
  <si>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</si>
  <si>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</si>
  <si>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</si>
  <si>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</si>
  <si>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</si>
  <si>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</si>
  <si>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</si>
  <si>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</si>
  <si>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</si>
  <si>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</si>
  <si>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</si>
  <si>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</si>
  <si>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</si>
  <si>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</si>
  <si>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</si>
  <si>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</si>
  <si>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</si>
  <si>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</si>
  <si>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</si>
  <si>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</si>
  <si>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</si>
  <si>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</si>
  <si>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</si>
  <si>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</si>
  <si>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</si>
  <si>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</si>
  <si>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</si>
  <si>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</si>
  <si>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</si>
  <si>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</si>
  <si>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</si>
  <si>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</si>
  <si>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</si>
  <si>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</si>
  <si>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</si>
  <si>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</si>
  <si>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</si>
  <si>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</si>
  <si>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</si>
  <si>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</si>
  <si>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</si>
  <si>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</si>
  <si>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</si>
  <si>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</si>
  <si>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</si>
  <si>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</si>
  <si>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</si>
  <si>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</si>
  <si>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</si>
  <si>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</si>
  <si>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</si>
  <si>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</si>
  <si>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</si>
  <si>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</si>
  <si>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</si>
  <si>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</si>
  <si>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</si>
  <si>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</si>
  <si>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</si>
  <si>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</si>
  <si>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</si>
  <si>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</si>
  <si>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</si>
  <si>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</si>
  <si>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</si>
  <si>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</si>
  <si>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</si>
  <si>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</si>
  <si>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</si>
  <si>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</si>
  <si>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</si>
  <si>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</si>
  <si>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</si>
  <si>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</si>
  <si>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</si>
  <si>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</si>
  <si>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</si>
  <si>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</si>
  <si>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</si>
  <si>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</si>
  <si>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</si>
  <si>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</si>
  <si>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</si>
  <si>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</si>
  <si>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</si>
  <si>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</si>
  <si>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</si>
  <si>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</si>
  <si>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</si>
  <si>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</si>
  <si>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</si>
  <si>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</si>
  <si>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</si>
  <si>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</si>
  <si>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</si>
  <si>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</si>
  <si>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</si>
  <si>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</si>
  <si>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</si>
  <si>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</si>
  <si>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</si>
  <si>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</si>
  <si>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</si>
  <si>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</si>
  <si>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</si>
  <si>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</si>
  <si>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</si>
  <si>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</si>
  <si>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</si>
  <si>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</si>
  <si>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</si>
  <si>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</si>
  <si>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</si>
  <si>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</si>
  <si>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</si>
  <si>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</si>
  <si>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</si>
  <si>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</si>
  <si>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</si>
  <si>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</si>
  <si>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</si>
  <si>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</si>
  <si>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</si>
  <si>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</si>
  <si>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</si>
  <si>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</si>
  <si>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</si>
  <si>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</si>
  <si>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</si>
  <si>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</si>
  <si>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</si>
  <si>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</si>
  <si>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</si>
  <si>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</si>
  <si>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</si>
  <si>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</si>
  <si>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</si>
  <si>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</si>
  <si>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</si>
  <si>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</si>
  <si>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</si>
  <si>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</si>
  <si>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</si>
  <si>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</si>
  <si>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</si>
  <si>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</si>
  <si>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</si>
  <si>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</si>
  <si>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</si>
  <si>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</si>
  <si>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</si>
  <si>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</si>
  <si>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</si>
  <si>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</si>
  <si>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</si>
  <si>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</si>
  <si>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</si>
  <si>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</si>
  <si>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</si>
  <si>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</si>
  <si>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</si>
  <si>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</si>
  <si>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</si>
  <si>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</si>
  <si>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</si>
  <si>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</si>
  <si>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</si>
  <si>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</si>
  <si>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</si>
  <si>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</si>
  <si>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</si>
  <si>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</si>
  <si>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</si>
  <si>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</si>
  <si>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</si>
  <si>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</si>
  <si>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</si>
  <si>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</si>
  <si>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</si>
  <si>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</si>
  <si>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</si>
  <si>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</si>
  <si>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</si>
  <si>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</si>
  <si>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</si>
  <si>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</si>
  <si>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</si>
  <si>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</si>
  <si>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</si>
  <si>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</si>
  <si>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</si>
  <si>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</si>
  <si>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</si>
  <si>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</si>
  <si>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</si>
  <si>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</si>
  <si>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</si>
  <si>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</si>
  <si>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</si>
  <si>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</si>
  <si>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</si>
  <si>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</si>
  <si>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</si>
  <si>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</si>
  <si>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</si>
  <si>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</si>
  <si>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</si>
  <si>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</si>
  <si>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</si>
  <si>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</si>
  <si>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</si>
  <si>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</si>
  <si>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</si>
  <si>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</si>
  <si>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</si>
  <si>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</si>
  <si>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</si>
  <si>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</si>
  <si>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</si>
  <si>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</si>
  <si>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</si>
  <si>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</si>
  <si>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</si>
  <si>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</si>
  <si>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</si>
  <si>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</si>
  <si>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</si>
  <si>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</si>
  <si>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</si>
  <si>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</si>
  <si>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</si>
  <si>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</si>
  <si>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</si>
  <si>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</si>
  <si>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</si>
  <si>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</si>
  <si>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</si>
  <si>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</si>
  <si>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</si>
  <si>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</si>
  <si>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</si>
  <si>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</si>
  <si>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</si>
  <si>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</si>
  <si>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</si>
  <si>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</si>
  <si>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</si>
  <si>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</si>
  <si>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</si>
  <si>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</si>
  <si>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</si>
  <si>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</si>
  <si>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</si>
  <si>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</si>
  <si>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</si>
  <si>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</si>
  <si>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</si>
  <si>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</si>
  <si>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</si>
  <si>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</si>
  <si>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</si>
  <si>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</si>
  <si>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</si>
  <si>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</si>
  <si>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</si>
  <si>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</si>
  <si>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</si>
  <si>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</si>
  <si>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</si>
  <si>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</si>
  <si>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</si>
  <si>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</si>
  <si>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</si>
  <si>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</si>
  <si>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</si>
  <si>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</si>
  <si>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</si>
  <si>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</si>
  <si>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</si>
  <si>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</si>
  <si>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</si>
  <si>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</si>
  <si>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</si>
  <si>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</si>
  <si>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</si>
  <si>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</si>
  <si>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</si>
  <si>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</si>
  <si>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</si>
  <si>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</si>
  <si>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</si>
  <si>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</si>
  <si>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</si>
  <si>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</si>
  <si>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</si>
  <si>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</si>
  <si>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</si>
  <si>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</si>
  <si>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</si>
  <si>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</si>
  <si>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</si>
  <si>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</si>
  <si>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</si>
  <si>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</si>
  <si>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</si>
  <si>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</si>
  <si>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</si>
  <si>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</si>
  <si>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</si>
  <si>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</si>
  <si>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</si>
  <si>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</si>
  <si>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</si>
  <si>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</si>
  <si>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</si>
  <si>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</si>
  <si>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</si>
  <si>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</si>
  <si>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</si>
  <si>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</si>
  <si>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</si>
  <si>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</si>
  <si>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</si>
  <si>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</si>
  <si>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</si>
  <si>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</si>
  <si>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</si>
  <si>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</si>
  <si>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</si>
  <si>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</si>
  <si>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</si>
  <si>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</si>
  <si>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</si>
  <si>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</si>
  <si>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</si>
  <si>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</si>
  <si>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</si>
  <si>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</si>
  <si>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</si>
  <si>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</si>
  <si>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</si>
  <si>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</si>
  <si>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</si>
  <si>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</si>
  <si>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</si>
  <si>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</si>
  <si>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</si>
  <si>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</si>
  <si>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</si>
  <si>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</si>
  <si>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</si>
  <si>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</si>
  <si>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</si>
  <si>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</si>
  <si>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</si>
  <si>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</si>
  <si>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</si>
  <si>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</si>
  <si>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</si>
  <si>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</si>
  <si>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</si>
  <si>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</si>
  <si>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</si>
  <si>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</si>
  <si>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</si>
  <si>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</si>
  <si>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</si>
  <si>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</si>
  <si>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</si>
  <si>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</si>
  <si>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</si>
  <si>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</si>
  <si>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</si>
  <si>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</si>
  <si>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</si>
  <si>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</si>
  <si>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</si>
  <si>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</si>
  <si>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</si>
  <si>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</si>
  <si>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</si>
  <si>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</si>
  <si>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</si>
  <si>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</si>
  <si>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</si>
  <si>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</si>
  <si>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</si>
  <si>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</si>
  <si>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</si>
  <si>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</si>
  <si>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</si>
  <si>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</si>
  <si>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</si>
  <si>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</si>
  <si>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</si>
  <si>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</si>
  <si>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</si>
  <si>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</si>
  <si>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</si>
  <si>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</si>
  <si>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</si>
  <si>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</si>
  <si>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</si>
  <si>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</si>
  <si>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</si>
  <si>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</si>
  <si>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</si>
  <si>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</si>
  <si>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</si>
  <si>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</si>
  <si>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</si>
  <si>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</si>
  <si>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</si>
  <si>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</si>
  <si>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</si>
  <si>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</si>
  <si>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</si>
  <si>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</si>
  <si>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</si>
  <si>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</si>
  <si>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</si>
  <si>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</si>
  <si>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</si>
  <si>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</si>
  <si>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</si>
  <si>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</si>
  <si>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</si>
  <si>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</si>
  <si>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</si>
  <si>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</si>
  <si>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</si>
  <si>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</si>
  <si>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</si>
  <si>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</si>
  <si>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</si>
  <si>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</si>
  <si>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</si>
  <si>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</si>
  <si>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</si>
  <si>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</si>
  <si>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</si>
  <si>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</si>
  <si>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</si>
  <si>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</si>
  <si>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</si>
  <si>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</si>
  <si>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</si>
  <si>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</si>
  <si>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</si>
  <si>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</si>
  <si>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</si>
  <si>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</si>
  <si>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</si>
  <si>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</si>
  <si>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</si>
  <si>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</si>
  <si>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</si>
  <si>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</si>
  <si>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</si>
  <si>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</si>
  <si>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</si>
  <si>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</si>
  <si>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</si>
  <si>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</si>
  <si>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</si>
  <si>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</si>
  <si>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</si>
  <si>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</si>
  <si>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</si>
  <si>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</si>
  <si>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</si>
  <si>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</si>
  <si>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</si>
  <si>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</si>
  <si>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</si>
  <si>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</si>
  <si>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</si>
  <si>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</si>
  <si>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</si>
  <si>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</si>
  <si>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</si>
  <si>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</si>
  <si>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</si>
  <si>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</si>
  <si>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</si>
  <si>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</si>
  <si>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</si>
  <si>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</si>
  <si>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</si>
  <si>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</si>
  <si>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</si>
  <si>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</si>
  <si>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</si>
  <si>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</si>
  <si>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</si>
  <si>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</si>
  <si>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</si>
  <si>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</si>
  <si>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</si>
  <si>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</si>
  <si>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</si>
  <si>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</si>
  <si>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</si>
  <si>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</si>
  <si>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</si>
  <si>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</si>
  <si>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</si>
  <si>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</si>
  <si>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</si>
  <si>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</si>
  <si>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</si>
  <si>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</si>
  <si>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</si>
  <si>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</si>
  <si>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</si>
  <si>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</si>
  <si>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</si>
  <si>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</si>
  <si>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</si>
  <si>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</si>
  <si>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</si>
  <si>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</si>
  <si>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</si>
  <si>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</si>
  <si>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</si>
  <si>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</si>
  <si>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</si>
  <si>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</si>
  <si>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</si>
  <si>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</si>
  <si>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</si>
  <si>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</si>
  <si>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</si>
  <si>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</si>
  <si>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</si>
  <si>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</si>
  <si>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</si>
  <si>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</si>
  <si>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</si>
  <si>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</si>
  <si>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</si>
  <si>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</si>
  <si>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</si>
  <si>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</si>
  <si>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</si>
  <si>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</si>
  <si>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</si>
  <si>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</si>
  <si>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</si>
  <si>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</si>
  <si>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</si>
  <si>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</si>
  <si>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</si>
  <si>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</si>
  <si>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</si>
  <si>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</si>
  <si>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</si>
  <si>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</si>
  <si>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</si>
  <si>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</si>
  <si>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</si>
  <si>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</si>
  <si>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</si>
  <si>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</si>
  <si>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</si>
  <si>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</si>
  <si>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</si>
  <si>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</si>
  <si>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</si>
  <si>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</si>
  <si>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</si>
  <si>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</si>
  <si>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</si>
  <si>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</si>
  <si>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</si>
  <si>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</si>
  <si>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</si>
  <si>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</si>
  <si>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</si>
  <si>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</si>
  <si>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</si>
  <si>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</si>
  <si>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</si>
  <si>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</si>
  <si>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</si>
  <si>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</si>
  <si>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</si>
  <si>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</si>
  <si>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</si>
  <si>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</si>
  <si>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</si>
  <si>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</si>
  <si>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</si>
  <si>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</si>
  <si>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</si>
  <si>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</si>
  <si>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</si>
  <si>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</si>
  <si>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</si>
  <si>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</si>
  <si>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</si>
  <si>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</si>
  <si>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</si>
  <si>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</si>
  <si>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</si>
  <si>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</si>
  <si>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</si>
  <si>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</si>
  <si>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</si>
  <si>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</si>
  <si>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</si>
  <si>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</si>
  <si>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</si>
  <si>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</si>
  <si>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</si>
  <si>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</si>
  <si>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</si>
  <si>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</si>
  <si>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</si>
  <si>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</si>
  <si>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</si>
  <si>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</si>
  <si>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</si>
  <si>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</si>
  <si>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</si>
  <si>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</si>
  <si>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</si>
  <si>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</si>
  <si>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</si>
  <si>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</si>
  <si>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</si>
  <si>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</si>
  <si>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</si>
  <si>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</si>
  <si>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</si>
  <si>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</si>
  <si>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</si>
  <si>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</si>
  <si>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</si>
  <si>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</si>
  <si>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</si>
  <si>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</si>
  <si>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</si>
  <si>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</si>
  <si>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</si>
  <si>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</si>
  <si>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</si>
  <si>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</si>
  <si>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</si>
  <si>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</si>
  <si>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</si>
  <si>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</si>
  <si>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</si>
  <si>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</si>
  <si>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</si>
  <si>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</si>
  <si>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</si>
  <si>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</si>
  <si>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</si>
  <si>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</si>
  <si>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</si>
  <si>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</si>
  <si>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</si>
  <si>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</si>
  <si>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</si>
  <si>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</si>
  <si>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</si>
  <si>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</si>
  <si>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</si>
  <si>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</si>
  <si>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</si>
  <si>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</si>
  <si>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</si>
  <si>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</si>
  <si>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</si>
  <si>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</si>
  <si>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</si>
  <si>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</si>
  <si>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</si>
  <si>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</si>
  <si>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</si>
  <si>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</si>
  <si>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</si>
  <si>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</si>
  <si>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</si>
  <si>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</si>
  <si>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</si>
  <si>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</si>
  <si>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</si>
  <si>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</si>
  <si>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</si>
  <si>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</si>
  <si>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</si>
  <si>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</si>
  <si>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</si>
  <si>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</si>
  <si>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</si>
  <si>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</si>
  <si>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</si>
  <si>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</si>
  <si>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</si>
  <si>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</si>
  <si>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</si>
  <si>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</si>
  <si>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</si>
  <si>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</si>
  <si>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</si>
  <si>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</si>
  <si>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</si>
  <si>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</si>
  <si>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</si>
  <si>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</si>
  <si>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</si>
  <si>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</si>
  <si>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</si>
  <si>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</si>
  <si>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</si>
  <si>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</si>
  <si>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</si>
  <si>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</si>
  <si>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</si>
  <si>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</si>
  <si>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</si>
  <si>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</si>
  <si>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</si>
  <si>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</si>
  <si>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</si>
  <si>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</si>
  <si>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</si>
  <si>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</si>
  <si>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</si>
  <si>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</si>
  <si>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</si>
  <si>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</si>
  <si>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</si>
  <si>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</si>
  <si>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</si>
  <si>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</si>
  <si>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</si>
  <si>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</si>
  <si>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</si>
  <si>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</si>
  <si>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</si>
  <si>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</si>
  <si>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</si>
  <si>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</si>
  <si>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</si>
  <si>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</si>
  <si>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</si>
  <si>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</si>
  <si>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</si>
  <si>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</si>
  <si>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</si>
  <si>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</si>
  <si>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</si>
  <si>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</si>
  <si>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</si>
  <si>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</si>
  <si>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</si>
  <si>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</si>
  <si>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</si>
  <si>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</si>
  <si>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</si>
  <si>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</si>
  <si>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</si>
  <si>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</si>
  <si>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</si>
  <si>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</si>
  <si>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</si>
  <si>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</si>
  <si>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</si>
  <si>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</si>
  <si>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</si>
  <si>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</si>
  <si>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</si>
  <si>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</si>
  <si>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</si>
  <si>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</si>
  <si>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</si>
  <si>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</si>
  <si>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</si>
  <si>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</si>
  <si>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</si>
  <si>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</si>
  <si>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</si>
  <si>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</si>
  <si>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</si>
  <si>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</si>
  <si>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</si>
  <si>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</si>
  <si>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</si>
  <si>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</si>
  <si>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</si>
  <si>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</si>
  <si>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</si>
  <si>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</si>
  <si>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</si>
  <si>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</si>
  <si>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</si>
  <si>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</si>
  <si>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</si>
  <si>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</si>
  <si>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</si>
  <si>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</si>
  <si>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</si>
  <si>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</si>
  <si>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</si>
  <si>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</si>
  <si>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</si>
  <si>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</si>
  <si>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</si>
  <si>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</si>
  <si>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</si>
  <si>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</si>
  <si>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</si>
  <si>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</si>
  <si>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</si>
  <si>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</si>
  <si>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</si>
  <si>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</si>
  <si>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</si>
  <si>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</si>
  <si>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</si>
  <si>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</si>
  <si>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</si>
  <si>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</si>
  <si>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</si>
  <si>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</si>
  <si>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</si>
  <si>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</si>
  <si>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</si>
  <si>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</si>
  <si>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</si>
  <si>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</si>
  <si>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</si>
  <si>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</si>
  <si>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</si>
  <si>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</si>
  <si>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</si>
  <si>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</si>
  <si>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</si>
  <si>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</si>
  <si>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</si>
  <si>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</si>
  <si>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</si>
  <si>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</si>
  <si>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</si>
  <si>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</si>
  <si>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</si>
  <si>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</si>
  <si>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</si>
  <si>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</si>
  <si>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</si>
  <si>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</si>
  <si>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</si>
  <si>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</si>
  <si>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</si>
  <si>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</si>
  <si>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</si>
  <si>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</si>
  <si>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</si>
  <si>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</si>
  <si>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</si>
  <si>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</si>
  <si>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</si>
  <si>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</si>
  <si>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</si>
  <si>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</si>
  <si>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</si>
  <si>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</si>
  <si>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</si>
  <si>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</si>
  <si>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</si>
  <si>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</si>
  <si>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</si>
  <si>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</si>
  <si>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</si>
  <si>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</si>
  <si>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</si>
  <si>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</si>
  <si>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</si>
  <si>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</si>
  <si>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</si>
  <si>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</si>
  <si>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</si>
  <si>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</si>
  <si>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</si>
  <si>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</si>
  <si>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</si>
  <si>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</si>
  <si>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</si>
  <si>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</si>
  <si>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</si>
  <si>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</si>
  <si>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</si>
  <si>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</si>
  <si>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</si>
  <si>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</si>
  <si>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</si>
  <si>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</si>
  <si>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</si>
  <si>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</si>
  <si>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</si>
  <si>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</si>
  <si>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</si>
  <si>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</si>
  <si>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</si>
  <si>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</si>
  <si>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</si>
  <si>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</si>
  <si>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</si>
  <si>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</si>
  <si>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</si>
  <si>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</si>
  <si>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</si>
  <si>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</si>
  <si>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</si>
  <si>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</si>
  <si>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</si>
  <si>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</si>
  <si>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</si>
  <si>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</si>
  <si>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</si>
  <si>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</si>
  <si>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</si>
  <si>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</si>
  <si>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</si>
  <si>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</si>
  <si>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</si>
  <si>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</si>
  <si>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</si>
  <si>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</si>
  <si>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</si>
  <si>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</si>
  <si>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</si>
  <si>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</si>
  <si>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</si>
  <si>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</si>
  <si>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</si>
  <si>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</si>
  <si>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</si>
  <si>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</si>
  <si>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</si>
  <si>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</si>
  <si>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</si>
  <si>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</si>
  <si>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</si>
  <si>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</si>
  <si>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</si>
  <si>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</si>
  <si>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</si>
  <si>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</si>
  <si>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</si>
  <si>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</si>
  <si>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</si>
  <si>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</si>
  <si>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</si>
  <si>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</si>
  <si>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</si>
  <si>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</si>
  <si>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</si>
  <si>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</si>
  <si>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</si>
  <si>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</si>
  <si>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</si>
  <si>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</si>
  <si>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</si>
  <si>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</si>
  <si>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</si>
  <si>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</si>
  <si>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</si>
  <si>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</si>
  <si>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</si>
  <si>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</si>
  <si>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</si>
  <si>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</si>
  <si>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</si>
  <si>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</si>
  <si>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</si>
  <si>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</si>
  <si>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</si>
  <si>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</si>
  <si>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</si>
  <si>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</si>
  <si>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</si>
  <si>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</si>
  <si>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</si>
  <si>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</si>
  <si>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</si>
  <si>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</si>
  <si>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</si>
  <si>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</si>
  <si>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</si>
  <si>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</si>
  <si>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</si>
  <si>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</si>
  <si>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</si>
  <si>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</si>
  <si>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</si>
  <si>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</si>
  <si>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</si>
  <si>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</si>
  <si>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</si>
  <si>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</si>
  <si>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</si>
  <si>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</si>
  <si>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</si>
  <si>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</si>
  <si>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</si>
  <si>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</si>
  <si>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</si>
  <si>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</si>
  <si>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</si>
  <si>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</si>
  <si>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</si>
  <si>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</si>
  <si>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</si>
  <si>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</si>
  <si>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</si>
  <si>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</si>
  <si>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</si>
  <si>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</si>
  <si>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</si>
  <si>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</si>
  <si>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</si>
  <si>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</si>
  <si>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</si>
  <si>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</si>
  <si>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</si>
  <si>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</si>
  <si>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</si>
  <si>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</si>
  <si>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</si>
  <si>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</si>
  <si>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</si>
  <si>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</si>
  <si>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</si>
  <si>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</si>
  <si>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</si>
  <si>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</si>
  <si>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</si>
  <si>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</si>
  <si>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</si>
  <si>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</si>
  <si>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</si>
  <si>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</si>
  <si>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</si>
  <si>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</si>
  <si>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</si>
  <si>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</si>
  <si>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</si>
  <si>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</si>
  <si>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</si>
  <si>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</si>
  <si>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</si>
  <si>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</si>
  <si>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</si>
  <si>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</si>
  <si>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</si>
  <si>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</si>
  <si>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</si>
  <si>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</si>
  <si>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</si>
  <si>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</si>
  <si>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</si>
  <si>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</si>
  <si>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</si>
  <si>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</si>
  <si>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</si>
  <si>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</si>
  <si>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</si>
  <si>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</si>
  <si>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</si>
  <si>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</si>
  <si>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</si>
  <si>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</si>
  <si>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</si>
  <si>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</si>
  <si>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</si>
  <si>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</si>
  <si>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</si>
  <si>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</si>
  <si>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</si>
  <si>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</si>
  <si>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</si>
  <si>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</si>
  <si>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</si>
  <si>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</si>
  <si>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</si>
  <si>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</si>
  <si>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</si>
  <si>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</si>
  <si>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</si>
  <si>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</si>
  <si>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</si>
  <si>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</si>
  <si>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</si>
  <si>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</si>
  <si>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</si>
  <si>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</si>
  <si>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</si>
  <si>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</si>
  <si>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</si>
  <si>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</si>
  <si>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</si>
  <si>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</si>
  <si>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</si>
  <si>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</si>
  <si>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</si>
  <si>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</si>
  <si>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</si>
  <si>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</si>
  <si>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</si>
  <si>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</si>
  <si>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</si>
  <si>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</si>
  <si>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</si>
  <si>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</si>
  <si>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</si>
  <si>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</si>
  <si>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</si>
  <si>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</si>
  <si>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</si>
  <si>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</si>
  <si>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</si>
  <si>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</si>
  <si>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</si>
  <si>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</si>
  <si>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</si>
  <si>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</si>
  <si>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</si>
  <si>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</si>
  <si>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</si>
  <si>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</si>
  <si>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</si>
  <si>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</si>
  <si>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</si>
  <si>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</si>
  <si>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</si>
  <si>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</si>
  <si>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</si>
  <si>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</si>
  <si>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</si>
  <si>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</si>
  <si>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</si>
  <si>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</si>
  <si>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</si>
  <si>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</si>
  <si>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</si>
  <si>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</si>
  <si>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</si>
  <si>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</si>
  <si>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</si>
  <si>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</si>
  <si>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</si>
  <si>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</si>
  <si>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</si>
  <si>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</si>
  <si>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</si>
  <si>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</si>
  <si>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</si>
  <si>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</si>
  <si>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</si>
  <si>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</si>
  <si>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</si>
  <si>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</si>
  <si>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</si>
  <si>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</si>
  <si>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</si>
  <si>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</si>
  <si>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</si>
  <si>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</si>
  <si>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</si>
  <si>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</si>
  <si>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</si>
  <si>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</si>
  <si>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</si>
  <si>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</si>
  <si>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</si>
  <si>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</si>
  <si>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</si>
  <si>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</si>
  <si>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</si>
  <si>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</si>
  <si>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</si>
  <si>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</si>
  <si>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</si>
  <si>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</si>
  <si>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</si>
  <si>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</si>
  <si>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</si>
  <si>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</si>
  <si>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</si>
  <si>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</si>
  <si>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</si>
  <si>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</si>
  <si>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</si>
  <si>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</si>
  <si>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</si>
  <si>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</si>
  <si>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</si>
  <si>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</si>
  <si>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</si>
  <si>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</si>
  <si>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</si>
  <si>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</si>
  <si>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</si>
  <si>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</si>
  <si>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</si>
  <si>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</si>
  <si>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</si>
  <si>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</si>
  <si>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</si>
  <si>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</si>
  <si>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</si>
  <si>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</si>
  <si>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</si>
  <si>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</si>
  <si>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</si>
  <si>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</si>
  <si>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</si>
  <si>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</si>
  <si>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</si>
  <si>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</si>
  <si>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</si>
  <si>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</si>
  <si>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</si>
  <si>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</si>
  <si>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</si>
  <si>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</si>
  <si>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</si>
  <si>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</si>
  <si>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</si>
  <si>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</si>
  <si>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</si>
  <si>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</si>
  <si>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</si>
  <si>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</si>
  <si>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</si>
  <si>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</si>
  <si>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</si>
  <si>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</si>
  <si>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</si>
  <si>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</si>
  <si>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</si>
  <si>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</si>
  <si>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</si>
  <si>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</si>
  <si>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</si>
  <si>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</si>
  <si>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</si>
  <si>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</si>
  <si>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</si>
  <si>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</si>
  <si>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</si>
  <si>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</si>
  <si>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</si>
  <si>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</si>
  <si>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</si>
  <si>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</si>
  <si>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</si>
  <si>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</si>
  <si>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</si>
  <si>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</si>
  <si>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</si>
  <si>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</si>
  <si>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</si>
  <si>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</si>
  <si>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</si>
  <si>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</si>
  <si>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</si>
  <si>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</si>
  <si>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</si>
  <si>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</si>
  <si>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</si>
  <si>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</si>
  <si>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</si>
  <si>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</si>
  <si>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</si>
  <si>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</si>
  <si>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</si>
  <si>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</si>
  <si>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</si>
  <si>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</si>
  <si>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</si>
  <si>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</si>
  <si>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</si>
  <si>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</si>
  <si>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</si>
  <si>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</si>
  <si>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</si>
  <si>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</si>
  <si>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</si>
  <si>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</si>
  <si>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</si>
  <si>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</si>
  <si>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</si>
  <si>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</si>
  <si>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</si>
  <si>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</si>
  <si>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</si>
  <si>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</si>
  <si>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</si>
  <si>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</si>
  <si>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</si>
  <si>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</si>
  <si>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</si>
  <si>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</si>
  <si>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</si>
  <si>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</si>
  <si>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</si>
  <si>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</si>
  <si>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</si>
  <si>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</si>
  <si>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</si>
  <si>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</si>
  <si>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</si>
  <si>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</si>
  <si>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</si>
  <si>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</si>
  <si>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</si>
  <si>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</si>
  <si>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</si>
  <si>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</si>
  <si>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</si>
  <si>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</si>
  <si>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</si>
  <si>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</si>
  <si>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</si>
  <si>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</si>
  <si>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</si>
  <si>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</si>
  <si>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</si>
  <si>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</si>
  <si>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</si>
  <si>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</si>
  <si>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</si>
  <si>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</si>
  <si>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</si>
  <si>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</si>
  <si>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</si>
  <si>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</si>
  <si>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</si>
  <si>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</si>
  <si>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</si>
  <si>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</si>
  <si>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</si>
  <si>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</si>
  <si>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</si>
  <si>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</si>
  <si>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</si>
  <si>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</si>
  <si>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</si>
  <si>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</si>
  <si>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</si>
  <si>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</si>
  <si>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</si>
  <si>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</si>
  <si>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</si>
  <si>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</si>
  <si>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</si>
  <si>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</si>
  <si>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</si>
  <si>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</si>
  <si>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</si>
  <si>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</si>
  <si>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</si>
  <si>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</si>
  <si>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</si>
  <si>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</si>
  <si>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</si>
  <si>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</si>
  <si>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</si>
  <si>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</si>
  <si>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</si>
  <si>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</si>
  <si>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</si>
  <si>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</si>
  <si>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</si>
  <si>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</si>
  <si>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</si>
  <si>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</si>
  <si>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</si>
  <si>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</si>
  <si>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</si>
  <si>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</si>
  <si>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</si>
  <si>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</si>
  <si>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</si>
  <si>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</si>
  <si>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</si>
  <si>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</si>
  <si>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</si>
  <si>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</si>
  <si>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</si>
  <si>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</si>
  <si>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</si>
  <si>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</si>
  <si>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</si>
  <si>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</si>
  <si>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</si>
  <si>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</si>
  <si>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</si>
  <si>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</si>
  <si>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</si>
  <si>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</si>
  <si>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</si>
  <si>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</si>
  <si>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</si>
  <si>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</si>
  <si>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</si>
  <si>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</si>
  <si>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</si>
  <si>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</si>
  <si>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</si>
  <si>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</si>
  <si>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</si>
  <si>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</si>
  <si>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</si>
  <si>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</si>
  <si>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</si>
  <si>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</si>
  <si>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</si>
  <si>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</si>
  <si>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</si>
  <si>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</si>
  <si>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</si>
  <si>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</si>
  <si>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</si>
  <si>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</si>
  <si>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</si>
  <si>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</si>
  <si>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</si>
  <si>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</si>
  <si>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</si>
  <si>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</si>
  <si>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</si>
  <si>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</si>
  <si>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</si>
  <si>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</si>
  <si>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</si>
  <si>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</si>
  <si>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</si>
  <si>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</si>
  <si>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</si>
  <si>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</si>
  <si>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</si>
  <si>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</si>
  <si>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</si>
  <si>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</si>
  <si>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</si>
  <si>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</si>
  <si>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</si>
  <si>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</si>
  <si>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</si>
  <si>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</si>
  <si>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</si>
  <si>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</si>
  <si>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</si>
  <si>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</si>
  <si>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</si>
  <si>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</si>
  <si>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</si>
  <si>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</si>
  <si>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</si>
  <si>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</si>
  <si>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</si>
  <si>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</si>
  <si>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</si>
  <si>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</si>
  <si>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</si>
  <si>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</si>
  <si>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</si>
  <si>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</si>
  <si>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</si>
  <si>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</si>
  <si>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</si>
  <si>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</si>
  <si>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</si>
  <si>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</si>
  <si>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</si>
  <si>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</si>
  <si>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</si>
  <si>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</si>
  <si>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</si>
  <si>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</si>
  <si>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</si>
  <si>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</si>
  <si>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</si>
  <si>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</si>
  <si>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</si>
  <si>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</si>
  <si>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</si>
  <si>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</si>
  <si>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</si>
  <si>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</si>
  <si>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</si>
  <si>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</si>
  <si>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</si>
  <si>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</si>
  <si>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</si>
  <si>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</si>
  <si>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</si>
  <si>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</si>
  <si>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</si>
  <si>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</si>
  <si>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</si>
  <si>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</si>
  <si>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</si>
  <si>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</si>
  <si>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</si>
  <si>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</si>
  <si>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</si>
  <si>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</si>
  <si>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</si>
  <si>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</si>
  <si>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</si>
  <si>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</si>
  <si>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</si>
  <si>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</si>
  <si>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</si>
  <si>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</si>
  <si>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</si>
  <si>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</si>
  <si>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</si>
  <si>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</si>
  <si>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</si>
  <si>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</si>
  <si>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</si>
  <si>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</si>
  <si>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</si>
  <si>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</si>
  <si>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</si>
  <si>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</si>
  <si>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</si>
  <si>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</si>
  <si>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</si>
  <si>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</si>
  <si>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</si>
  <si>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</si>
  <si>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</si>
  <si>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</si>
  <si>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</si>
  <si>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</si>
  <si>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</si>
  <si>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</si>
  <si>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</si>
  <si>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</si>
  <si>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</si>
  <si>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</si>
  <si>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</si>
  <si>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</si>
  <si>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</si>
  <si>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</si>
  <si>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</si>
  <si>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</si>
  <si>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</si>
  <si>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</si>
  <si>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</si>
  <si>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</si>
  <si>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</si>
  <si>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</si>
  <si>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</si>
  <si>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</si>
  <si>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</si>
  <si>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</si>
  <si>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</si>
  <si>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</si>
  <si>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</si>
  <si>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</si>
  <si>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</si>
  <si>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</si>
  <si>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</si>
  <si>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</si>
  <si>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</si>
  <si>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</si>
  <si>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</si>
  <si>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</si>
  <si>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</si>
  <si>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</si>
  <si>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</si>
  <si>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</si>
  <si>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</si>
  <si>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</si>
  <si>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</si>
  <si>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</si>
  <si>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</si>
  <si>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</si>
  <si>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</si>
  <si>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</si>
  <si>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</si>
  <si>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</si>
  <si>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</si>
  <si>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</si>
  <si>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</si>
  <si>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</si>
  <si>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</si>
  <si>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</si>
  <si>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</si>
  <si>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</si>
  <si>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</si>
  <si>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</si>
  <si>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</si>
  <si>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</si>
  <si>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</si>
  <si>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</si>
  <si>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</si>
  <si>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</si>
  <si>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</si>
  <si>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</si>
  <si>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</si>
  <si>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</si>
  <si>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</si>
  <si>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</si>
  <si>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</si>
  <si>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</si>
  <si>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</si>
  <si>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</si>
  <si>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</si>
  <si>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</si>
  <si>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</si>
  <si>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</si>
  <si>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</si>
  <si>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</si>
  <si>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</si>
  <si>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</si>
  <si>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</si>
  <si>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</si>
  <si>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</si>
  <si>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</si>
  <si>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</si>
  <si>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</si>
  <si>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</si>
  <si>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</si>
  <si>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</si>
  <si>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</si>
  <si>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</si>
  <si>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楼面地价</t>
  </si>
  <si>
    <t>吴薇</t>
  </si>
  <si>
    <t>郑燚</t>
  </si>
  <si>
    <t>抵押价格</t>
  </si>
  <si>
    <t>其他：</t>
  </si>
  <si>
    <t>企业</t>
  </si>
  <si>
    <t>商业</t>
  </si>
  <si>
    <t>一致</t>
  </si>
  <si>
    <t>天津市</t>
    <phoneticPr fontId="6" type="noConversion"/>
  </si>
  <si>
    <t>东丽区东丽湖银桂道以南、景福路以东</t>
    <phoneticPr fontId="6" type="noConversion"/>
  </si>
  <si>
    <t>1#楼</t>
    <phoneticPr fontId="3" type="noConversion"/>
  </si>
  <si>
    <t>2#楼</t>
    <phoneticPr fontId="3" type="noConversion"/>
  </si>
  <si>
    <t>3#楼</t>
  </si>
  <si>
    <t>4#楼</t>
  </si>
  <si>
    <t>5#楼</t>
  </si>
  <si>
    <t>6#楼</t>
  </si>
  <si>
    <t>7#楼</t>
  </si>
  <si>
    <t>8#楼</t>
  </si>
  <si>
    <t>9#楼</t>
  </si>
  <si>
    <t>10#楼</t>
  </si>
  <si>
    <t>11#楼</t>
  </si>
  <si>
    <t>12#楼</t>
  </si>
  <si>
    <t>13#楼</t>
  </si>
  <si>
    <t>14#楼</t>
  </si>
  <si>
    <t>15#楼</t>
  </si>
  <si>
    <t>16#楼</t>
  </si>
  <si>
    <t>17#楼</t>
  </si>
  <si>
    <t>18#楼</t>
  </si>
  <si>
    <t>19#楼</t>
  </si>
  <si>
    <t>地下车库</t>
    <phoneticPr fontId="3" type="noConversion"/>
  </si>
  <si>
    <t>地上</t>
  </si>
  <si>
    <t>办公楼</t>
  </si>
  <si>
    <t>办公</t>
    <phoneticPr fontId="7" type="noConversion"/>
  </si>
  <si>
    <t>售价</t>
  </si>
  <si>
    <t>30-40（含）</t>
  </si>
  <si>
    <t>天骥智谷商务花园</t>
    <phoneticPr fontId="3" type="noConversion"/>
  </si>
  <si>
    <t>东丽津汉公路与东丽湖路交口</t>
    <phoneticPr fontId="3" type="noConversion"/>
  </si>
  <si>
    <t>多层</t>
    <phoneticPr fontId="27" type="noConversion"/>
  </si>
  <si>
    <t>钢混</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</si>
  <si>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</si>
  <si>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</si>
  <si>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</si>
  <si>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</si>
  <si>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</si>
  <si>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标准层高</t>
    <phoneticPr fontId="27" type="noConversion"/>
  </si>
  <si>
    <t>办公</t>
    <phoneticPr fontId="27" type="noConversion"/>
  </si>
  <si>
    <t>汇津广场</t>
    <phoneticPr fontId="3" type="noConversion"/>
  </si>
  <si>
    <t>滨海新区空港经济区西五道35号</t>
    <phoneticPr fontId="3" type="noConversion"/>
  </si>
  <si>
    <t>华睿广场</t>
    <phoneticPr fontId="3" type="noConversion"/>
  </si>
  <si>
    <t>滨海新区空港经济区中心大道与西二道交口</t>
    <phoneticPr fontId="3" type="noConversion"/>
  </si>
  <si>
    <t>土地</t>
  </si>
  <si>
    <t>比较法-住宅、综合</t>
  </si>
  <si>
    <t>剩余法-待开发</t>
  </si>
  <si>
    <t>一般</t>
  </si>
  <si>
    <t>较好</t>
  </si>
  <si>
    <t>较好</t>
    <phoneticPr fontId="3" type="noConversion"/>
  </si>
  <si>
    <t>一般</t>
    <phoneticPr fontId="3" type="noConversion"/>
  </si>
  <si>
    <t>六通</t>
  </si>
  <si>
    <t>六通</t>
    <phoneticPr fontId="3" type="noConversion"/>
  </si>
  <si>
    <t>多层</t>
  </si>
  <si>
    <t>钢混</t>
  </si>
  <si>
    <t>精装修</t>
  </si>
  <si>
    <t>好</t>
    <phoneticPr fontId="27" type="noConversion"/>
  </si>
  <si>
    <t>较好</t>
    <phoneticPr fontId="27" type="noConversion"/>
  </si>
  <si>
    <t>一般</t>
    <phoneticPr fontId="27" type="noConversion"/>
  </si>
  <si>
    <t>较差</t>
    <phoneticPr fontId="27" type="noConversion"/>
  </si>
  <si>
    <t>差</t>
    <phoneticPr fontId="27" type="noConversion"/>
  </si>
  <si>
    <t>六通</t>
    <phoneticPr fontId="27" type="noConversion"/>
  </si>
  <si>
    <t>五通</t>
  </si>
  <si>
    <t>五通</t>
    <phoneticPr fontId="27" type="noConversion"/>
  </si>
  <si>
    <t>四通</t>
    <phoneticPr fontId="27" type="noConversion"/>
  </si>
  <si>
    <t>标准层高</t>
  </si>
  <si>
    <t>宝能科技园</t>
    <phoneticPr fontId="3" type="noConversion"/>
  </si>
  <si>
    <t>东丽区东丽湖</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</si>
  <si>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</si>
  <si>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</si>
  <si>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</si>
  <si>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</si>
  <si>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</si>
  <si>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</si>
  <si>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</si>
  <si>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</si>
  <si>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</si>
  <si>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</si>
  <si>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</si>
  <si>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</si>
  <si>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</si>
  <si>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</si>
  <si>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</si>
  <si>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</si>
  <si>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</si>
  <si>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</si>
  <si>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</si>
  <si>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</si>
  <si>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天津滨海高新区华苑科技园</t>
  </si>
  <si>
    <t>≤2.5</t>
  </si>
  <si>
    <t>2019-07-10</t>
  </si>
  <si>
    <t>天津旻兴建设开发有限公司</t>
  </si>
  <si>
    <t>4星</t>
  </si>
  <si>
    <t>天津滨海高新区海洋科技园</t>
  </si>
  <si>
    <t>≤2.0</t>
  </si>
  <si>
    <t>天津海盛置业有限公司</t>
  </si>
  <si>
    <t>2019-05-29</t>
  </si>
  <si>
    <t>新城控股集团股份有限公司</t>
  </si>
  <si>
    <t>3星</t>
  </si>
  <si>
    <t>该地块位于东丽区环宇道与龙湾路交口东南侧</t>
  </si>
  <si>
    <t>2019-03-06</t>
  </si>
  <si>
    <t>中石化城投(天津)石油制品销售有限责任公司</t>
  </si>
  <si>
    <t>天津空港经济区</t>
  </si>
  <si>
    <t>≤1.8</t>
  </si>
  <si>
    <t>中铁第六勘察设计院集团有限公司</t>
  </si>
  <si>
    <t>天津开发区</t>
  </si>
  <si>
    <t>≤1.0</t>
  </si>
  <si>
    <t>2019-02-27</t>
  </si>
  <si>
    <t>闻旅凯达(天津)酒店管理有限公司</t>
  </si>
  <si>
    <t>天津未来科技城京津合作示范区</t>
  </si>
  <si>
    <t>≤0.5</t>
  </si>
  <si>
    <t>2019-01-30</t>
  </si>
  <si>
    <t>首创经中(天津)投资有限公司</t>
  </si>
  <si>
    <t>2星</t>
  </si>
  <si>
    <t>≤1.7</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</si>
  <si>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</si>
  <si>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</si>
  <si>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</si>
  <si>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</si>
  <si>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</si>
  <si>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</si>
  <si>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</si>
  <si>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</si>
  <si>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</si>
  <si>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</si>
  <si>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东丽区东丽开发区津塘二线以南、六经路以西</t>
  </si>
  <si>
    <t>≤3.6</t>
  </si>
  <si>
    <t>2018-08-29</t>
  </si>
  <si>
    <t>天津东丽经济技术开发区总公司</t>
  </si>
  <si>
    <t>中新天津生态城(原旅游区区域内)</t>
  </si>
  <si>
    <t>2018-08-01</t>
  </si>
  <si>
    <t>天津泰达联合置地有限公司</t>
  </si>
  <si>
    <t>中新天津生态城</t>
  </si>
  <si>
    <t>2018-04-18</t>
  </si>
  <si>
    <t>天津滨海旅游区锦苑投资有限公司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</si>
  <si>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</si>
  <si>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</si>
  <si>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</si>
  <si>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</si>
  <si>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</si>
  <si>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</si>
  <si>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</si>
  <si>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</si>
  <si>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</si>
  <si>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</si>
  <si>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</si>
  <si>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</si>
  <si>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</si>
  <si>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</si>
  <si>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</si>
  <si>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</si>
  <si>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</si>
  <si>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</si>
  <si>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</si>
  <si>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</si>
  <si>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</si>
  <si>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</si>
  <si>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</si>
  <si>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</si>
  <si>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</si>
  <si>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</si>
  <si>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</si>
  <si>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</si>
  <si>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</si>
  <si>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</si>
  <si>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</si>
  <si>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东丽区</t>
  </si>
  <si>
    <t>津丽(挂)2019-08号</t>
  </si>
  <si>
    <t>商业用地</t>
  </si>
  <si>
    <t>≤66%</t>
  </si>
  <si>
    <t>未开工</t>
  </si>
  <si>
    <t>2019-06-19</t>
  </si>
  <si>
    <t>2019-07-09</t>
  </si>
  <si>
    <t>已成交</t>
  </si>
  <si>
    <t>40年</t>
  </si>
  <si>
    <t>滨海新区</t>
  </si>
  <si>
    <t>津滨高(挂)2019-4号</t>
  </si>
  <si>
    <t>商服用地</t>
  </si>
  <si>
    <t>≤60%</t>
  </si>
  <si>
    <t>2019-06-06</t>
  </si>
  <si>
    <t>2019-06-26</t>
  </si>
  <si>
    <t>津滨高(挂)2019-3号</t>
  </si>
  <si>
    <t>≤45%</t>
  </si>
  <si>
    <t>津滨高(挂)2019-2号</t>
  </si>
  <si>
    <t>≤65%</t>
  </si>
  <si>
    <t>100米</t>
  </si>
  <si>
    <t>2019-04-25</t>
  </si>
  <si>
    <t>2019-05-20</t>
  </si>
  <si>
    <t>津东丽环(挂)2019-016号</t>
  </si>
  <si>
    <t>加油加气站用地</t>
  </si>
  <si>
    <t>2019-02-03</t>
  </si>
  <si>
    <t>2019-02-25</t>
  </si>
  <si>
    <t>津滨保(挂)2018-13号</t>
  </si>
  <si>
    <t>商务用地(宜建内容为办公楼)</t>
  </si>
  <si>
    <t>≤40%</t>
  </si>
  <si>
    <t>≤41米</t>
  </si>
  <si>
    <t>津滨开(挂)2017-2号</t>
  </si>
  <si>
    <t>24米</t>
  </si>
  <si>
    <t>2019-01-24</t>
  </si>
  <si>
    <t>2019-02-18</t>
  </si>
  <si>
    <t>津滨高(挂)2018-7号</t>
  </si>
  <si>
    <t>≤50%</t>
  </si>
  <si>
    <t>50米</t>
  </si>
  <si>
    <t>2018-12-29</t>
  </si>
  <si>
    <t>2019-01-21</t>
  </si>
  <si>
    <t>津滨高(挂)2018-8号</t>
  </si>
  <si>
    <t>津滨保(挂)2018-21号</t>
  </si>
  <si>
    <t>零售商业用地</t>
  </si>
  <si>
    <t>≤30%</t>
  </si>
  <si>
    <t>开工中</t>
  </si>
  <si>
    <t>2018-10-19</t>
  </si>
  <si>
    <t>2018-11-08</t>
  </si>
  <si>
    <t>津滨保(挂)2018-6号</t>
  </si>
  <si>
    <t>A地≤45%;B地≤45%</t>
  </si>
  <si>
    <t>A地≤80米;B地≤80米</t>
  </si>
  <si>
    <t>2018-09-18</t>
  </si>
  <si>
    <t>2018-10-08</t>
  </si>
  <si>
    <t>津滨保(挂)2018-16号</t>
  </si>
  <si>
    <t>商务用地</t>
  </si>
  <si>
    <t>2018-09-13</t>
  </si>
  <si>
    <t>津丽(挂)2018-06号</t>
  </si>
  <si>
    <t>40米</t>
  </si>
  <si>
    <t>2018-07-31</t>
  </si>
  <si>
    <t>2018-08-20</t>
  </si>
  <si>
    <t>津滨生(挂)2018-6号</t>
  </si>
  <si>
    <t>≤50米</t>
  </si>
  <si>
    <t>2018-06-29</t>
  </si>
  <si>
    <t>2018-07-19</t>
  </si>
  <si>
    <t>津滨生(挂)2018-1号</t>
  </si>
  <si>
    <t>≤45米</t>
  </si>
  <si>
    <t>2018-03-16</t>
  </si>
  <si>
    <t>2018-04-08</t>
  </si>
  <si>
    <t>商业</t>
    <phoneticPr fontId="26" type="noConversion"/>
  </si>
  <si>
    <t>五通</t>
    <phoneticPr fontId="26" type="noConversion"/>
  </si>
  <si>
    <t>四通</t>
    <phoneticPr fontId="26" type="noConversion"/>
  </si>
  <si>
    <t>三通</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</si>
  <si>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</si>
  <si>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</si>
  <si>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</si>
  <si>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</si>
  <si>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</si>
  <si>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</si>
  <si>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</si>
  <si>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</si>
  <si>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</si>
  <si>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</si>
  <si>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地下</t>
  </si>
  <si>
    <t>车库—商业</t>
  </si>
  <si>
    <t>车库</t>
  </si>
  <si>
    <t>车库</t>
    <phoneticPr fontId="7" type="noConversion"/>
  </si>
  <si>
    <t>不动产收益法</t>
  </si>
  <si>
    <t>土地（套用方法）</t>
  </si>
  <si>
    <t>自定义</t>
  </si>
  <si>
    <t>按租金收入计税</t>
  </si>
  <si>
    <t>地上楼面</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</si>
</sst>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name val="楷体_GB2312"/>
      <charset val="134"/>
    </font>
    <font>
      <sz val="12"/>
      <name val="楷体_GB231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7" fillId="0" borderId="0" xfId="0" applyFont="1" applyAlignment="1"/>
    <xf numFmtId="0" fontId="202" fillId="0" borderId="2" xfId="0" applyFont="1" applyFill="1" applyBorder="1" applyAlignment="1" applyProtection="1">
      <alignment horizontal="center" vertical="center"/>
      <protection locked="0"/>
    </xf>
    <xf numFmtId="0" fontId="126" fillId="0" borderId="2" xfId="0" applyFont="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2" xfId="1" applyFont="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265143</xdr:colOff>
      <xdr:row>43</xdr:row>
      <xdr:rowOff>126636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457143" cy="7990476"/>
        </a:xfrm>
        <a:prstGeom prst="rect">
          <a:avLst/>
        </a:prstGeom>
      </xdr:spPr>
    </xdr:pic>
    <xdr:clientData/>
  </xdr:twoCellAnchor>
  <xdr:twoCellAnchor editAs="oneCell">
    <xdr:from>
      <xdr:col>22</xdr:col>
      <xdr:colOff>0</xdr:colOff>
      <xdr:row>0</xdr:row>
      <xdr:rowOff>0</xdr:rowOff>
    </xdr:from>
    <xdr:to>
      <xdr:col>39</xdr:col>
      <xdr:colOff>8228</xdr:colOff>
      <xdr:row>41</xdr:row>
      <xdr:rowOff>110765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13411200" y="0"/>
          <a:ext cx="10371428" cy="7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天津市东丽区东丽湖银桂道以南、景福路以东出让国有建设用地使用权抵押价格预评估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吴薇、郑燚</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受贵公司委托，我公司对天津市东丽区东丽湖银桂道以南、景福路以东出让国有建设用地使用权抵押价格进行了预评估。</v>
      </c>
      <c r="AM6" s="2857"/>
    </row>
    <row r="7" spans="1:55" s="2831" customFormat="1">
      <c r="A7" s="2832" t="s">
        <v>2657</v>
      </c>
      <c r="B7" s="2833" t="str">
        <f>'预评函-1'!A6</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2019年8月16日（评估专业人员勘察现场之日）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根据《国有土地使用证》[]，估价对象（分摊）出让国有建设用地使用权面积为49527.1平方米。根据《建设工程规划许可证》[]、《出让合同》[]，估价对象规划建筑面积为104102.4平方米。</v>
      </c>
    </row>
    <row r="16" spans="1:55" s="2831" customFormat="1">
      <c r="A16" s="2832" t="s">
        <v>2669</v>
      </c>
      <c r="B16" s="2833" t="str">
        <f>'预评函-1'!A22</f>
        <v>本次估价对象为出让国有建设用地使用权，《国有土地使用证》[]证载土地终止日期为商业2057年2月20日、办公2057年2月20日。截至估价期日，出让国有建设用地使用权剩余土地使用年限为。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估价期日：2019年8月16日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49527.1</v>
      </c>
    </row>
    <row r="44" spans="1:2">
      <c r="A44" s="2832" t="s">
        <v>2740</v>
      </c>
      <c r="B44" s="2833" t="str">
        <f>'预评函-2'!O3</f>
        <v>规划建筑面积/㎡</v>
      </c>
    </row>
    <row r="45" spans="1:2">
      <c r="A45" s="2832" t="s">
        <v>2722</v>
      </c>
      <c r="B45" s="2833">
        <f>'预评函-2'!O5</f>
        <v>104102.39999999998</v>
      </c>
    </row>
    <row r="46" spans="1:2">
      <c r="A46" s="2832" t="s">
        <v>2723</v>
      </c>
      <c r="B46" s="2833">
        <f ca="1">'预评函-2'!P5</f>
        <v>3730</v>
      </c>
    </row>
    <row r="47" spans="1:2">
      <c r="A47" s="2832" t="s">
        <v>2724</v>
      </c>
      <c r="B47" s="2833">
        <f ca="1">'预评函-2'!Q5</f>
        <v>1775</v>
      </c>
    </row>
    <row r="48" spans="1:2">
      <c r="A48" s="2832" t="s">
        <v>2725</v>
      </c>
      <c r="B48" s="2833">
        <f ca="1">'预评函-2'!R5</f>
        <v>18474</v>
      </c>
    </row>
    <row r="49" spans="1:2">
      <c r="A49" s="2832" t="s">
        <v>2741</v>
      </c>
      <c r="B49" s="2833" t="str">
        <f>'预评函-2'!A6</f>
        <v>抵押价格</v>
      </c>
    </row>
    <row r="50" spans="1:2">
      <c r="A50" s="2832" t="s">
        <v>2726</v>
      </c>
      <c r="B50" s="2833">
        <f ca="1">'预评函-2'!R6</f>
        <v>18474</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吴薇</v>
      </c>
    </row>
    <row r="70" spans="1:2">
      <c r="A70" s="2832" t="s">
        <v>2690</v>
      </c>
      <c r="B70" s="2839">
        <f ca="1">'预评函-3'!B20</f>
        <v>2002110125</v>
      </c>
    </row>
    <row r="71" spans="1:2">
      <c r="A71" s="2832" t="s">
        <v>2691</v>
      </c>
      <c r="B71" s="2833" t="str">
        <f>'预评函-3'!A21</f>
        <v>郑燚</v>
      </c>
    </row>
    <row r="72" spans="1:2" s="2847" customFormat="1" ht="15" thickBot="1">
      <c r="A72" s="2854" t="s">
        <v>2691</v>
      </c>
      <c r="B72" s="2860">
        <f ca="1">'预评函-3'!B21</f>
        <v>2014110011</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3" sqref="F23"/>
    </sheetView>
  </sheetViews>
  <sheetFormatPr defaultColWidth="10" defaultRowHeight="14.25"/>
  <cols>
    <col min="1" max="1" width="15.375" style="1674" customWidth="1"/>
    <col min="2" max="2" width="11.375" style="1674" customWidth="1"/>
    <col min="3" max="3" width="12.625" style="1674" customWidth="1"/>
    <col min="4" max="4" width="12.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24" t="str">
        <f>IF(B10="北京市","北京市",C10)&amp;F10&amp;B16&amp;"国有建设用地使用权"&amp;B9&amp;"预评估"</f>
        <v>天津市东丽区东丽湖银桂道以南、景福路以东出让国有建设用地使用权抵押价格预评估</v>
      </c>
      <c r="C1" s="3225"/>
      <c r="D1" s="3225"/>
      <c r="E1" s="3225"/>
      <c r="F1" s="3225"/>
      <c r="G1" s="3225"/>
      <c r="H1" s="3225"/>
      <c r="I1" s="3226"/>
      <c r="J1" s="1677"/>
      <c r="K1" s="2418" t="str">
        <f>IF(B10="北京市","北京市",C10)&amp;F10&amp;B16&amp;"国有建设用地使用权"&amp;B9</f>
        <v>天津市东丽区东丽湖银桂道以南、景福路以东出让国有建设用地使用权抵押价格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天津市东丽区东丽湖银桂道以南、景福路以东出让国有建设用地使用权</v>
      </c>
      <c r="L2" s="1706"/>
      <c r="M2" s="1706"/>
      <c r="N2" s="1677"/>
      <c r="O2" s="1678"/>
      <c r="P2" s="1677"/>
      <c r="Q2" s="1677"/>
      <c r="R2" s="1677"/>
      <c r="S2" s="1677"/>
      <c r="T2" s="1677"/>
      <c r="U2" s="1677"/>
    </row>
    <row r="3" spans="1:21">
      <c r="A3" s="1644" t="s">
        <v>1939</v>
      </c>
      <c r="B3" s="1645">
        <v>43693</v>
      </c>
      <c r="C3" s="1646" t="s">
        <v>1995</v>
      </c>
      <c r="D3" s="1645">
        <f>B3</f>
        <v>43693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2995</v>
      </c>
      <c r="C4" s="1829">
        <f ca="1">SUMIF(土地估价师,B4,估价师及机构信息!E3:E24)</f>
        <v>2002110125</v>
      </c>
      <c r="D4" s="1826" t="s">
        <v>2996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3"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2993</v>
      </c>
      <c r="C8" s="1654"/>
      <c r="D8" s="3230" t="s">
        <v>1944</v>
      </c>
      <c r="E8" s="1827" t="s">
        <v>2997</v>
      </c>
      <c r="F8" s="1655"/>
      <c r="G8" s="1643"/>
      <c r="H8" s="1643"/>
      <c r="I8" s="1690"/>
      <c r="J8" s="1677"/>
      <c r="K8" s="1757"/>
      <c r="L8" s="1706"/>
      <c r="M8" s="1706"/>
      <c r="N8" s="1677"/>
      <c r="O8" s="1678"/>
      <c r="P8" s="1677"/>
      <c r="Q8" s="1677"/>
      <c r="R8" s="1677"/>
      <c r="S8" s="1677"/>
      <c r="T8" s="1677"/>
      <c r="U8" s="1677"/>
    </row>
    <row r="9" spans="1:21" ht="15" thickBot="1">
      <c r="A9" s="1656" t="s">
        <v>1943</v>
      </c>
      <c r="B9" s="1657" t="s">
        <v>2997</v>
      </c>
      <c r="C9" s="1658"/>
      <c r="D9" s="3231"/>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2998</v>
      </c>
      <c r="C10" s="1659" t="s">
        <v>3002</v>
      </c>
      <c r="D10" s="1650"/>
      <c r="E10" s="1660" t="s">
        <v>1946</v>
      </c>
      <c r="F10" s="1661" t="s">
        <v>3003</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27"/>
      <c r="C12" s="3228"/>
      <c r="D12" s="3229"/>
      <c r="E12" s="1682" t="s">
        <v>2061</v>
      </c>
      <c r="F12" s="3245" t="s">
        <v>2889</v>
      </c>
      <c r="G12" s="3246"/>
      <c r="H12" s="3246"/>
      <c r="I12" s="3247"/>
      <c r="J12" s="1677"/>
      <c r="K12" s="1757"/>
      <c r="L12" s="1706"/>
      <c r="M12" s="1706"/>
      <c r="N12" s="1677"/>
      <c r="O12" s="1678"/>
      <c r="P12" s="1677"/>
      <c r="Q12" s="1677"/>
      <c r="R12" s="1677"/>
      <c r="S12" s="1677"/>
      <c r="T12" s="1677"/>
      <c r="U12" s="1677"/>
    </row>
    <row r="13" spans="1:21">
      <c r="A13" s="1670" t="s">
        <v>2059</v>
      </c>
      <c r="B13" s="3227"/>
      <c r="C13" s="3228"/>
      <c r="D13" s="3229"/>
      <c r="E13" s="1682" t="s">
        <v>2061</v>
      </c>
      <c r="F13" s="3245" t="s">
        <v>2890</v>
      </c>
      <c r="G13" s="3246"/>
      <c r="H13" s="3246"/>
      <c r="I13" s="3247"/>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2986</v>
      </c>
      <c r="C16" s="1682" t="s">
        <v>1948</v>
      </c>
      <c r="D16" s="2609" t="s">
        <v>1949</v>
      </c>
      <c r="E16" s="1705" t="s">
        <v>3000</v>
      </c>
      <c r="F16" s="1705" t="s">
        <v>1677</v>
      </c>
      <c r="G16" s="1705"/>
      <c r="H16" s="1705"/>
      <c r="I16" s="1669" t="s">
        <v>1954</v>
      </c>
      <c r="J16" s="1677"/>
      <c r="K16" s="2419" t="str">
        <f>IF(D17="","",D16&amp;TEXT(D17,"yyyy年m月d日;;"))</f>
        <v/>
      </c>
      <c r="L16" s="1682" t="str">
        <f>IF(OR(K16="",M16=""),"","、")</f>
        <v/>
      </c>
      <c r="M16" s="2419" t="str">
        <f>IF(E17="","",E16&amp;TEXT(E17,"yyyy年m月d日;;"))</f>
        <v>商业2057年2月20日</v>
      </c>
      <c r="N16" s="1682" t="str">
        <f>IF(OR(M16="",O16=""),"","、")</f>
        <v>、</v>
      </c>
      <c r="O16" s="2419" t="str">
        <f>IF(F17="","",F16&amp;TEXT(F17,"yyyy年m月d日;;"))</f>
        <v>办公2057年2月20日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57396</v>
      </c>
      <c r="F17" s="1683">
        <v>57396</v>
      </c>
      <c r="G17" s="1683"/>
      <c r="H17" s="1683"/>
      <c r="I17" s="1683"/>
      <c r="J17" s="1677"/>
      <c r="K17" s="2418" t="str">
        <f>CONCATENATE(K16,L16,M16,N16,O16,P16,Q16,R16,S16,T16,,U16)</f>
        <v>商业2057年2月20日、办公2057年2月20日</v>
      </c>
      <c r="L17" s="1706"/>
      <c r="M17" s="1706"/>
      <c r="N17" s="1677"/>
      <c r="O17" s="1678"/>
      <c r="P17" s="1677"/>
      <c r="Q17" s="1677"/>
      <c r="R17" s="1677"/>
      <c r="S17" s="1677"/>
      <c r="T17" s="1677"/>
      <c r="U17" s="1677"/>
    </row>
    <row r="18" spans="1:21">
      <c r="A18" s="1746"/>
      <c r="B18" s="1665"/>
      <c r="C18" s="1666" t="s">
        <v>1956</v>
      </c>
      <c r="D18" s="1667"/>
      <c r="E18" s="1667">
        <v>40</v>
      </c>
      <c r="F18" s="1667">
        <v>40</v>
      </c>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37.54</v>
      </c>
      <c r="F19" s="1668">
        <f>IF(B16="出让",IF(F17="","",ROUNDDOWN(MIN((F17-$D$3)/365,F18),2)),F18)</f>
        <v>37.54</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42"/>
      <c r="E20" s="3243"/>
      <c r="F20" s="3243"/>
      <c r="G20" s="3243"/>
      <c r="H20" s="3243"/>
      <c r="I20" s="3244"/>
      <c r="J20" s="1677"/>
      <c r="K20" s="1757"/>
      <c r="L20" s="1706"/>
      <c r="M20" s="1706"/>
      <c r="N20" s="1677"/>
      <c r="O20" s="1678"/>
      <c r="P20" s="1677"/>
      <c r="Q20" s="1677"/>
      <c r="R20" s="1677"/>
      <c r="S20" s="1677"/>
      <c r="T20" s="1677"/>
      <c r="U20" s="1677"/>
    </row>
    <row r="21" spans="1:21">
      <c r="A21" s="1746" t="s">
        <v>1958</v>
      </c>
      <c r="B21" s="1747" t="s">
        <v>1959</v>
      </c>
      <c r="C21" s="1742">
        <f>'数据-汇总表'!E3</f>
        <v>104102.39999999998</v>
      </c>
      <c r="D21" s="1743" t="s">
        <v>1960</v>
      </c>
      <c r="E21" s="3232" t="s">
        <v>1998</v>
      </c>
      <c r="F21" s="3233"/>
      <c r="G21" s="3233"/>
      <c r="H21" s="3233"/>
      <c r="I21" s="3234"/>
      <c r="J21" s="1677"/>
      <c r="K21" s="1757"/>
      <c r="L21" s="1706"/>
      <c r="M21" s="1706"/>
      <c r="N21" s="1677"/>
      <c r="O21" s="1678"/>
      <c r="P21" s="1677"/>
      <c r="Q21" s="1677"/>
      <c r="R21" s="1677"/>
      <c r="S21" s="1677"/>
      <c r="T21" s="1677"/>
      <c r="U21" s="1677"/>
    </row>
    <row r="22" spans="1:21">
      <c r="A22" s="3093" t="s">
        <v>952</v>
      </c>
      <c r="B22" s="1644" t="s">
        <v>1961</v>
      </c>
      <c r="C22" s="1669">
        <f>'数据-汇总表'!D3</f>
        <v>49527.1</v>
      </c>
      <c r="D22" s="1670" t="s">
        <v>1960</v>
      </c>
      <c r="E22" s="3232" t="s">
        <v>2891</v>
      </c>
      <c r="F22" s="3233"/>
      <c r="G22" s="3233"/>
      <c r="H22" s="3233"/>
      <c r="I22" s="3234"/>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5" t="s">
        <v>1966</v>
      </c>
      <c r="C24" s="3236"/>
      <c r="D24" s="3237" t="s">
        <v>1967</v>
      </c>
      <c r="E24" s="3238"/>
      <c r="F24" s="1691" t="s">
        <v>1968</v>
      </c>
      <c r="G24" s="1677"/>
      <c r="H24" s="1677"/>
      <c r="I24" s="1690"/>
      <c r="J24" s="1677"/>
      <c r="K24" s="3223"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2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2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0" t="s">
        <v>2001</v>
      </c>
      <c r="B31" s="1747" t="s">
        <v>2002</v>
      </c>
      <c r="C31" s="3248"/>
      <c r="D31" s="3249"/>
      <c r="E31" s="1677"/>
      <c r="F31" s="1677"/>
      <c r="G31" s="1677"/>
      <c r="H31" s="1677"/>
      <c r="I31" s="1690"/>
      <c r="J31" s="1677"/>
      <c r="K31" s="2421"/>
      <c r="L31" s="1677"/>
      <c r="M31" s="1677"/>
      <c r="N31" s="1677"/>
      <c r="O31" s="1677"/>
      <c r="P31" s="1677"/>
      <c r="Q31" s="1677"/>
      <c r="R31" s="1677"/>
      <c r="S31" s="1677"/>
      <c r="T31" s="1677"/>
      <c r="U31" s="1677"/>
    </row>
    <row r="32" spans="1:21">
      <c r="A32" s="3250"/>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0"/>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1"/>
      <c r="B34" s="1644" t="s">
        <v>2005</v>
      </c>
      <c r="C34" s="3252"/>
      <c r="D34" s="3253"/>
      <c r="E34" s="1677"/>
      <c r="F34" s="1677"/>
      <c r="G34" s="1677"/>
      <c r="H34" s="1677"/>
      <c r="I34" s="1690"/>
      <c r="J34" s="1677"/>
      <c r="K34" s="2421"/>
      <c r="L34" s="1677"/>
      <c r="M34" s="1677"/>
      <c r="N34" s="1677"/>
      <c r="O34" s="1677"/>
      <c r="P34" s="1677"/>
      <c r="Q34" s="1677"/>
      <c r="R34" s="1677"/>
      <c r="S34" s="1677"/>
      <c r="T34" s="1677"/>
      <c r="U34" s="1677"/>
    </row>
    <row r="35" spans="1:21">
      <c r="A35" s="3254" t="s">
        <v>847</v>
      </c>
      <c r="B35" s="1705"/>
      <c r="C35" s="1759" t="str">
        <f>IF(B35="场地平整","——","具体情况：")</f>
        <v>具体情况：</v>
      </c>
      <c r="D35" s="3256"/>
      <c r="E35" s="3257"/>
      <c r="F35" s="3257"/>
      <c r="G35" s="3257"/>
      <c r="H35" s="3257"/>
      <c r="I35" s="3258"/>
      <c r="J35" s="1677"/>
      <c r="K35" s="1758"/>
      <c r="L35" s="1706"/>
      <c r="M35" s="1706"/>
      <c r="N35" s="1677"/>
      <c r="O35" s="1678"/>
      <c r="P35" s="1677"/>
      <c r="Q35" s="1677"/>
      <c r="R35" s="1677"/>
      <c r="S35" s="1677"/>
      <c r="T35" s="1677"/>
      <c r="U35" s="1677"/>
    </row>
    <row r="36" spans="1:21">
      <c r="A36" s="3250"/>
      <c r="B36" s="3259" t="s">
        <v>2054</v>
      </c>
      <c r="C36" s="3260"/>
      <c r="D36" s="1775"/>
      <c r="E36" s="3261"/>
      <c r="F36" s="3261"/>
      <c r="G36" s="1670" t="str">
        <f>IF(B35="场地未平整","估价结果处理","")</f>
        <v/>
      </c>
      <c r="H36" s="3262"/>
      <c r="I36" s="3262"/>
      <c r="J36" s="1677"/>
      <c r="K36" s="1758"/>
      <c r="L36" s="1706"/>
      <c r="M36" s="1706"/>
      <c r="N36" s="1677"/>
      <c r="O36" s="1678"/>
      <c r="P36" s="1677"/>
      <c r="Q36" s="1677"/>
      <c r="R36" s="1677"/>
      <c r="S36" s="1677"/>
      <c r="T36" s="1677"/>
      <c r="U36" s="1677"/>
    </row>
    <row r="37" spans="1:21" ht="28.5">
      <c r="A37" s="3250"/>
      <c r="B37" s="3239"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0"/>
      <c r="B38" s="3240"/>
      <c r="C38" s="1652" t="s">
        <v>850</v>
      </c>
      <c r="D38" s="1774">
        <f>ROUNDDOWN(MIN(('数据-取费表'!$B$2-D37)/365,D34),1)</f>
        <v>119.7</v>
      </c>
      <c r="E38" s="1710" t="s">
        <v>851</v>
      </c>
      <c r="F38" s="1677"/>
      <c r="G38" s="1677"/>
      <c r="H38" s="1677"/>
      <c r="I38" s="1690"/>
      <c r="J38" s="1677"/>
      <c r="K38" s="1758"/>
      <c r="L38" s="1677"/>
      <c r="M38" s="1677"/>
      <c r="N38" s="1677"/>
      <c r="O38" s="1677"/>
      <c r="P38" s="1677"/>
      <c r="Q38" s="1677"/>
      <c r="R38" s="1677"/>
      <c r="S38" s="1677"/>
      <c r="T38" s="1677"/>
      <c r="U38" s="1677"/>
    </row>
    <row r="39" spans="1:21">
      <c r="A39" s="3251"/>
      <c r="B39" s="324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22" t="s">
        <v>1985</v>
      </c>
      <c r="T40" s="1714" t="str">
        <f>NUMBERSTRING(7-K40,1)&amp;"通"</f>
        <v>七通</v>
      </c>
      <c r="U40" s="1677"/>
    </row>
    <row r="41" spans="1:21">
      <c r="A41" s="1646"/>
      <c r="B41" s="3255" t="s">
        <v>1721</v>
      </c>
      <c r="C41" s="3255"/>
      <c r="D41" s="3255"/>
      <c r="E41" s="3255"/>
      <c r="F41" s="1715" t="str">
        <f>C10</f>
        <v>天津市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2"/>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0" sqref="B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0" width="1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49527.1</v>
      </c>
      <c r="B3" s="22">
        <f>IF(C3="否",G5-AT5,G5)</f>
        <v>104102.39999999998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104102.39999999998</v>
      </c>
      <c r="H5" s="27">
        <f t="shared" ref="H5:AT5" si="0">SUM(H13:H641)</f>
        <v>98261.739999999991</v>
      </c>
      <c r="I5" s="27">
        <f t="shared" si="0"/>
        <v>59430.919999999984</v>
      </c>
      <c r="J5" s="27">
        <f t="shared" si="0"/>
        <v>0</v>
      </c>
      <c r="K5" s="27">
        <f t="shared" si="0"/>
        <v>38830.82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5840.6599999999989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5840.6599999999989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104102.39999999998</v>
      </c>
      <c r="BA5" s="29">
        <f t="shared" si="1"/>
        <v>98261.739999999991</v>
      </c>
      <c r="BB5" s="29">
        <f t="shared" si="1"/>
        <v>59430.919999999984</v>
      </c>
      <c r="BC5" s="29">
        <f t="shared" si="1"/>
        <v>38830.82</v>
      </c>
      <c r="BD5" s="29">
        <f t="shared" si="1"/>
        <v>0</v>
      </c>
      <c r="BE5" s="29">
        <f t="shared" si="1"/>
        <v>0</v>
      </c>
      <c r="BF5" s="29">
        <f t="shared" si="1"/>
        <v>0</v>
      </c>
      <c r="BG5" s="29">
        <f t="shared" si="1"/>
        <v>0</v>
      </c>
      <c r="BH5" s="29">
        <f t="shared" si="1"/>
        <v>0</v>
      </c>
      <c r="BI5" s="29">
        <f t="shared" si="1"/>
        <v>0</v>
      </c>
      <c r="BJ5" s="29">
        <f t="shared" si="1"/>
        <v>0</v>
      </c>
      <c r="BK5" s="29">
        <f t="shared" si="1"/>
        <v>0</v>
      </c>
      <c r="BL5" s="29">
        <f t="shared" si="1"/>
        <v>5840.6599999999989</v>
      </c>
      <c r="BM5" s="29">
        <f t="shared" si="1"/>
        <v>0</v>
      </c>
      <c r="BN5" s="29">
        <f t="shared" si="1"/>
        <v>0</v>
      </c>
      <c r="BO5" s="29">
        <f t="shared" si="1"/>
        <v>0</v>
      </c>
      <c r="BP5" s="29">
        <f t="shared" si="1"/>
        <v>0</v>
      </c>
      <c r="BQ5" s="29">
        <f t="shared" si="1"/>
        <v>0</v>
      </c>
      <c r="BR5" s="29">
        <f t="shared" si="1"/>
        <v>5840.6599999999989</v>
      </c>
      <c r="BS5" s="29">
        <f t="shared" si="1"/>
        <v>0</v>
      </c>
      <c r="BT5" s="30">
        <f t="shared" si="1"/>
        <v>0</v>
      </c>
    </row>
    <row r="6" spans="1:72" s="37" customFormat="1" ht="12.75">
      <c r="A6" s="26" t="s">
        <v>169</v>
      </c>
      <c r="B6" s="31"/>
      <c r="C6" s="31"/>
      <c r="D6" s="32"/>
      <c r="E6" s="27">
        <f>H6+AC6+AT6</f>
        <v>49527.11</v>
      </c>
      <c r="F6" s="27" t="s">
        <v>1</v>
      </c>
      <c r="G6" s="27" t="s">
        <v>2</v>
      </c>
      <c r="H6" s="33">
        <f>SUMIF(I$12:AB$12,"总值",I6:AB6)</f>
        <v>46748.39</v>
      </c>
      <c r="I6" s="27">
        <f t="shared" ref="I6:AB6" si="2">ROUND($A$3*I5/$B$3,2)</f>
        <v>28274.48</v>
      </c>
      <c r="J6" s="27">
        <f t="shared" si="2"/>
        <v>0</v>
      </c>
      <c r="K6" s="27">
        <f t="shared" si="2"/>
        <v>18473.91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2778.72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2778.72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49527.1</v>
      </c>
      <c r="AZ6" s="27" t="s">
        <v>3</v>
      </c>
      <c r="BA6" s="27">
        <f>ROUND($AY$6*BA5/$AZ$5,2)</f>
        <v>46748.38</v>
      </c>
      <c r="BB6" s="27">
        <f>ROUND($AY$6*BB5/$AZ$5,2)</f>
        <v>28274.48</v>
      </c>
      <c r="BC6" s="27">
        <f t="shared" ref="BC6:BH6" si="4">ROUND($AY$6*BC5/$AZ$5,2)</f>
        <v>18473.91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2778.72</v>
      </c>
      <c r="BM6" s="27">
        <f t="shared" si="5"/>
        <v>0</v>
      </c>
      <c r="BN6" s="27">
        <f t="shared" si="5"/>
        <v>0</v>
      </c>
      <c r="BO6" s="27">
        <f t="shared" si="5"/>
        <v>0</v>
      </c>
      <c r="BP6" s="27">
        <f t="shared" si="5"/>
        <v>0</v>
      </c>
      <c r="BQ6" s="27">
        <f t="shared" si="5"/>
        <v>0</v>
      </c>
      <c r="BR6" s="27">
        <f t="shared" si="5"/>
        <v>2778.72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7" t="s">
        <v>3024</v>
      </c>
      <c r="J9" s="51"/>
      <c r="K9" s="2967" t="s">
        <v>3246</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7" t="s">
        <v>3000</v>
      </c>
      <c r="J10" s="51"/>
      <c r="K10" s="2969" t="s">
        <v>3247</v>
      </c>
      <c r="L10" s="51"/>
      <c r="M10" s="2969"/>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8" t="s">
        <v>3025</v>
      </c>
      <c r="J11" s="71"/>
      <c r="K11" s="2968" t="s">
        <v>3248</v>
      </c>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车库—商业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89" t="s">
        <v>3004</v>
      </c>
      <c r="D13" s="80" t="s">
        <v>1678</v>
      </c>
      <c r="E13" s="27">
        <f t="shared" ref="E13:E20" si="6">IF($C$3="是",ROUND($A$3*G13/$B$3,2),ROUND($A$3*(G13-AT13)/$B$3,2))</f>
        <v>3066.23</v>
      </c>
      <c r="F13" s="81"/>
      <c r="G13" s="82">
        <f t="shared" ref="G13:G20" si="7">H13+AC13+AT13</f>
        <v>6444.99</v>
      </c>
      <c r="H13" s="33">
        <f t="shared" ref="H13:H20" si="8">SUMIF(I$12:AB$12,"总值",I13:AB13)</f>
        <v>5982.46</v>
      </c>
      <c r="I13" s="2966">
        <v>5982.46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462.53</v>
      </c>
      <c r="AD13" s="2970"/>
      <c r="AE13" s="2970"/>
      <c r="AF13" s="2970"/>
      <c r="AG13" s="2970"/>
      <c r="AH13" s="2970"/>
      <c r="AI13" s="2970"/>
      <c r="AJ13" s="2970"/>
      <c r="AK13" s="2970"/>
      <c r="AL13" s="2970"/>
      <c r="AM13" s="2970"/>
      <c r="AN13" s="2970">
        <v>462.53</v>
      </c>
      <c r="AO13" s="2970"/>
      <c r="AP13" s="2970"/>
      <c r="AQ13" s="2970"/>
      <c r="AR13" s="2970"/>
      <c r="AS13" s="2970"/>
      <c r="AT13" s="2971"/>
      <c r="AU13" s="2972"/>
      <c r="AV13" s="17">
        <f t="shared" ref="AV13:AX20" si="10">A13</f>
        <v>0</v>
      </c>
      <c r="AW13" s="17">
        <f t="shared" si="10"/>
        <v>0</v>
      </c>
      <c r="AX13" s="17" t="str">
        <f t="shared" si="10"/>
        <v>1#楼</v>
      </c>
      <c r="AY13" s="996">
        <f t="shared" ref="AY13:AY20" si="11">ROUND($AY$6*AZ13/$AZ$5,2)</f>
        <v>3066.23</v>
      </c>
      <c r="AZ13" s="27">
        <f t="shared" ref="AZ13:AZ20" si="12">BA13+BL13</f>
        <v>6444.99</v>
      </c>
      <c r="BA13" s="27">
        <f t="shared" ref="BA13:BA20" si="13">SUM(BB13:BK13)</f>
        <v>5982.46</v>
      </c>
      <c r="BB13" s="27">
        <f t="shared" ref="BB13:BB20" si="14">IF($D13="是",I13-J13,0)</f>
        <v>5982.46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462.53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462.53</v>
      </c>
      <c r="BS13" s="27">
        <f t="shared" ref="BS13:BS20" si="31">IF($D13="是",AP13-AQ13,0)</f>
        <v>0</v>
      </c>
      <c r="BT13" s="36">
        <f t="shared" ref="BT13:BT20" si="32">IF($D13="是",AR13-AS13,0)</f>
        <v>0</v>
      </c>
    </row>
    <row r="14" spans="1:72" s="18" customFormat="1" ht="12.75">
      <c r="A14" s="2965"/>
      <c r="B14" s="2965"/>
      <c r="C14" s="3190" t="s">
        <v>3005</v>
      </c>
      <c r="D14" s="80" t="s">
        <v>1678</v>
      </c>
      <c r="E14" s="27">
        <f t="shared" si="6"/>
        <v>3032.14</v>
      </c>
      <c r="F14" s="81"/>
      <c r="G14" s="82">
        <f t="shared" si="7"/>
        <v>6373.33</v>
      </c>
      <c r="H14" s="33">
        <f t="shared" si="8"/>
        <v>5910.8</v>
      </c>
      <c r="I14" s="2966">
        <v>5910.8</v>
      </c>
      <c r="J14" s="2966"/>
      <c r="K14" s="2966"/>
      <c r="L14" s="2966"/>
      <c r="M14" s="2966"/>
      <c r="N14" s="83"/>
      <c r="O14" s="83"/>
      <c r="P14" s="83"/>
      <c r="Q14" s="83"/>
      <c r="R14" s="83"/>
      <c r="S14" s="83"/>
      <c r="T14" s="83"/>
      <c r="U14" s="83"/>
      <c r="V14" s="83"/>
      <c r="W14" s="83"/>
      <c r="X14" s="83"/>
      <c r="Y14" s="83"/>
      <c r="Z14" s="83"/>
      <c r="AA14" s="83"/>
      <c r="AB14" s="83"/>
      <c r="AC14" s="27">
        <f t="shared" si="9"/>
        <v>462.53</v>
      </c>
      <c r="AD14" s="2970"/>
      <c r="AE14" s="2970"/>
      <c r="AF14" s="2970"/>
      <c r="AG14" s="2970"/>
      <c r="AH14" s="2970"/>
      <c r="AI14" s="2970"/>
      <c r="AJ14" s="2970"/>
      <c r="AK14" s="2970"/>
      <c r="AL14" s="2970"/>
      <c r="AM14" s="2970"/>
      <c r="AN14" s="2970">
        <v>462.53</v>
      </c>
      <c r="AO14" s="2970"/>
      <c r="AP14" s="2970"/>
      <c r="AQ14" s="2970"/>
      <c r="AR14" s="2970"/>
      <c r="AS14" s="2970"/>
      <c r="AT14" s="2971"/>
      <c r="AU14" s="2972"/>
      <c r="AV14" s="17">
        <f t="shared" si="10"/>
        <v>0</v>
      </c>
      <c r="AW14" s="17">
        <f t="shared" si="10"/>
        <v>0</v>
      </c>
      <c r="AX14" s="17" t="str">
        <f t="shared" si="10"/>
        <v>2#楼</v>
      </c>
      <c r="AY14" s="996">
        <f t="shared" si="11"/>
        <v>3032.14</v>
      </c>
      <c r="AZ14" s="27">
        <f t="shared" si="12"/>
        <v>6373.33</v>
      </c>
      <c r="BA14" s="27">
        <f t="shared" si="13"/>
        <v>5910.8</v>
      </c>
      <c r="BB14" s="27">
        <f t="shared" si="14"/>
        <v>5910.8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462.53</v>
      </c>
      <c r="BM14" s="27">
        <f t="shared" si="25"/>
        <v>0</v>
      </c>
      <c r="BN14" s="27">
        <f t="shared" si="26"/>
        <v>0</v>
      </c>
      <c r="BO14" s="27">
        <f t="shared" si="27"/>
        <v>0</v>
      </c>
      <c r="BP14" s="27">
        <f t="shared" si="28"/>
        <v>0</v>
      </c>
      <c r="BQ14" s="27">
        <f t="shared" si="29"/>
        <v>0</v>
      </c>
      <c r="BR14" s="27">
        <f t="shared" si="30"/>
        <v>462.53</v>
      </c>
      <c r="BS14" s="27">
        <f t="shared" si="31"/>
        <v>0</v>
      </c>
      <c r="BT14" s="36">
        <f t="shared" si="32"/>
        <v>0</v>
      </c>
    </row>
    <row r="15" spans="1:72" s="18" customFormat="1" ht="12.75">
      <c r="A15" s="2965"/>
      <c r="B15" s="2965"/>
      <c r="C15" s="3190" t="s">
        <v>3006</v>
      </c>
      <c r="D15" s="80" t="s">
        <v>1678</v>
      </c>
      <c r="E15" s="27">
        <f t="shared" si="6"/>
        <v>2727.97</v>
      </c>
      <c r="F15" s="81"/>
      <c r="G15" s="82">
        <f t="shared" si="7"/>
        <v>5733.99</v>
      </c>
      <c r="H15" s="33">
        <f t="shared" si="8"/>
        <v>5250.99</v>
      </c>
      <c r="I15" s="2966">
        <v>5250.99</v>
      </c>
      <c r="J15" s="2966"/>
      <c r="K15" s="2966"/>
      <c r="L15" s="2966"/>
      <c r="M15" s="2966"/>
      <c r="N15" s="83"/>
      <c r="O15" s="83"/>
      <c r="P15" s="83"/>
      <c r="Q15" s="83"/>
      <c r="R15" s="83"/>
      <c r="S15" s="83"/>
      <c r="T15" s="83"/>
      <c r="U15" s="83"/>
      <c r="V15" s="83"/>
      <c r="W15" s="83"/>
      <c r="X15" s="83"/>
      <c r="Y15" s="83"/>
      <c r="Z15" s="83"/>
      <c r="AA15" s="83"/>
      <c r="AB15" s="83"/>
      <c r="AC15" s="27">
        <f t="shared" si="9"/>
        <v>483</v>
      </c>
      <c r="AD15" s="2970"/>
      <c r="AE15" s="2970"/>
      <c r="AF15" s="2970"/>
      <c r="AG15" s="2970"/>
      <c r="AH15" s="2970"/>
      <c r="AI15" s="2970"/>
      <c r="AJ15" s="2970"/>
      <c r="AK15" s="2970"/>
      <c r="AL15" s="2970"/>
      <c r="AM15" s="2970"/>
      <c r="AN15" s="2970">
        <v>483</v>
      </c>
      <c r="AO15" s="2970"/>
      <c r="AP15" s="2970"/>
      <c r="AQ15" s="2970"/>
      <c r="AR15" s="2970"/>
      <c r="AS15" s="2970"/>
      <c r="AT15" s="2971"/>
      <c r="AU15" s="2972"/>
      <c r="AV15" s="17">
        <f t="shared" si="10"/>
        <v>0</v>
      </c>
      <c r="AW15" s="17">
        <f t="shared" si="10"/>
        <v>0</v>
      </c>
      <c r="AX15" s="17" t="str">
        <f t="shared" si="10"/>
        <v>3#楼</v>
      </c>
      <c r="AY15" s="996">
        <f t="shared" si="11"/>
        <v>2727.97</v>
      </c>
      <c r="AZ15" s="27">
        <f t="shared" si="12"/>
        <v>5733.99</v>
      </c>
      <c r="BA15" s="27">
        <f t="shared" si="13"/>
        <v>5250.99</v>
      </c>
      <c r="BB15" s="27">
        <f t="shared" si="14"/>
        <v>5250.99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483</v>
      </c>
      <c r="BM15" s="27">
        <f t="shared" si="25"/>
        <v>0</v>
      </c>
      <c r="BN15" s="27">
        <f t="shared" si="26"/>
        <v>0</v>
      </c>
      <c r="BO15" s="27">
        <f t="shared" si="27"/>
        <v>0</v>
      </c>
      <c r="BP15" s="27">
        <f t="shared" si="28"/>
        <v>0</v>
      </c>
      <c r="BQ15" s="27">
        <f t="shared" si="29"/>
        <v>0</v>
      </c>
      <c r="BR15" s="27">
        <f t="shared" si="30"/>
        <v>483</v>
      </c>
      <c r="BS15" s="27">
        <f t="shared" si="31"/>
        <v>0</v>
      </c>
      <c r="BT15" s="36">
        <f t="shared" si="32"/>
        <v>0</v>
      </c>
    </row>
    <row r="16" spans="1:72" s="18" customFormat="1" ht="12.75">
      <c r="A16" s="2965"/>
      <c r="B16" s="2965"/>
      <c r="C16" s="3189" t="s">
        <v>3007</v>
      </c>
      <c r="D16" s="80" t="s">
        <v>1678</v>
      </c>
      <c r="E16" s="27">
        <f t="shared" si="6"/>
        <v>2648.56</v>
      </c>
      <c r="F16" s="81"/>
      <c r="G16" s="82">
        <f t="shared" si="7"/>
        <v>5567.08</v>
      </c>
      <c r="H16" s="33">
        <f t="shared" si="8"/>
        <v>5012.25</v>
      </c>
      <c r="I16" s="2966">
        <v>5012.25</v>
      </c>
      <c r="J16" s="2966"/>
      <c r="K16" s="2966"/>
      <c r="L16" s="2966"/>
      <c r="M16" s="2966"/>
      <c r="N16" s="83"/>
      <c r="O16" s="83"/>
      <c r="P16" s="83"/>
      <c r="Q16" s="83"/>
      <c r="R16" s="83"/>
      <c r="S16" s="83"/>
      <c r="T16" s="83"/>
      <c r="U16" s="83"/>
      <c r="V16" s="83"/>
      <c r="W16" s="83"/>
      <c r="X16" s="83"/>
      <c r="Y16" s="83"/>
      <c r="Z16" s="83"/>
      <c r="AA16" s="83"/>
      <c r="AB16" s="83"/>
      <c r="AC16" s="27">
        <f t="shared" si="9"/>
        <v>554.83000000000004</v>
      </c>
      <c r="AD16" s="2970"/>
      <c r="AE16" s="2970"/>
      <c r="AF16" s="2970"/>
      <c r="AG16" s="2970"/>
      <c r="AH16" s="2970"/>
      <c r="AI16" s="2970"/>
      <c r="AJ16" s="2970"/>
      <c r="AK16" s="2970"/>
      <c r="AL16" s="2970"/>
      <c r="AM16" s="2970"/>
      <c r="AN16" s="2970">
        <v>554.83000000000004</v>
      </c>
      <c r="AO16" s="2970"/>
      <c r="AP16" s="2970"/>
      <c r="AQ16" s="2970"/>
      <c r="AR16" s="2970"/>
      <c r="AS16" s="2970"/>
      <c r="AT16" s="2971"/>
      <c r="AU16" s="2972"/>
      <c r="AV16" s="17">
        <f t="shared" si="10"/>
        <v>0</v>
      </c>
      <c r="AW16" s="17">
        <f t="shared" si="10"/>
        <v>0</v>
      </c>
      <c r="AX16" s="17" t="str">
        <f t="shared" si="10"/>
        <v>4#楼</v>
      </c>
      <c r="AY16" s="996">
        <f t="shared" si="11"/>
        <v>2648.56</v>
      </c>
      <c r="AZ16" s="27">
        <f t="shared" si="12"/>
        <v>5567.08</v>
      </c>
      <c r="BA16" s="27">
        <f t="shared" si="13"/>
        <v>5012.25</v>
      </c>
      <c r="BB16" s="27">
        <f t="shared" si="14"/>
        <v>5012.25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554.83000000000004</v>
      </c>
      <c r="BM16" s="27">
        <f t="shared" si="25"/>
        <v>0</v>
      </c>
      <c r="BN16" s="27">
        <f t="shared" si="26"/>
        <v>0</v>
      </c>
      <c r="BO16" s="27">
        <f t="shared" si="27"/>
        <v>0</v>
      </c>
      <c r="BP16" s="27">
        <f t="shared" si="28"/>
        <v>0</v>
      </c>
      <c r="BQ16" s="27">
        <f t="shared" si="29"/>
        <v>0</v>
      </c>
      <c r="BR16" s="27">
        <f t="shared" si="30"/>
        <v>554.83000000000004</v>
      </c>
      <c r="BS16" s="27">
        <f t="shared" si="31"/>
        <v>0</v>
      </c>
      <c r="BT16" s="36">
        <f t="shared" si="32"/>
        <v>0</v>
      </c>
    </row>
    <row r="17" spans="1:72" s="18" customFormat="1" ht="12.75">
      <c r="A17" s="2965"/>
      <c r="B17" s="2965"/>
      <c r="C17" s="3190" t="s">
        <v>3008</v>
      </c>
      <c r="D17" s="80" t="s">
        <v>1678</v>
      </c>
      <c r="E17" s="27">
        <f t="shared" si="6"/>
        <v>2383.6</v>
      </c>
      <c r="F17" s="81"/>
      <c r="G17" s="82">
        <f t="shared" si="7"/>
        <v>5010.16</v>
      </c>
      <c r="H17" s="33">
        <f t="shared" si="8"/>
        <v>4567.18</v>
      </c>
      <c r="I17" s="2966">
        <v>4567.18</v>
      </c>
      <c r="J17" s="2966"/>
      <c r="K17" s="2966"/>
      <c r="L17" s="2966"/>
      <c r="M17" s="2966"/>
      <c r="N17" s="83"/>
      <c r="O17" s="83"/>
      <c r="P17" s="83"/>
      <c r="Q17" s="83"/>
      <c r="R17" s="83"/>
      <c r="S17" s="83"/>
      <c r="T17" s="83"/>
      <c r="U17" s="83"/>
      <c r="V17" s="83"/>
      <c r="W17" s="83"/>
      <c r="X17" s="83"/>
      <c r="Y17" s="83"/>
      <c r="Z17" s="83"/>
      <c r="AA17" s="83"/>
      <c r="AB17" s="83"/>
      <c r="AC17" s="27">
        <f t="shared" si="9"/>
        <v>442.98</v>
      </c>
      <c r="AD17" s="2970"/>
      <c r="AE17" s="2970"/>
      <c r="AF17" s="2970"/>
      <c r="AG17" s="2970"/>
      <c r="AH17" s="2970"/>
      <c r="AI17" s="2970"/>
      <c r="AJ17" s="2970"/>
      <c r="AK17" s="2970"/>
      <c r="AL17" s="2970"/>
      <c r="AM17" s="2970"/>
      <c r="AN17" s="2970">
        <v>442.98</v>
      </c>
      <c r="AO17" s="2970"/>
      <c r="AP17" s="2970"/>
      <c r="AQ17" s="2970"/>
      <c r="AR17" s="2970"/>
      <c r="AS17" s="2970"/>
      <c r="AT17" s="2971"/>
      <c r="AU17" s="2972"/>
      <c r="AV17" s="17">
        <f t="shared" si="10"/>
        <v>0</v>
      </c>
      <c r="AW17" s="17">
        <f t="shared" si="10"/>
        <v>0</v>
      </c>
      <c r="AX17" s="17" t="str">
        <f t="shared" si="10"/>
        <v>5#楼</v>
      </c>
      <c r="AY17" s="996">
        <f t="shared" si="11"/>
        <v>2383.6</v>
      </c>
      <c r="AZ17" s="27">
        <f t="shared" si="12"/>
        <v>5010.16</v>
      </c>
      <c r="BA17" s="27">
        <f t="shared" si="13"/>
        <v>4567.18</v>
      </c>
      <c r="BB17" s="27">
        <f t="shared" si="14"/>
        <v>4567.18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442.98</v>
      </c>
      <c r="BM17" s="27">
        <f t="shared" si="25"/>
        <v>0</v>
      </c>
      <c r="BN17" s="27">
        <f t="shared" si="26"/>
        <v>0</v>
      </c>
      <c r="BO17" s="27">
        <f t="shared" si="27"/>
        <v>0</v>
      </c>
      <c r="BP17" s="27">
        <f t="shared" si="28"/>
        <v>0</v>
      </c>
      <c r="BQ17" s="27">
        <f t="shared" si="29"/>
        <v>0</v>
      </c>
      <c r="BR17" s="27">
        <f t="shared" si="30"/>
        <v>442.98</v>
      </c>
      <c r="BS17" s="27">
        <f t="shared" si="31"/>
        <v>0</v>
      </c>
      <c r="BT17" s="36">
        <f t="shared" si="32"/>
        <v>0</v>
      </c>
    </row>
    <row r="18" spans="1:72">
      <c r="A18" s="84"/>
      <c r="B18" s="85"/>
      <c r="C18" s="3189" t="s">
        <v>3009</v>
      </c>
      <c r="D18" s="80" t="s">
        <v>1678</v>
      </c>
      <c r="E18" s="87">
        <f t="shared" si="6"/>
        <v>2286.7399999999998</v>
      </c>
      <c r="F18" s="88"/>
      <c r="G18" s="89">
        <f t="shared" si="7"/>
        <v>4806.5599999999995</v>
      </c>
      <c r="H18" s="90">
        <f t="shared" si="8"/>
        <v>4404.58</v>
      </c>
      <c r="I18" s="2966">
        <v>4404.58</v>
      </c>
      <c r="J18" s="91"/>
      <c r="K18" s="1390"/>
      <c r="L18" s="91"/>
      <c r="M18" s="91"/>
      <c r="N18" s="91"/>
      <c r="O18" s="91"/>
      <c r="P18" s="91"/>
      <c r="Q18" s="91"/>
      <c r="R18" s="91"/>
      <c r="S18" s="91"/>
      <c r="T18" s="91"/>
      <c r="U18" s="91"/>
      <c r="V18" s="91"/>
      <c r="W18" s="91"/>
      <c r="X18" s="91"/>
      <c r="Y18" s="91"/>
      <c r="Z18" s="91"/>
      <c r="AA18" s="91"/>
      <c r="AB18" s="91"/>
      <c r="AC18" s="87">
        <f t="shared" si="9"/>
        <v>401.98</v>
      </c>
      <c r="AD18" s="92"/>
      <c r="AE18" s="92"/>
      <c r="AF18" s="1390"/>
      <c r="AG18" s="92"/>
      <c r="AH18" s="92"/>
      <c r="AI18" s="92"/>
      <c r="AJ18" s="92"/>
      <c r="AK18" s="92"/>
      <c r="AL18" s="1360"/>
      <c r="AM18" s="92"/>
      <c r="AN18" s="2970">
        <v>401.98</v>
      </c>
      <c r="AO18" s="92"/>
      <c r="AP18" s="92"/>
      <c r="AQ18" s="92"/>
      <c r="AR18" s="92"/>
      <c r="AS18" s="92"/>
      <c r="AT18" s="93"/>
      <c r="AU18" s="94"/>
      <c r="AV18" s="992">
        <f t="shared" si="10"/>
        <v>0</v>
      </c>
      <c r="AW18" s="992">
        <f t="shared" si="10"/>
        <v>0</v>
      </c>
      <c r="AX18" s="992" t="str">
        <f t="shared" si="10"/>
        <v>6#楼</v>
      </c>
      <c r="AY18" s="95">
        <f t="shared" si="11"/>
        <v>2286.7399999999998</v>
      </c>
      <c r="AZ18" s="87">
        <f t="shared" si="12"/>
        <v>4806.5599999999995</v>
      </c>
      <c r="BA18" s="87">
        <f t="shared" si="13"/>
        <v>4404.58</v>
      </c>
      <c r="BB18" s="87">
        <f t="shared" si="14"/>
        <v>4404.58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401.98</v>
      </c>
      <c r="BM18" s="87">
        <f t="shared" si="25"/>
        <v>0</v>
      </c>
      <c r="BN18" s="87">
        <f t="shared" si="26"/>
        <v>0</v>
      </c>
      <c r="BO18" s="87">
        <f t="shared" si="27"/>
        <v>0</v>
      </c>
      <c r="BP18" s="87">
        <f t="shared" si="28"/>
        <v>0</v>
      </c>
      <c r="BQ18" s="87">
        <f t="shared" si="29"/>
        <v>0</v>
      </c>
      <c r="BR18" s="87">
        <f t="shared" si="30"/>
        <v>401.98</v>
      </c>
      <c r="BS18" s="87">
        <f t="shared" si="31"/>
        <v>0</v>
      </c>
      <c r="BT18" s="96">
        <f t="shared" si="32"/>
        <v>0</v>
      </c>
    </row>
    <row r="19" spans="1:72">
      <c r="A19" s="84"/>
      <c r="B19" s="1394"/>
      <c r="C19" s="3190" t="s">
        <v>3010</v>
      </c>
      <c r="D19" s="80" t="s">
        <v>1678</v>
      </c>
      <c r="E19" s="87">
        <f t="shared" si="6"/>
        <v>2286.7399999999998</v>
      </c>
      <c r="F19" s="88"/>
      <c r="G19" s="89">
        <f t="shared" si="7"/>
        <v>4806.5599999999995</v>
      </c>
      <c r="H19" s="90">
        <f t="shared" si="8"/>
        <v>4404.58</v>
      </c>
      <c r="I19" s="2966">
        <v>4404.58</v>
      </c>
      <c r="J19" s="91"/>
      <c r="K19" s="1390"/>
      <c r="L19" s="91"/>
      <c r="M19" s="91"/>
      <c r="N19" s="91"/>
      <c r="O19" s="91"/>
      <c r="P19" s="91"/>
      <c r="Q19" s="91"/>
      <c r="R19" s="91"/>
      <c r="S19" s="91"/>
      <c r="T19" s="91"/>
      <c r="U19" s="91"/>
      <c r="V19" s="91"/>
      <c r="W19" s="91"/>
      <c r="X19" s="91"/>
      <c r="Y19" s="91"/>
      <c r="Z19" s="91"/>
      <c r="AA19" s="91"/>
      <c r="AB19" s="91"/>
      <c r="AC19" s="87">
        <f t="shared" si="9"/>
        <v>401.98</v>
      </c>
      <c r="AD19" s="92"/>
      <c r="AE19" s="92"/>
      <c r="AF19" s="1390"/>
      <c r="AG19" s="92"/>
      <c r="AH19" s="92"/>
      <c r="AI19" s="92"/>
      <c r="AJ19" s="92"/>
      <c r="AK19" s="92"/>
      <c r="AL19" s="92"/>
      <c r="AM19" s="92"/>
      <c r="AN19" s="2970">
        <v>401.98</v>
      </c>
      <c r="AO19" s="92"/>
      <c r="AP19" s="92"/>
      <c r="AQ19" s="92"/>
      <c r="AR19" s="92"/>
      <c r="AS19" s="92"/>
      <c r="AT19" s="93"/>
      <c r="AU19" s="94"/>
      <c r="AV19" s="992">
        <f t="shared" si="10"/>
        <v>0</v>
      </c>
      <c r="AW19" s="992">
        <f t="shared" si="10"/>
        <v>0</v>
      </c>
      <c r="AX19" s="992" t="str">
        <f t="shared" si="10"/>
        <v>7#楼</v>
      </c>
      <c r="AY19" s="95">
        <f t="shared" si="11"/>
        <v>2286.7399999999998</v>
      </c>
      <c r="AZ19" s="87">
        <f t="shared" si="12"/>
        <v>4806.5599999999995</v>
      </c>
      <c r="BA19" s="87">
        <f t="shared" si="13"/>
        <v>4404.58</v>
      </c>
      <c r="BB19" s="87">
        <f t="shared" si="14"/>
        <v>4404.58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401.98</v>
      </c>
      <c r="BM19" s="87">
        <f t="shared" si="25"/>
        <v>0</v>
      </c>
      <c r="BN19" s="87">
        <f t="shared" si="26"/>
        <v>0</v>
      </c>
      <c r="BO19" s="87">
        <f t="shared" si="27"/>
        <v>0</v>
      </c>
      <c r="BP19" s="87">
        <f t="shared" si="28"/>
        <v>0</v>
      </c>
      <c r="BQ19" s="87">
        <f t="shared" si="29"/>
        <v>0</v>
      </c>
      <c r="BR19" s="87">
        <f t="shared" si="30"/>
        <v>401.98</v>
      </c>
      <c r="BS19" s="87">
        <f t="shared" si="31"/>
        <v>0</v>
      </c>
      <c r="BT19" s="96">
        <f t="shared" si="32"/>
        <v>0</v>
      </c>
    </row>
    <row r="20" spans="1:72">
      <c r="A20" s="84"/>
      <c r="B20" s="1394"/>
      <c r="C20" s="3189" t="s">
        <v>3011</v>
      </c>
      <c r="D20" s="80" t="s">
        <v>1678</v>
      </c>
      <c r="E20" s="87">
        <f t="shared" si="6"/>
        <v>667.69</v>
      </c>
      <c r="F20" s="88"/>
      <c r="G20" s="89">
        <f t="shared" si="7"/>
        <v>1403.43</v>
      </c>
      <c r="H20" s="90">
        <f t="shared" si="8"/>
        <v>1261.6400000000001</v>
      </c>
      <c r="I20" s="2966">
        <v>1261.6400000000001</v>
      </c>
      <c r="J20" s="91"/>
      <c r="K20" s="1390"/>
      <c r="L20" s="91"/>
      <c r="M20" s="91"/>
      <c r="N20" s="91"/>
      <c r="O20" s="91"/>
      <c r="P20" s="91"/>
      <c r="Q20" s="91"/>
      <c r="R20" s="91"/>
      <c r="S20" s="91"/>
      <c r="T20" s="91"/>
      <c r="U20" s="91"/>
      <c r="V20" s="91"/>
      <c r="W20" s="91"/>
      <c r="X20" s="91"/>
      <c r="Y20" s="91"/>
      <c r="Z20" s="91"/>
      <c r="AA20" s="91"/>
      <c r="AB20" s="91"/>
      <c r="AC20" s="87">
        <f t="shared" si="9"/>
        <v>141.79</v>
      </c>
      <c r="AD20" s="92"/>
      <c r="AE20" s="92"/>
      <c r="AF20" s="1390"/>
      <c r="AG20" s="92"/>
      <c r="AH20" s="92"/>
      <c r="AI20" s="92"/>
      <c r="AJ20" s="92"/>
      <c r="AK20" s="92"/>
      <c r="AL20" s="92"/>
      <c r="AM20" s="92"/>
      <c r="AN20" s="2970">
        <v>141.79</v>
      </c>
      <c r="AO20" s="92"/>
      <c r="AP20" s="92"/>
      <c r="AQ20" s="92"/>
      <c r="AR20" s="92"/>
      <c r="AS20" s="92"/>
      <c r="AT20" s="93"/>
      <c r="AU20" s="94"/>
      <c r="AV20" s="992">
        <f t="shared" si="10"/>
        <v>0</v>
      </c>
      <c r="AW20" s="992">
        <f t="shared" si="10"/>
        <v>0</v>
      </c>
      <c r="AX20" s="992" t="str">
        <f t="shared" si="10"/>
        <v>8#楼</v>
      </c>
      <c r="AY20" s="95">
        <f t="shared" si="11"/>
        <v>667.69</v>
      </c>
      <c r="AZ20" s="87">
        <f t="shared" si="12"/>
        <v>1403.43</v>
      </c>
      <c r="BA20" s="87">
        <f t="shared" si="13"/>
        <v>1261.6400000000001</v>
      </c>
      <c r="BB20" s="87">
        <f t="shared" si="14"/>
        <v>1261.6400000000001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141.79</v>
      </c>
      <c r="BM20" s="87">
        <f t="shared" si="25"/>
        <v>0</v>
      </c>
      <c r="BN20" s="87">
        <f t="shared" si="26"/>
        <v>0</v>
      </c>
      <c r="BO20" s="87">
        <f t="shared" si="27"/>
        <v>0</v>
      </c>
      <c r="BP20" s="87">
        <f t="shared" si="28"/>
        <v>0</v>
      </c>
      <c r="BQ20" s="87">
        <f t="shared" si="29"/>
        <v>0</v>
      </c>
      <c r="BR20" s="87">
        <f t="shared" si="30"/>
        <v>141.79</v>
      </c>
      <c r="BS20" s="87">
        <f t="shared" si="31"/>
        <v>0</v>
      </c>
      <c r="BT20" s="96">
        <f t="shared" si="32"/>
        <v>0</v>
      </c>
    </row>
    <row r="21" spans="1:72">
      <c r="A21" s="84"/>
      <c r="B21" s="1389"/>
      <c r="C21" s="3189" t="s">
        <v>3012</v>
      </c>
      <c r="D21" s="80" t="s">
        <v>1678</v>
      </c>
      <c r="E21" s="87">
        <f t="shared" ref="E21:E112" si="33">IF($C$3="是",ROUND($A$3*G21/$B$3,2),ROUND($A$3*(G21-AT21)/$B$3,2))</f>
        <v>667.69</v>
      </c>
      <c r="F21" s="88"/>
      <c r="G21" s="89">
        <f t="shared" ref="G21:G109" si="34">H21+AC21+AT21</f>
        <v>1403.43</v>
      </c>
      <c r="H21" s="90">
        <f t="shared" ref="H21:H109" si="35">SUMIF(I$12:AB$12,"总值",I21:AB21)</f>
        <v>1261.6400000000001</v>
      </c>
      <c r="I21" s="2966">
        <v>1261.6400000000001</v>
      </c>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141.79</v>
      </c>
      <c r="AD21" s="92"/>
      <c r="AE21" s="92"/>
      <c r="AF21" s="1393"/>
      <c r="AG21" s="92"/>
      <c r="AH21" s="92"/>
      <c r="AI21" s="92"/>
      <c r="AJ21" s="92"/>
      <c r="AK21" s="92"/>
      <c r="AL21" s="92"/>
      <c r="AM21" s="92"/>
      <c r="AN21" s="2970">
        <v>141.79</v>
      </c>
      <c r="AO21" s="92"/>
      <c r="AP21" s="92"/>
      <c r="AQ21" s="92"/>
      <c r="AR21" s="92"/>
      <c r="AS21" s="92"/>
      <c r="AT21" s="93"/>
      <c r="AU21" s="94"/>
      <c r="AV21" s="1963">
        <f t="shared" ref="AV21:AV112" si="37">A21</f>
        <v>0</v>
      </c>
      <c r="AW21" s="1963">
        <f t="shared" ref="AW21:AW112" si="38">B21</f>
        <v>0</v>
      </c>
      <c r="AX21" s="1963" t="str">
        <f t="shared" ref="AX21:AX112" si="39">C21</f>
        <v>9#楼</v>
      </c>
      <c r="AY21" s="95">
        <f t="shared" ref="AY21:AY109" si="40">ROUND($AY$6*AZ21/$AZ$5,2)</f>
        <v>667.69</v>
      </c>
      <c r="AZ21" s="87">
        <f t="shared" ref="AZ21:AZ109" si="41">BA21+BL21</f>
        <v>1403.43</v>
      </c>
      <c r="BA21" s="87">
        <f t="shared" ref="BA21:BA109" si="42">SUM(BB21:BK21)</f>
        <v>1261.6400000000001</v>
      </c>
      <c r="BB21" s="87">
        <f t="shared" ref="BB21:BB109" si="43">IF($D21="是",I21-J21,0)</f>
        <v>1261.6400000000001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141.79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141.79</v>
      </c>
      <c r="BS21" s="87">
        <f t="shared" ref="BS21:BS109" si="60">IF($D21="是",AP21-AQ21,0)</f>
        <v>0</v>
      </c>
      <c r="BT21" s="96">
        <f t="shared" ref="BT21:BT109" si="61">IF($D21="是",AR21-AS21,0)</f>
        <v>0</v>
      </c>
    </row>
    <row r="22" spans="1:72">
      <c r="A22" s="84"/>
      <c r="B22" s="1389"/>
      <c r="C22" s="3189" t="s">
        <v>3013</v>
      </c>
      <c r="D22" s="80" t="s">
        <v>1678</v>
      </c>
      <c r="E22" s="87">
        <f t="shared" si="33"/>
        <v>667.69</v>
      </c>
      <c r="F22" s="88"/>
      <c r="G22" s="89">
        <f t="shared" si="34"/>
        <v>1403.43</v>
      </c>
      <c r="H22" s="90">
        <f t="shared" si="35"/>
        <v>1261.6400000000001</v>
      </c>
      <c r="I22" s="2966">
        <v>1261.6400000000001</v>
      </c>
      <c r="J22" s="91"/>
      <c r="K22" s="1392"/>
      <c r="L22" s="91"/>
      <c r="M22" s="1360"/>
      <c r="N22" s="91"/>
      <c r="O22" s="91"/>
      <c r="P22" s="91"/>
      <c r="Q22" s="91"/>
      <c r="R22" s="91"/>
      <c r="S22" s="91"/>
      <c r="T22" s="91"/>
      <c r="U22" s="91"/>
      <c r="V22" s="91"/>
      <c r="W22" s="91"/>
      <c r="X22" s="91"/>
      <c r="Y22" s="91"/>
      <c r="Z22" s="91"/>
      <c r="AA22" s="91"/>
      <c r="AB22" s="91"/>
      <c r="AC22" s="87">
        <f t="shared" si="36"/>
        <v>141.79</v>
      </c>
      <c r="AD22" s="1360"/>
      <c r="AE22" s="92"/>
      <c r="AF22" s="1393"/>
      <c r="AG22" s="92"/>
      <c r="AH22" s="92"/>
      <c r="AI22" s="92"/>
      <c r="AJ22" s="92"/>
      <c r="AK22" s="92"/>
      <c r="AL22" s="1360"/>
      <c r="AM22" s="92"/>
      <c r="AN22" s="2970">
        <v>141.79</v>
      </c>
      <c r="AO22" s="92"/>
      <c r="AP22" s="92"/>
      <c r="AQ22" s="92"/>
      <c r="AR22" s="92"/>
      <c r="AS22" s="92"/>
      <c r="AT22" s="93"/>
      <c r="AU22" s="94"/>
      <c r="AV22" s="1963">
        <f t="shared" si="37"/>
        <v>0</v>
      </c>
      <c r="AW22" s="1963">
        <f t="shared" si="38"/>
        <v>0</v>
      </c>
      <c r="AX22" s="1963" t="str">
        <f t="shared" si="39"/>
        <v>10#楼</v>
      </c>
      <c r="AY22" s="95">
        <f t="shared" si="40"/>
        <v>667.69</v>
      </c>
      <c r="AZ22" s="87">
        <f t="shared" si="41"/>
        <v>1403.43</v>
      </c>
      <c r="BA22" s="87">
        <f t="shared" si="42"/>
        <v>1261.6400000000001</v>
      </c>
      <c r="BB22" s="87">
        <f t="shared" si="43"/>
        <v>1261.6400000000001</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141.79</v>
      </c>
      <c r="BM22" s="87">
        <f t="shared" si="54"/>
        <v>0</v>
      </c>
      <c r="BN22" s="87">
        <f t="shared" si="55"/>
        <v>0</v>
      </c>
      <c r="BO22" s="87">
        <f t="shared" si="56"/>
        <v>0</v>
      </c>
      <c r="BP22" s="87">
        <f t="shared" si="57"/>
        <v>0</v>
      </c>
      <c r="BQ22" s="87">
        <f t="shared" si="58"/>
        <v>0</v>
      </c>
      <c r="BR22" s="87">
        <f t="shared" si="59"/>
        <v>141.79</v>
      </c>
      <c r="BS22" s="87">
        <f t="shared" si="60"/>
        <v>0</v>
      </c>
      <c r="BT22" s="96">
        <f t="shared" si="61"/>
        <v>0</v>
      </c>
    </row>
    <row r="23" spans="1:72">
      <c r="A23" s="84"/>
      <c r="B23" s="1389"/>
      <c r="C23" s="3189" t="s">
        <v>3014</v>
      </c>
      <c r="D23" s="80" t="s">
        <v>1678</v>
      </c>
      <c r="E23" s="87">
        <f t="shared" si="33"/>
        <v>688</v>
      </c>
      <c r="F23" s="88"/>
      <c r="G23" s="89">
        <f t="shared" si="34"/>
        <v>1446.1299999999999</v>
      </c>
      <c r="H23" s="90">
        <f t="shared" si="35"/>
        <v>1286.56</v>
      </c>
      <c r="I23" s="2966">
        <v>1286.56</v>
      </c>
      <c r="J23" s="91"/>
      <c r="K23" s="1392"/>
      <c r="L23" s="91"/>
      <c r="M23" s="1360"/>
      <c r="N23" s="91"/>
      <c r="O23" s="91"/>
      <c r="P23" s="91"/>
      <c r="Q23" s="91"/>
      <c r="R23" s="91"/>
      <c r="S23" s="91"/>
      <c r="T23" s="91"/>
      <c r="U23" s="91"/>
      <c r="V23" s="91"/>
      <c r="W23" s="91"/>
      <c r="X23" s="91"/>
      <c r="Y23" s="91"/>
      <c r="Z23" s="91"/>
      <c r="AA23" s="91"/>
      <c r="AB23" s="91"/>
      <c r="AC23" s="87">
        <f t="shared" si="36"/>
        <v>159.57</v>
      </c>
      <c r="AD23" s="92"/>
      <c r="AE23" s="92"/>
      <c r="AF23" s="1393"/>
      <c r="AG23" s="92"/>
      <c r="AH23" s="92"/>
      <c r="AI23" s="92"/>
      <c r="AJ23" s="92"/>
      <c r="AK23" s="92"/>
      <c r="AL23" s="1360"/>
      <c r="AM23" s="92"/>
      <c r="AN23" s="2970">
        <v>159.57</v>
      </c>
      <c r="AO23" s="92"/>
      <c r="AP23" s="92"/>
      <c r="AQ23" s="92"/>
      <c r="AR23" s="92"/>
      <c r="AS23" s="92"/>
      <c r="AT23" s="93"/>
      <c r="AU23" s="94"/>
      <c r="AV23" s="1963">
        <f t="shared" si="37"/>
        <v>0</v>
      </c>
      <c r="AW23" s="1963">
        <f t="shared" si="38"/>
        <v>0</v>
      </c>
      <c r="AX23" s="1963" t="str">
        <f t="shared" si="39"/>
        <v>11#楼</v>
      </c>
      <c r="AY23" s="95">
        <f t="shared" si="40"/>
        <v>688</v>
      </c>
      <c r="AZ23" s="87">
        <f t="shared" si="41"/>
        <v>1446.1299999999999</v>
      </c>
      <c r="BA23" s="87">
        <f t="shared" si="42"/>
        <v>1286.56</v>
      </c>
      <c r="BB23" s="87">
        <f t="shared" si="43"/>
        <v>1286.56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159.57</v>
      </c>
      <c r="BM23" s="87">
        <f t="shared" si="54"/>
        <v>0</v>
      </c>
      <c r="BN23" s="87">
        <f t="shared" si="55"/>
        <v>0</v>
      </c>
      <c r="BO23" s="87">
        <f t="shared" si="56"/>
        <v>0</v>
      </c>
      <c r="BP23" s="87">
        <f t="shared" si="57"/>
        <v>0</v>
      </c>
      <c r="BQ23" s="87">
        <f t="shared" si="58"/>
        <v>0</v>
      </c>
      <c r="BR23" s="87">
        <f t="shared" si="59"/>
        <v>159.57</v>
      </c>
      <c r="BS23" s="87">
        <f t="shared" si="60"/>
        <v>0</v>
      </c>
      <c r="BT23" s="96">
        <f t="shared" si="61"/>
        <v>0</v>
      </c>
    </row>
    <row r="24" spans="1:72">
      <c r="A24" s="84"/>
      <c r="B24" s="1389"/>
      <c r="C24" s="3190" t="s">
        <v>3015</v>
      </c>
      <c r="D24" s="80" t="s">
        <v>1678</v>
      </c>
      <c r="E24" s="87">
        <f t="shared" si="33"/>
        <v>688</v>
      </c>
      <c r="F24" s="88"/>
      <c r="G24" s="89">
        <f t="shared" si="34"/>
        <v>1446.1299999999999</v>
      </c>
      <c r="H24" s="90">
        <f t="shared" si="35"/>
        <v>1286.56</v>
      </c>
      <c r="I24" s="2966">
        <v>1286.56</v>
      </c>
      <c r="J24" s="91"/>
      <c r="K24" s="1392"/>
      <c r="L24" s="91"/>
      <c r="M24" s="91"/>
      <c r="N24" s="91"/>
      <c r="O24" s="1360"/>
      <c r="P24" s="91"/>
      <c r="Q24" s="91"/>
      <c r="R24" s="91"/>
      <c r="S24" s="91"/>
      <c r="T24" s="91"/>
      <c r="U24" s="91"/>
      <c r="V24" s="91"/>
      <c r="W24" s="91"/>
      <c r="X24" s="91"/>
      <c r="Y24" s="91"/>
      <c r="Z24" s="91"/>
      <c r="AA24" s="91"/>
      <c r="AB24" s="91"/>
      <c r="AC24" s="87">
        <f t="shared" si="36"/>
        <v>159.57</v>
      </c>
      <c r="AD24" s="92"/>
      <c r="AE24" s="92"/>
      <c r="AF24" s="1393"/>
      <c r="AG24" s="92"/>
      <c r="AH24" s="92"/>
      <c r="AI24" s="92"/>
      <c r="AJ24" s="92"/>
      <c r="AK24" s="92"/>
      <c r="AL24" s="92"/>
      <c r="AM24" s="92"/>
      <c r="AN24" s="2970">
        <v>159.57</v>
      </c>
      <c r="AO24" s="92"/>
      <c r="AP24" s="92"/>
      <c r="AQ24" s="92"/>
      <c r="AR24" s="92"/>
      <c r="AS24" s="92"/>
      <c r="AT24" s="93"/>
      <c r="AU24" s="94"/>
      <c r="AV24" s="1963">
        <f t="shared" si="37"/>
        <v>0</v>
      </c>
      <c r="AW24" s="1963">
        <f t="shared" si="38"/>
        <v>0</v>
      </c>
      <c r="AX24" s="1963" t="str">
        <f t="shared" si="39"/>
        <v>12#楼</v>
      </c>
      <c r="AY24" s="95">
        <f t="shared" si="40"/>
        <v>688</v>
      </c>
      <c r="AZ24" s="87">
        <f t="shared" si="41"/>
        <v>1446.1299999999999</v>
      </c>
      <c r="BA24" s="87">
        <f t="shared" si="42"/>
        <v>1286.56</v>
      </c>
      <c r="BB24" s="87">
        <f t="shared" si="43"/>
        <v>1286.56</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159.57</v>
      </c>
      <c r="BM24" s="87">
        <f t="shared" si="54"/>
        <v>0</v>
      </c>
      <c r="BN24" s="87">
        <f t="shared" si="55"/>
        <v>0</v>
      </c>
      <c r="BO24" s="87">
        <f t="shared" si="56"/>
        <v>0</v>
      </c>
      <c r="BP24" s="87">
        <f t="shared" si="57"/>
        <v>0</v>
      </c>
      <c r="BQ24" s="87">
        <f t="shared" si="58"/>
        <v>0</v>
      </c>
      <c r="BR24" s="87">
        <f t="shared" si="59"/>
        <v>159.57</v>
      </c>
      <c r="BS24" s="87">
        <f t="shared" si="60"/>
        <v>0</v>
      </c>
      <c r="BT24" s="96">
        <f t="shared" si="61"/>
        <v>0</v>
      </c>
    </row>
    <row r="25" spans="1:72">
      <c r="A25" s="84"/>
      <c r="B25" s="1389"/>
      <c r="C25" s="3189" t="s">
        <v>3016</v>
      </c>
      <c r="D25" s="80" t="s">
        <v>1678</v>
      </c>
      <c r="E25" s="87">
        <f t="shared" si="33"/>
        <v>688</v>
      </c>
      <c r="F25" s="88"/>
      <c r="G25" s="89">
        <f t="shared" si="34"/>
        <v>1446.1299999999999</v>
      </c>
      <c r="H25" s="90">
        <f t="shared" si="35"/>
        <v>1286.56</v>
      </c>
      <c r="I25" s="2966">
        <v>1286.56</v>
      </c>
      <c r="J25" s="91"/>
      <c r="K25" s="1392"/>
      <c r="L25" s="91"/>
      <c r="M25" s="91"/>
      <c r="N25" s="91"/>
      <c r="O25" s="91"/>
      <c r="P25" s="91"/>
      <c r="Q25" s="91"/>
      <c r="R25" s="91"/>
      <c r="S25" s="91"/>
      <c r="T25" s="91"/>
      <c r="U25" s="91"/>
      <c r="V25" s="91"/>
      <c r="W25" s="91"/>
      <c r="X25" s="91"/>
      <c r="Y25" s="91"/>
      <c r="Z25" s="91"/>
      <c r="AA25" s="91"/>
      <c r="AB25" s="91"/>
      <c r="AC25" s="87">
        <f t="shared" si="36"/>
        <v>159.57</v>
      </c>
      <c r="AD25" s="92"/>
      <c r="AE25" s="92"/>
      <c r="AF25" s="1393"/>
      <c r="AG25" s="92"/>
      <c r="AH25" s="92"/>
      <c r="AI25" s="92"/>
      <c r="AJ25" s="92"/>
      <c r="AK25" s="92"/>
      <c r="AL25" s="92"/>
      <c r="AM25" s="92"/>
      <c r="AN25" s="2970">
        <v>159.57</v>
      </c>
      <c r="AO25" s="92"/>
      <c r="AP25" s="92"/>
      <c r="AQ25" s="92"/>
      <c r="AR25" s="92"/>
      <c r="AS25" s="92"/>
      <c r="AT25" s="93"/>
      <c r="AU25" s="94"/>
      <c r="AV25" s="1963">
        <f t="shared" si="37"/>
        <v>0</v>
      </c>
      <c r="AW25" s="1963">
        <f t="shared" si="38"/>
        <v>0</v>
      </c>
      <c r="AX25" s="1963" t="str">
        <f t="shared" si="39"/>
        <v>13#楼</v>
      </c>
      <c r="AY25" s="95">
        <f t="shared" si="40"/>
        <v>688</v>
      </c>
      <c r="AZ25" s="87">
        <f t="shared" si="41"/>
        <v>1446.1299999999999</v>
      </c>
      <c r="BA25" s="87">
        <f t="shared" si="42"/>
        <v>1286.56</v>
      </c>
      <c r="BB25" s="87">
        <f t="shared" si="43"/>
        <v>1286.56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159.57</v>
      </c>
      <c r="BM25" s="87">
        <f t="shared" si="54"/>
        <v>0</v>
      </c>
      <c r="BN25" s="87">
        <f t="shared" si="55"/>
        <v>0</v>
      </c>
      <c r="BO25" s="87">
        <f t="shared" si="56"/>
        <v>0</v>
      </c>
      <c r="BP25" s="87">
        <f t="shared" si="57"/>
        <v>0</v>
      </c>
      <c r="BQ25" s="87">
        <f t="shared" si="58"/>
        <v>0</v>
      </c>
      <c r="BR25" s="87">
        <f t="shared" si="59"/>
        <v>159.57</v>
      </c>
      <c r="BS25" s="87">
        <f t="shared" si="60"/>
        <v>0</v>
      </c>
      <c r="BT25" s="96">
        <f t="shared" si="61"/>
        <v>0</v>
      </c>
    </row>
    <row r="26" spans="1:72">
      <c r="A26" s="84"/>
      <c r="B26" s="1389"/>
      <c r="C26" s="3190" t="s">
        <v>3017</v>
      </c>
      <c r="D26" s="80" t="s">
        <v>1678</v>
      </c>
      <c r="E26" s="87">
        <f t="shared" si="33"/>
        <v>688</v>
      </c>
      <c r="F26" s="88"/>
      <c r="G26" s="89">
        <f t="shared" si="34"/>
        <v>1446.1299999999999</v>
      </c>
      <c r="H26" s="90">
        <f t="shared" si="35"/>
        <v>1286.56</v>
      </c>
      <c r="I26" s="2966">
        <v>1286.56</v>
      </c>
      <c r="J26" s="91"/>
      <c r="K26" s="1392"/>
      <c r="L26" s="91"/>
      <c r="M26" s="91"/>
      <c r="N26" s="91"/>
      <c r="O26" s="91"/>
      <c r="P26" s="91"/>
      <c r="Q26" s="91"/>
      <c r="R26" s="91"/>
      <c r="S26" s="91"/>
      <c r="T26" s="91"/>
      <c r="U26" s="91"/>
      <c r="V26" s="91"/>
      <c r="W26" s="91"/>
      <c r="X26" s="91"/>
      <c r="Y26" s="91"/>
      <c r="Z26" s="91"/>
      <c r="AA26" s="91"/>
      <c r="AB26" s="91"/>
      <c r="AC26" s="87">
        <f t="shared" si="36"/>
        <v>159.57</v>
      </c>
      <c r="AD26" s="92"/>
      <c r="AE26" s="92"/>
      <c r="AF26" s="1393"/>
      <c r="AG26" s="92"/>
      <c r="AH26" s="92"/>
      <c r="AI26" s="92"/>
      <c r="AJ26" s="92"/>
      <c r="AK26" s="92"/>
      <c r="AL26" s="92"/>
      <c r="AM26" s="92"/>
      <c r="AN26" s="2970">
        <v>159.57</v>
      </c>
      <c r="AO26" s="92"/>
      <c r="AP26" s="92"/>
      <c r="AQ26" s="92"/>
      <c r="AR26" s="92"/>
      <c r="AS26" s="92"/>
      <c r="AT26" s="93"/>
      <c r="AU26" s="94"/>
      <c r="AV26" s="1963">
        <f t="shared" si="37"/>
        <v>0</v>
      </c>
      <c r="AW26" s="1963">
        <f t="shared" si="38"/>
        <v>0</v>
      </c>
      <c r="AX26" s="1963" t="str">
        <f t="shared" si="39"/>
        <v>14#楼</v>
      </c>
      <c r="AY26" s="95">
        <f t="shared" si="40"/>
        <v>688</v>
      </c>
      <c r="AZ26" s="87">
        <f t="shared" si="41"/>
        <v>1446.1299999999999</v>
      </c>
      <c r="BA26" s="87">
        <f t="shared" si="42"/>
        <v>1286.56</v>
      </c>
      <c r="BB26" s="87">
        <f t="shared" si="43"/>
        <v>1286.56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159.57</v>
      </c>
      <c r="BM26" s="87">
        <f t="shared" si="54"/>
        <v>0</v>
      </c>
      <c r="BN26" s="87">
        <f t="shared" si="55"/>
        <v>0</v>
      </c>
      <c r="BO26" s="87">
        <f t="shared" si="56"/>
        <v>0</v>
      </c>
      <c r="BP26" s="87">
        <f t="shared" si="57"/>
        <v>0</v>
      </c>
      <c r="BQ26" s="87">
        <f t="shared" si="58"/>
        <v>0</v>
      </c>
      <c r="BR26" s="87">
        <f t="shared" si="59"/>
        <v>159.57</v>
      </c>
      <c r="BS26" s="87">
        <f t="shared" si="60"/>
        <v>0</v>
      </c>
      <c r="BT26" s="96">
        <f t="shared" si="61"/>
        <v>0</v>
      </c>
    </row>
    <row r="27" spans="1:72">
      <c r="A27" s="84"/>
      <c r="B27" s="1389"/>
      <c r="C27" s="3189" t="s">
        <v>3018</v>
      </c>
      <c r="D27" s="80" t="s">
        <v>1678</v>
      </c>
      <c r="E27" s="87">
        <f t="shared" si="33"/>
        <v>688</v>
      </c>
      <c r="F27" s="88"/>
      <c r="G27" s="89">
        <f t="shared" si="34"/>
        <v>1446.1299999999999</v>
      </c>
      <c r="H27" s="90">
        <f t="shared" si="35"/>
        <v>1286.56</v>
      </c>
      <c r="I27" s="2966">
        <v>1286.56</v>
      </c>
      <c r="J27" s="91"/>
      <c r="K27" s="1392"/>
      <c r="L27" s="91"/>
      <c r="M27" s="91"/>
      <c r="N27" s="91"/>
      <c r="O27" s="91"/>
      <c r="P27" s="91"/>
      <c r="Q27" s="91"/>
      <c r="R27" s="91"/>
      <c r="S27" s="91"/>
      <c r="T27" s="91"/>
      <c r="U27" s="91"/>
      <c r="V27" s="91"/>
      <c r="W27" s="91"/>
      <c r="X27" s="91"/>
      <c r="Y27" s="91"/>
      <c r="Z27" s="91"/>
      <c r="AA27" s="91"/>
      <c r="AB27" s="91"/>
      <c r="AC27" s="87">
        <f t="shared" si="36"/>
        <v>159.57</v>
      </c>
      <c r="AD27" s="92"/>
      <c r="AE27" s="92"/>
      <c r="AF27" s="1393"/>
      <c r="AG27" s="92"/>
      <c r="AH27" s="92"/>
      <c r="AI27" s="92"/>
      <c r="AJ27" s="92"/>
      <c r="AK27" s="92"/>
      <c r="AL27" s="92"/>
      <c r="AM27" s="92"/>
      <c r="AN27" s="2970">
        <v>159.57</v>
      </c>
      <c r="AO27" s="92"/>
      <c r="AP27" s="92"/>
      <c r="AQ27" s="92"/>
      <c r="AR27" s="92"/>
      <c r="AS27" s="92"/>
      <c r="AT27" s="93"/>
      <c r="AU27" s="94"/>
      <c r="AV27" s="1963">
        <f t="shared" si="37"/>
        <v>0</v>
      </c>
      <c r="AW27" s="1963">
        <f t="shared" si="38"/>
        <v>0</v>
      </c>
      <c r="AX27" s="1963" t="str">
        <f t="shared" si="39"/>
        <v>15#楼</v>
      </c>
      <c r="AY27" s="95">
        <f t="shared" si="40"/>
        <v>688</v>
      </c>
      <c r="AZ27" s="87">
        <f t="shared" si="41"/>
        <v>1446.1299999999999</v>
      </c>
      <c r="BA27" s="87">
        <f t="shared" si="42"/>
        <v>1286.56</v>
      </c>
      <c r="BB27" s="87">
        <f t="shared" si="43"/>
        <v>1286.56</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159.57</v>
      </c>
      <c r="BM27" s="87">
        <f t="shared" si="54"/>
        <v>0</v>
      </c>
      <c r="BN27" s="87">
        <f t="shared" si="55"/>
        <v>0</v>
      </c>
      <c r="BO27" s="87">
        <f t="shared" si="56"/>
        <v>0</v>
      </c>
      <c r="BP27" s="87">
        <f t="shared" si="57"/>
        <v>0</v>
      </c>
      <c r="BQ27" s="87">
        <f t="shared" si="58"/>
        <v>0</v>
      </c>
      <c r="BR27" s="87">
        <f t="shared" si="59"/>
        <v>159.57</v>
      </c>
      <c r="BS27" s="87">
        <f t="shared" si="60"/>
        <v>0</v>
      </c>
      <c r="BT27" s="96">
        <f t="shared" si="61"/>
        <v>0</v>
      </c>
    </row>
    <row r="28" spans="1:72">
      <c r="A28" s="84"/>
      <c r="B28" s="1389"/>
      <c r="C28" s="3190" t="s">
        <v>3019</v>
      </c>
      <c r="D28" s="80" t="s">
        <v>1678</v>
      </c>
      <c r="E28" s="87">
        <f t="shared" si="33"/>
        <v>688</v>
      </c>
      <c r="F28" s="88"/>
      <c r="G28" s="89">
        <f t="shared" si="34"/>
        <v>1446.1299999999999</v>
      </c>
      <c r="H28" s="90">
        <f t="shared" si="35"/>
        <v>1286.56</v>
      </c>
      <c r="I28" s="2966">
        <v>1286.56</v>
      </c>
      <c r="J28" s="91"/>
      <c r="K28" s="1392"/>
      <c r="L28" s="91"/>
      <c r="M28" s="91"/>
      <c r="N28" s="91"/>
      <c r="O28" s="91"/>
      <c r="P28" s="91"/>
      <c r="Q28" s="91"/>
      <c r="R28" s="91"/>
      <c r="S28" s="91"/>
      <c r="T28" s="91"/>
      <c r="U28" s="91"/>
      <c r="V28" s="91"/>
      <c r="W28" s="91"/>
      <c r="X28" s="91"/>
      <c r="Y28" s="91"/>
      <c r="Z28" s="91"/>
      <c r="AA28" s="91"/>
      <c r="AB28" s="91"/>
      <c r="AC28" s="87">
        <f t="shared" si="36"/>
        <v>159.57</v>
      </c>
      <c r="AD28" s="92"/>
      <c r="AE28" s="92"/>
      <c r="AF28" s="1392"/>
      <c r="AG28" s="92"/>
      <c r="AH28" s="92"/>
      <c r="AI28" s="92"/>
      <c r="AJ28" s="92"/>
      <c r="AK28" s="92"/>
      <c r="AL28" s="92"/>
      <c r="AM28" s="92"/>
      <c r="AN28" s="2970">
        <v>159.57</v>
      </c>
      <c r="AO28" s="92"/>
      <c r="AP28" s="92"/>
      <c r="AQ28" s="92"/>
      <c r="AR28" s="92"/>
      <c r="AS28" s="92"/>
      <c r="AT28" s="93"/>
      <c r="AU28" s="94"/>
      <c r="AV28" s="1963">
        <f t="shared" si="37"/>
        <v>0</v>
      </c>
      <c r="AW28" s="1963">
        <f t="shared" si="38"/>
        <v>0</v>
      </c>
      <c r="AX28" s="1963" t="str">
        <f t="shared" si="39"/>
        <v>16#楼</v>
      </c>
      <c r="AY28" s="95">
        <f t="shared" si="40"/>
        <v>688</v>
      </c>
      <c r="AZ28" s="87">
        <f t="shared" si="41"/>
        <v>1446.1299999999999</v>
      </c>
      <c r="BA28" s="87">
        <f t="shared" si="42"/>
        <v>1286.56</v>
      </c>
      <c r="BB28" s="87">
        <f t="shared" si="43"/>
        <v>1286.56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159.57</v>
      </c>
      <c r="BM28" s="87">
        <f t="shared" si="54"/>
        <v>0</v>
      </c>
      <c r="BN28" s="87">
        <f t="shared" si="55"/>
        <v>0</v>
      </c>
      <c r="BO28" s="87">
        <f t="shared" si="56"/>
        <v>0</v>
      </c>
      <c r="BP28" s="87">
        <f t="shared" si="57"/>
        <v>0</v>
      </c>
      <c r="BQ28" s="87">
        <f t="shared" si="58"/>
        <v>0</v>
      </c>
      <c r="BR28" s="87">
        <f t="shared" si="59"/>
        <v>159.57</v>
      </c>
      <c r="BS28" s="87">
        <f t="shared" si="60"/>
        <v>0</v>
      </c>
      <c r="BT28" s="96">
        <f t="shared" si="61"/>
        <v>0</v>
      </c>
    </row>
    <row r="29" spans="1:72">
      <c r="A29" s="84"/>
      <c r="B29" s="1391"/>
      <c r="C29" s="3190" t="s">
        <v>3020</v>
      </c>
      <c r="D29" s="80" t="s">
        <v>1678</v>
      </c>
      <c r="E29" s="87">
        <f t="shared" si="33"/>
        <v>688</v>
      </c>
      <c r="F29" s="88"/>
      <c r="G29" s="89">
        <f t="shared" si="34"/>
        <v>1446.1299999999999</v>
      </c>
      <c r="H29" s="90">
        <f t="shared" si="35"/>
        <v>1286.56</v>
      </c>
      <c r="I29" s="2966">
        <v>1286.56</v>
      </c>
      <c r="J29" s="91"/>
      <c r="K29" s="1392"/>
      <c r="L29" s="91"/>
      <c r="M29" s="91"/>
      <c r="N29" s="91"/>
      <c r="O29" s="91"/>
      <c r="P29" s="91"/>
      <c r="Q29" s="91"/>
      <c r="R29" s="91"/>
      <c r="S29" s="91"/>
      <c r="T29" s="91"/>
      <c r="U29" s="91"/>
      <c r="V29" s="91"/>
      <c r="W29" s="91"/>
      <c r="X29" s="91"/>
      <c r="Y29" s="91"/>
      <c r="Z29" s="91"/>
      <c r="AA29" s="91"/>
      <c r="AB29" s="91"/>
      <c r="AC29" s="87">
        <f t="shared" si="36"/>
        <v>159.57</v>
      </c>
      <c r="AD29" s="92"/>
      <c r="AE29" s="92"/>
      <c r="AF29" s="1392"/>
      <c r="AG29" s="92"/>
      <c r="AH29" s="92"/>
      <c r="AI29" s="92"/>
      <c r="AJ29" s="92"/>
      <c r="AK29" s="92"/>
      <c r="AL29" s="92"/>
      <c r="AM29" s="92"/>
      <c r="AN29" s="2970">
        <v>159.57</v>
      </c>
      <c r="AO29" s="92"/>
      <c r="AP29" s="92"/>
      <c r="AQ29" s="92"/>
      <c r="AR29" s="92"/>
      <c r="AS29" s="92"/>
      <c r="AT29" s="93"/>
      <c r="AU29" s="94"/>
      <c r="AV29" s="1963">
        <f t="shared" si="37"/>
        <v>0</v>
      </c>
      <c r="AW29" s="1963">
        <f t="shared" si="38"/>
        <v>0</v>
      </c>
      <c r="AX29" s="1963" t="str">
        <f t="shared" si="39"/>
        <v>17#楼</v>
      </c>
      <c r="AY29" s="95">
        <f t="shared" si="40"/>
        <v>688</v>
      </c>
      <c r="AZ29" s="87">
        <f t="shared" si="41"/>
        <v>1446.1299999999999</v>
      </c>
      <c r="BA29" s="87">
        <f t="shared" si="42"/>
        <v>1286.56</v>
      </c>
      <c r="BB29" s="87">
        <f t="shared" si="43"/>
        <v>1286.56</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159.57</v>
      </c>
      <c r="BM29" s="87">
        <f t="shared" si="54"/>
        <v>0</v>
      </c>
      <c r="BN29" s="87">
        <f t="shared" si="55"/>
        <v>0</v>
      </c>
      <c r="BO29" s="87">
        <f t="shared" si="56"/>
        <v>0</v>
      </c>
      <c r="BP29" s="87">
        <f t="shared" si="57"/>
        <v>0</v>
      </c>
      <c r="BQ29" s="87">
        <f t="shared" si="58"/>
        <v>0</v>
      </c>
      <c r="BR29" s="87">
        <f t="shared" si="59"/>
        <v>159.57</v>
      </c>
      <c r="BS29" s="87">
        <f t="shared" si="60"/>
        <v>0</v>
      </c>
      <c r="BT29" s="96">
        <f t="shared" si="61"/>
        <v>0</v>
      </c>
    </row>
    <row r="30" spans="1:72">
      <c r="A30" s="84"/>
      <c r="B30" s="1389"/>
      <c r="C30" s="3190" t="s">
        <v>3021</v>
      </c>
      <c r="D30" s="80" t="s">
        <v>1678</v>
      </c>
      <c r="E30" s="87">
        <f t="shared" si="33"/>
        <v>2700.3</v>
      </c>
      <c r="F30" s="88"/>
      <c r="G30" s="89">
        <f t="shared" si="34"/>
        <v>5675.83</v>
      </c>
      <c r="H30" s="90">
        <f t="shared" si="35"/>
        <v>5216.32</v>
      </c>
      <c r="I30" s="2966">
        <v>5216.32</v>
      </c>
      <c r="J30" s="91"/>
      <c r="K30" s="1392"/>
      <c r="L30" s="91"/>
      <c r="M30" s="91"/>
      <c r="N30" s="91"/>
      <c r="O30" s="91"/>
      <c r="P30" s="91"/>
      <c r="Q30" s="91"/>
      <c r="R30" s="91"/>
      <c r="S30" s="91"/>
      <c r="T30" s="91"/>
      <c r="U30" s="91"/>
      <c r="V30" s="91"/>
      <c r="W30" s="91"/>
      <c r="X30" s="91"/>
      <c r="Y30" s="91"/>
      <c r="Z30" s="91"/>
      <c r="AA30" s="91"/>
      <c r="AB30" s="91"/>
      <c r="AC30" s="87">
        <f t="shared" si="36"/>
        <v>459.51</v>
      </c>
      <c r="AD30" s="92"/>
      <c r="AE30" s="92"/>
      <c r="AF30" s="1392"/>
      <c r="AG30" s="92"/>
      <c r="AH30" s="92"/>
      <c r="AI30" s="92"/>
      <c r="AJ30" s="92"/>
      <c r="AK30" s="92"/>
      <c r="AL30" s="92"/>
      <c r="AM30" s="92"/>
      <c r="AN30" s="2970">
        <v>459.51</v>
      </c>
      <c r="AO30" s="92"/>
      <c r="AP30" s="92"/>
      <c r="AQ30" s="92"/>
      <c r="AR30" s="92"/>
      <c r="AS30" s="92"/>
      <c r="AT30" s="93"/>
      <c r="AU30" s="94"/>
      <c r="AV30" s="1963">
        <f t="shared" si="37"/>
        <v>0</v>
      </c>
      <c r="AW30" s="1963">
        <f t="shared" si="38"/>
        <v>0</v>
      </c>
      <c r="AX30" s="1963" t="str">
        <f t="shared" si="39"/>
        <v>18#楼</v>
      </c>
      <c r="AY30" s="95">
        <f t="shared" si="40"/>
        <v>2700.3</v>
      </c>
      <c r="AZ30" s="87">
        <f t="shared" si="41"/>
        <v>5675.83</v>
      </c>
      <c r="BA30" s="87">
        <f t="shared" si="42"/>
        <v>5216.32</v>
      </c>
      <c r="BB30" s="87">
        <f t="shared" si="43"/>
        <v>5216.32</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459.51</v>
      </c>
      <c r="BM30" s="87">
        <f t="shared" si="54"/>
        <v>0</v>
      </c>
      <c r="BN30" s="87">
        <f t="shared" si="55"/>
        <v>0</v>
      </c>
      <c r="BO30" s="87">
        <f t="shared" si="56"/>
        <v>0</v>
      </c>
      <c r="BP30" s="87">
        <f t="shared" si="57"/>
        <v>0</v>
      </c>
      <c r="BQ30" s="87">
        <f t="shared" si="58"/>
        <v>0</v>
      </c>
      <c r="BR30" s="87">
        <f t="shared" si="59"/>
        <v>459.51</v>
      </c>
      <c r="BS30" s="87">
        <f t="shared" si="60"/>
        <v>0</v>
      </c>
      <c r="BT30" s="96">
        <f t="shared" si="61"/>
        <v>0</v>
      </c>
    </row>
    <row r="31" spans="1:72">
      <c r="A31" s="84"/>
      <c r="B31" s="1389"/>
      <c r="C31" s="3189" t="s">
        <v>3022</v>
      </c>
      <c r="D31" s="80" t="s">
        <v>1678</v>
      </c>
      <c r="E31" s="87">
        <f t="shared" si="33"/>
        <v>3101.86</v>
      </c>
      <c r="F31" s="88"/>
      <c r="G31" s="89">
        <f t="shared" si="34"/>
        <v>6519.88</v>
      </c>
      <c r="H31" s="90">
        <f t="shared" si="35"/>
        <v>5890.92</v>
      </c>
      <c r="I31" s="2966">
        <v>5890.92</v>
      </c>
      <c r="J31" s="91"/>
      <c r="K31" s="1392"/>
      <c r="L31" s="91"/>
      <c r="M31" s="91"/>
      <c r="N31" s="91"/>
      <c r="O31" s="91"/>
      <c r="P31" s="91"/>
      <c r="Q31" s="91"/>
      <c r="R31" s="91"/>
      <c r="S31" s="91"/>
      <c r="T31" s="91"/>
      <c r="U31" s="91"/>
      <c r="V31" s="91"/>
      <c r="W31" s="91"/>
      <c r="X31" s="91"/>
      <c r="Y31" s="91"/>
      <c r="Z31" s="91"/>
      <c r="AA31" s="91"/>
      <c r="AB31" s="91"/>
      <c r="AC31" s="87">
        <f t="shared" si="36"/>
        <v>628.96</v>
      </c>
      <c r="AD31" s="92"/>
      <c r="AE31" s="92"/>
      <c r="AF31" s="1392"/>
      <c r="AG31" s="92"/>
      <c r="AH31" s="92"/>
      <c r="AI31" s="92"/>
      <c r="AJ31" s="92"/>
      <c r="AK31" s="92"/>
      <c r="AL31" s="92"/>
      <c r="AM31" s="92"/>
      <c r="AN31" s="2970">
        <v>628.96</v>
      </c>
      <c r="AO31" s="92"/>
      <c r="AP31" s="92"/>
      <c r="AQ31" s="92"/>
      <c r="AR31" s="92"/>
      <c r="AS31" s="92"/>
      <c r="AT31" s="93"/>
      <c r="AU31" s="94"/>
      <c r="AV31" s="1963">
        <f t="shared" si="37"/>
        <v>0</v>
      </c>
      <c r="AW31" s="1963">
        <f t="shared" si="38"/>
        <v>0</v>
      </c>
      <c r="AX31" s="1963" t="str">
        <f t="shared" si="39"/>
        <v>19#楼</v>
      </c>
      <c r="AY31" s="95">
        <f t="shared" si="40"/>
        <v>3101.86</v>
      </c>
      <c r="AZ31" s="87">
        <f t="shared" si="41"/>
        <v>6519.88</v>
      </c>
      <c r="BA31" s="87">
        <f t="shared" si="42"/>
        <v>5890.92</v>
      </c>
      <c r="BB31" s="87">
        <f t="shared" si="43"/>
        <v>5890.92</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628.96</v>
      </c>
      <c r="BM31" s="87">
        <f t="shared" si="54"/>
        <v>0</v>
      </c>
      <c r="BN31" s="87">
        <f t="shared" si="55"/>
        <v>0</v>
      </c>
      <c r="BO31" s="87">
        <f t="shared" si="56"/>
        <v>0</v>
      </c>
      <c r="BP31" s="87">
        <f t="shared" si="57"/>
        <v>0</v>
      </c>
      <c r="BQ31" s="87">
        <f t="shared" si="58"/>
        <v>0</v>
      </c>
      <c r="BR31" s="87">
        <f t="shared" si="59"/>
        <v>628.96</v>
      </c>
      <c r="BS31" s="87">
        <f t="shared" si="60"/>
        <v>0</v>
      </c>
      <c r="BT31" s="96">
        <f t="shared" si="61"/>
        <v>0</v>
      </c>
    </row>
    <row r="32" spans="1:72">
      <c r="A32" s="84"/>
      <c r="B32" s="1389"/>
      <c r="C32" s="3191" t="s">
        <v>3023</v>
      </c>
      <c r="D32" s="80" t="s">
        <v>1678</v>
      </c>
      <c r="E32" s="87">
        <f t="shared" si="33"/>
        <v>18473.91</v>
      </c>
      <c r="F32" s="88"/>
      <c r="G32" s="89">
        <f t="shared" si="34"/>
        <v>38830.82</v>
      </c>
      <c r="H32" s="90">
        <f t="shared" si="35"/>
        <v>38830.82</v>
      </c>
      <c r="I32" s="1392"/>
      <c r="J32" s="91"/>
      <c r="K32" s="1392">
        <v>38830.82</v>
      </c>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2970"/>
      <c r="AO32" s="92"/>
      <c r="AP32" s="92"/>
      <c r="AQ32" s="92"/>
      <c r="AR32" s="92"/>
      <c r="AS32" s="92"/>
      <c r="AT32" s="93"/>
      <c r="AU32" s="94"/>
      <c r="AV32" s="1963">
        <f t="shared" si="37"/>
        <v>0</v>
      </c>
      <c r="AW32" s="1963">
        <f t="shared" si="38"/>
        <v>0</v>
      </c>
      <c r="AX32" s="1963" t="str">
        <f t="shared" si="39"/>
        <v>地下车库</v>
      </c>
      <c r="AY32" s="95">
        <f t="shared" si="40"/>
        <v>18473.91</v>
      </c>
      <c r="AZ32" s="87">
        <f t="shared" si="41"/>
        <v>38830.82</v>
      </c>
      <c r="BA32" s="87">
        <f t="shared" si="42"/>
        <v>38830.82</v>
      </c>
      <c r="BB32" s="87">
        <f t="shared" si="43"/>
        <v>0</v>
      </c>
      <c r="BC32" s="87">
        <f t="shared" si="44"/>
        <v>38830.82</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3191"/>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2970"/>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2970"/>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2970"/>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2970"/>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E1" zoomScale="90" zoomScaleNormal="90" zoomScaleSheetLayoutView="90" workbookViewId="0">
      <selection activeCell="K30" sqref="K3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4" t="s">
        <v>203</v>
      </c>
      <c r="B2" s="3274"/>
      <c r="C2" s="3274"/>
      <c r="D2" s="1959" t="s">
        <v>204</v>
      </c>
      <c r="E2" s="106" t="s">
        <v>205</v>
      </c>
      <c r="F2" s="1968"/>
      <c r="G2" s="1194"/>
      <c r="H2" s="1195"/>
      <c r="I2" s="1196" t="s">
        <v>857</v>
      </c>
      <c r="J2" s="1968"/>
      <c r="K2" s="1968"/>
      <c r="L2" s="1968"/>
    </row>
    <row r="3" spans="1:16" ht="15.75" thickBot="1">
      <c r="A3" s="3275" t="s">
        <v>206</v>
      </c>
      <c r="B3" s="3275"/>
      <c r="C3" s="3275"/>
      <c r="D3" s="107">
        <f>'数据-基础表'!AY6</f>
        <v>49527.1</v>
      </c>
      <c r="E3" s="107">
        <f>'数据-基础表'!AZ5</f>
        <v>104102.39999999998</v>
      </c>
      <c r="F3" s="1968"/>
      <c r="G3" s="280" t="s">
        <v>858</v>
      </c>
      <c r="H3" s="275" t="s">
        <v>859</v>
      </c>
      <c r="I3" s="1960">
        <f>ROUND('数据-基础表'!B3/'数据-基础表'!A3,2)</f>
        <v>2.1</v>
      </c>
      <c r="J3" s="1968"/>
      <c r="K3" s="1968"/>
      <c r="L3" s="1968"/>
    </row>
    <row r="4" spans="1:16" ht="15">
      <c r="A4" s="3276"/>
      <c r="B4" s="3277"/>
      <c r="C4" s="3278"/>
      <c r="D4" s="108" t="s">
        <v>204</v>
      </c>
      <c r="E4" s="109" t="s">
        <v>205</v>
      </c>
      <c r="F4" s="1968"/>
      <c r="G4" s="1197"/>
      <c r="H4" s="275" t="s">
        <v>860</v>
      </c>
      <c r="I4" s="1960">
        <f>ROUND(SUMIF('数据-基础表'!I9:AS9,"地上",'数据-基础表'!I5:AS5)/'数据-基础表'!A3,2)</f>
        <v>1.2</v>
      </c>
      <c r="J4" s="1968"/>
      <c r="K4" s="1968"/>
      <c r="L4" s="1968"/>
    </row>
    <row r="5" spans="1:16">
      <c r="A5" s="110" t="s">
        <v>207</v>
      </c>
      <c r="B5" s="3279" t="s">
        <v>230</v>
      </c>
      <c r="C5" s="3279"/>
      <c r="D5" s="111">
        <f>ROUND($D$3*E5/$E$3,2)</f>
        <v>0</v>
      </c>
      <c r="E5" s="112">
        <f>SUMIF('数据-基础表'!$11:$11,"住宅",'数据-基础表'!$5:$5)</f>
        <v>0</v>
      </c>
      <c r="F5" s="1968"/>
      <c r="G5" s="280" t="s">
        <v>861</v>
      </c>
      <c r="H5" s="275" t="s">
        <v>859</v>
      </c>
      <c r="I5" s="1960">
        <f>ROUND(E31/D31,2)</f>
        <v>2.1</v>
      </c>
      <c r="J5" s="1968"/>
      <c r="K5" s="1968"/>
      <c r="L5" s="1968"/>
    </row>
    <row r="6" spans="1:16" ht="15" thickBot="1">
      <c r="A6" s="113"/>
      <c r="B6" s="3279" t="s">
        <v>208</v>
      </c>
      <c r="C6" s="3279"/>
      <c r="D6" s="111">
        <f>ROUND($D$3*E6/$E$3,2)</f>
        <v>49527.1</v>
      </c>
      <c r="E6" s="112">
        <f>E3-E5</f>
        <v>104102.39999999998</v>
      </c>
      <c r="F6" s="1968"/>
      <c r="G6" s="1197"/>
      <c r="H6" s="275" t="s">
        <v>860</v>
      </c>
      <c r="I6" s="1960">
        <f>ROUND(F31/D31,2)</f>
        <v>1.2</v>
      </c>
      <c r="J6" s="1968"/>
      <c r="K6" s="1968"/>
      <c r="L6" s="1968"/>
    </row>
    <row r="7" spans="1:16" ht="15">
      <c r="A7" s="3271"/>
      <c r="B7" s="3272"/>
      <c r="C7" s="3273"/>
      <c r="D7" s="108" t="s">
        <v>204</v>
      </c>
      <c r="E7" s="114" t="s">
        <v>231</v>
      </c>
      <c r="F7" s="1968"/>
      <c r="G7" s="1152" t="s">
        <v>1645</v>
      </c>
      <c r="H7" s="1153"/>
      <c r="I7" s="1830"/>
      <c r="J7" s="1968"/>
      <c r="K7" s="1968"/>
      <c r="L7" s="1968"/>
    </row>
    <row r="8" spans="1:16">
      <c r="A8" s="110" t="s">
        <v>209</v>
      </c>
      <c r="B8" s="115" t="s">
        <v>210</v>
      </c>
      <c r="C8" s="111" t="s">
        <v>211</v>
      </c>
      <c r="D8" s="111">
        <f t="shared" ref="D8:D15" si="0">ROUND($D$3*E8/$E$3,2)</f>
        <v>28274.48</v>
      </c>
      <c r="E8" s="116">
        <f>SUMIF('数据-基础表'!BB10:BK10,"地上",'数据-基础表'!BB5:BK5)</f>
        <v>59430.919999999984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18473.91</v>
      </c>
      <c r="E14" s="116">
        <f>SUMPRODUCT(('数据-基础表'!BB10:BK10="地下")*('数据-基础表'!BB11:BK11="车库—商业")*('数据-基础表'!BB5:BK5))</f>
        <v>38830.82</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46748.39</v>
      </c>
      <c r="E16" s="120">
        <f>SUM(E8:E15)</f>
        <v>98261.739999999991</v>
      </c>
      <c r="F16" s="1968"/>
      <c r="G16" s="1970"/>
      <c r="H16" s="968" t="s">
        <v>219</v>
      </c>
      <c r="I16" s="969"/>
      <c r="J16" s="1968"/>
      <c r="K16" s="3265" t="s">
        <v>2566</v>
      </c>
      <c r="L16" s="3266"/>
      <c r="M16" s="3266"/>
      <c r="N16" s="3266"/>
      <c r="O16" s="3266"/>
      <c r="P16" s="3267"/>
    </row>
    <row r="17" spans="1:19" ht="15">
      <c r="A17" s="121" t="s">
        <v>216</v>
      </c>
      <c r="B17" s="122" t="s">
        <v>217</v>
      </c>
      <c r="C17" s="2282" t="s">
        <v>2313</v>
      </c>
      <c r="D17" s="108" t="s">
        <v>204</v>
      </c>
      <c r="E17" s="124" t="s">
        <v>205</v>
      </c>
      <c r="F17" s="125"/>
      <c r="G17" s="1362"/>
      <c r="H17" s="970" t="s">
        <v>218</v>
      </c>
      <c r="I17" s="971" t="s">
        <v>2312</v>
      </c>
      <c r="J17" s="1968"/>
      <c r="K17" s="3268" t="s">
        <v>2567</v>
      </c>
      <c r="L17" s="3269"/>
      <c r="M17" s="3270"/>
      <c r="N17" s="3268" t="s">
        <v>2568</v>
      </c>
      <c r="O17" s="3269"/>
      <c r="P17" s="3270"/>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3" t="s">
        <v>3026</v>
      </c>
      <c r="D19" s="111">
        <f t="shared" ref="D19:D26" si="1">ROUND($D$3*E19/$E$3,2)</f>
        <v>28274.48</v>
      </c>
      <c r="E19" s="134">
        <f t="shared" ref="E19:E26" si="2">SUM(F19:G19)</f>
        <v>59430.919999999984</v>
      </c>
      <c r="F19" s="135">
        <f>'数据-基础表'!I5</f>
        <v>59430.919999999984</v>
      </c>
      <c r="G19" s="1364"/>
      <c r="H19" s="974">
        <f>ROUND($D$3*I19/$E$3,2)</f>
        <v>1680.63</v>
      </c>
      <c r="I19" s="116">
        <f>IF($I$17="自定义",P19,M19)</f>
        <v>3532.56</v>
      </c>
      <c r="J19" s="1968"/>
      <c r="K19" s="2571">
        <f t="shared" ref="K19:K26" si="3">ROUND(E$28*E19/E$27,2)</f>
        <v>3532.56</v>
      </c>
      <c r="L19" s="275">
        <f t="shared" ref="L19:L26" si="4">ROUND(IF(COUNTIF(C19,"*住宅*")&gt;0,E$29*E19/E$32,0),2)</f>
        <v>0</v>
      </c>
      <c r="M19" s="2572">
        <f>K19+L19</f>
        <v>3532.56</v>
      </c>
      <c r="N19" s="2573"/>
      <c r="O19" s="2574"/>
      <c r="P19" s="2575">
        <f>N19+O19</f>
        <v>0</v>
      </c>
      <c r="R19" s="275">
        <f t="shared" ref="R19:S26" si="5">D19+H19</f>
        <v>29955.11</v>
      </c>
      <c r="S19" s="2285">
        <f t="shared" si="5"/>
        <v>62963.479999999981</v>
      </c>
    </row>
    <row r="20" spans="1:19">
      <c r="A20" s="138"/>
      <c r="B20" s="115" t="s">
        <v>226</v>
      </c>
      <c r="C20" s="2973" t="s">
        <v>3249</v>
      </c>
      <c r="D20" s="111">
        <f t="shared" si="1"/>
        <v>18473.91</v>
      </c>
      <c r="E20" s="134">
        <f t="shared" si="2"/>
        <v>38830.82</v>
      </c>
      <c r="F20" s="135"/>
      <c r="G20" s="1364">
        <f>'数据-基础表'!K32</f>
        <v>38830.82</v>
      </c>
      <c r="H20" s="974">
        <f t="shared" ref="H20:H26" si="6">ROUND($D$3*I20/$E$3,2)</f>
        <v>1098.0899999999999</v>
      </c>
      <c r="I20" s="116">
        <f t="shared" ref="I20:I26" si="7">IF($I$17="自定义",P20,M20)</f>
        <v>2308.1</v>
      </c>
      <c r="J20" s="1968"/>
      <c r="K20" s="2571">
        <f t="shared" si="3"/>
        <v>2308.1</v>
      </c>
      <c r="L20" s="275">
        <f t="shared" si="4"/>
        <v>0</v>
      </c>
      <c r="M20" s="2572">
        <f t="shared" ref="M20:M26" si="8">K20+L20</f>
        <v>2308.1</v>
      </c>
      <c r="N20" s="2573"/>
      <c r="O20" s="2574"/>
      <c r="P20" s="2575">
        <f t="shared" ref="P20:P26" si="9">N20+O20</f>
        <v>0</v>
      </c>
      <c r="R20" s="275">
        <f t="shared" si="5"/>
        <v>19572</v>
      </c>
      <c r="S20" s="2285">
        <f t="shared" si="5"/>
        <v>41138.92</v>
      </c>
    </row>
    <row r="21" spans="1:19">
      <c r="A21" s="138"/>
      <c r="B21" s="115" t="s">
        <v>226</v>
      </c>
      <c r="C21" s="2973"/>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46748.39</v>
      </c>
      <c r="E27" s="143">
        <f>IF(SUM(E19:E26)='数据-基础表'!BA5,SUM(E19:E26),IF(F27="地上面积有误","面积有误","地下面积有误"))</f>
        <v>98261.739999999991</v>
      </c>
      <c r="F27" s="134">
        <f>IF(SUM(F19:F26)=E8,SUM(F19:F26),"地上面积有误")</f>
        <v>59430.919999999984</v>
      </c>
      <c r="G27" s="112">
        <f>SUM(G19:G26)</f>
        <v>38830.82</v>
      </c>
      <c r="H27" s="975">
        <f>SUM(H19:H26)</f>
        <v>2778.7200000000003</v>
      </c>
      <c r="I27" s="976">
        <f>SUM(I19:I26)</f>
        <v>5840.66</v>
      </c>
      <c r="J27" s="1968"/>
      <c r="K27" s="2580">
        <f>SUM(K19:K26)</f>
        <v>5840.66</v>
      </c>
      <c r="L27" s="2581">
        <f>SUM(L19:L26)</f>
        <v>0</v>
      </c>
      <c r="M27" s="2582">
        <f>SUM(M19:M26)</f>
        <v>5840.66</v>
      </c>
      <c r="N27" s="2580">
        <f t="shared" ref="N27:O27" si="10">SUM(N19:N26)</f>
        <v>0</v>
      </c>
      <c r="O27" s="2581">
        <f t="shared" si="10"/>
        <v>0</v>
      </c>
      <c r="P27" s="2583">
        <f>SUM(P19:P26)</f>
        <v>0</v>
      </c>
      <c r="R27" s="2289" t="str">
        <f>IF(SUM(R19:R26)=$D$3,SUM(R19:R26),SUM(R19:R26)&amp;"误差"&amp;ROUND(SUM(R19:R26)-$D$3,2))</f>
        <v>49527.11误差0.01</v>
      </c>
      <c r="S27" s="275">
        <f>IF(SUM(S19:S26)=$E$3,SUM(S19:S26),SUM(S19:S26)&amp;"误差"&amp;ROUND(SUM(S19:S26)-E3,2))</f>
        <v>104102.39999999998</v>
      </c>
    </row>
    <row r="28" spans="1:19">
      <c r="A28" s="138"/>
      <c r="B28" s="115" t="s">
        <v>227</v>
      </c>
      <c r="C28" s="136" t="s">
        <v>228</v>
      </c>
      <c r="D28" s="111">
        <f>ROUND($D$3*E28/$E$3,2)</f>
        <v>2778.72</v>
      </c>
      <c r="E28" s="134">
        <f>SUM(F28:G28)</f>
        <v>5840.6599999999989</v>
      </c>
      <c r="F28" s="144">
        <f>'数据-基础表'!BQ5+'数据-基础表'!BS5</f>
        <v>0</v>
      </c>
      <c r="G28" s="145">
        <f>'数据-基础表'!BR5+'数据-基础表'!BT5</f>
        <v>5840.6599999999989</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2778.72</v>
      </c>
      <c r="E30" s="134">
        <f>SUM(E28:E29)</f>
        <v>5840.6599999999989</v>
      </c>
      <c r="F30" s="134">
        <f>SUM(F28:F29)</f>
        <v>0</v>
      </c>
      <c r="G30" s="112">
        <f>SUM(G28:G29)</f>
        <v>5840.6599999999989</v>
      </c>
      <c r="H30" s="1968"/>
      <c r="I30" s="1968"/>
      <c r="J30" s="1968"/>
      <c r="K30" s="1968"/>
      <c r="L30" s="1968"/>
    </row>
    <row r="31" spans="1:19" ht="32.25" customHeight="1" thickBot="1">
      <c r="A31" s="1366"/>
      <c r="B31" s="1367" t="s">
        <v>229</v>
      </c>
      <c r="C31" s="2314" t="s">
        <v>2322</v>
      </c>
      <c r="D31" s="1368">
        <f>D27+D30</f>
        <v>49527.11</v>
      </c>
      <c r="E31" s="1368">
        <f>E27+E30</f>
        <v>104102.39999999999</v>
      </c>
      <c r="F31" s="1369">
        <f>F27+F30</f>
        <v>59430.919999999984</v>
      </c>
      <c r="G31" s="1370">
        <f>G27+G30</f>
        <v>44671.479999999996</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27"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43693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办公</v>
      </c>
      <c r="B6" s="2321" t="str">
        <f>IF(A6=0,"","经营性")</f>
        <v>经营性</v>
      </c>
      <c r="C6" s="173" t="s">
        <v>3000</v>
      </c>
      <c r="D6" s="2292">
        <f>SUMIF(项目基本情况!D$15:I$15,C6,项目基本情况!D$18:I$18)</f>
        <v>40</v>
      </c>
      <c r="E6" s="2293">
        <f>IF(B6="","",SUMIF(项目基本情况!D$15:I$15,C6,项目基本情况!D$17:I$17))</f>
        <v>57396</v>
      </c>
      <c r="F6" s="174">
        <f>SUMIF(项目基本情况!D$15:I$15,C6,项目基本情况!D$19:I$19)</f>
        <v>37.54</v>
      </c>
      <c r="G6" s="175">
        <f>IF(ISERROR(ROUND(POWER(1+H6,D6-F6)*(POWER(1+H6,F6)-1)/(POWER(1+H6,D6)-1),3)),0,ROUND(POWER(1+H6,D6-F6)*(POWER(1+H6,F6)-1)/(POWER(1+H6,D6)-1),3))</f>
        <v>0.97899999999999998</v>
      </c>
      <c r="H6" s="2974">
        <v>0.05</v>
      </c>
      <c r="I6" s="2974">
        <v>5.5E-2</v>
      </c>
      <c r="J6" s="176">
        <v>8.5000000000000006E-2</v>
      </c>
      <c r="K6" s="179">
        <f>SUMIF('数据-汇总表'!C$19:C$33,'数据-取费表'!A6,'数据-汇总表'!E$19:E$33)</f>
        <v>59430.919999999984</v>
      </c>
      <c r="L6" s="2975">
        <v>3000</v>
      </c>
      <c r="M6" s="177">
        <f t="shared" ref="M6:M14" si="0">ROUND(K6*L6/10000,0)</f>
        <v>17829</v>
      </c>
      <c r="N6" s="2976">
        <v>0</v>
      </c>
      <c r="O6" s="177">
        <f>IF($N$5="成新度","——",ROUND(M6*N6,0))</f>
        <v>0</v>
      </c>
      <c r="P6" s="178">
        <f>IF($N$5="成新度","——",M6-O6)</f>
        <v>17829</v>
      </c>
      <c r="Q6" s="3192">
        <v>0.15</v>
      </c>
      <c r="R6" s="179">
        <f>SUMIF('数据-汇总表'!C$19:C$33,A6,'数据-汇总表'!R$19:R$33)</f>
        <v>29955.11</v>
      </c>
      <c r="S6" s="132">
        <f>IF('数据-汇总表'!$I$17="按面积比例",SUMIF('数据-汇总表'!C$19:C$33,A6,'数据-汇总表'!K$19:K$33),SUMIF('数据-汇总表'!C$19:C$33,A6,'数据-汇总表'!N$19:N$33))</f>
        <v>3532.56</v>
      </c>
      <c r="T6" s="2218">
        <f>IF($T$4="按面积比例",IF(ISERROR(ROUND($M$14*S6/S$16,0)),"0",ROUND($M$14*S6/S$16,0)),"需自行计算录入")</f>
        <v>706</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8"/>
      <c r="AN6" s="2355"/>
      <c r="AO6" s="1984"/>
      <c r="AP6" s="1200">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车库</v>
      </c>
      <c r="B7" s="2321" t="str">
        <f t="shared" ref="B7:B13" si="1">IF(A7=0,"","经营性")</f>
        <v>经营性</v>
      </c>
      <c r="C7" s="173" t="s">
        <v>3000</v>
      </c>
      <c r="D7" s="2292">
        <f>SUMIF(项目基本情况!D$15:I$15,C7,项目基本情况!D$18:I$18)</f>
        <v>40</v>
      </c>
      <c r="E7" s="2293">
        <f>IF(B7="","",SUMIF(项目基本情况!D$15:I$15,C7,项目基本情况!D$17:I$17))</f>
        <v>57396</v>
      </c>
      <c r="F7" s="174">
        <f>SUMIF(项目基本情况!D$15:I$15,C7,项目基本情况!D$19:I$19)</f>
        <v>37.54</v>
      </c>
      <c r="G7" s="175">
        <f t="shared" ref="G7:G11" si="2">IF(ISERROR(ROUND(POWER(1+H7,D7-F7)*(POWER(1+H7,F7)-1)/(POWER(1+H7,D7)-1),3)),0,ROUND(POWER(1+H7,D7-F7)*(POWER(1+H7,F7)-1)/(POWER(1+H7,D7)-1),3))</f>
        <v>0.97599999999999998</v>
      </c>
      <c r="H7" s="2974">
        <v>4.4999999999999998E-2</v>
      </c>
      <c r="I7" s="2974">
        <v>0.05</v>
      </c>
      <c r="J7" s="176">
        <v>8.5000000000000006E-2</v>
      </c>
      <c r="K7" s="179">
        <f>SUMIF('数据-汇总表'!C$19:C$33,'数据-取费表'!A7,'数据-汇总表'!E$19:E$33)</f>
        <v>38830.82</v>
      </c>
      <c r="L7" s="2975">
        <v>2000</v>
      </c>
      <c r="M7" s="177">
        <f t="shared" si="0"/>
        <v>7766</v>
      </c>
      <c r="N7" s="2976">
        <v>0</v>
      </c>
      <c r="O7" s="177">
        <f t="shared" ref="O7:O14" si="3">IF($N$5="成新度","——",ROUND(M7*N7,0))</f>
        <v>0</v>
      </c>
      <c r="P7" s="178">
        <f t="shared" ref="P7:P14" si="4">IF($N$5="成新度","——",M7-O7)</f>
        <v>7766</v>
      </c>
      <c r="Q7" s="2977">
        <v>0.05</v>
      </c>
      <c r="R7" s="179">
        <f>SUMIF('数据-汇总表'!C$19:C$33,A7,'数据-汇总表'!R$19:R$33)</f>
        <v>19572</v>
      </c>
      <c r="S7" s="132">
        <f>IF('数据-汇总表'!$I$17="按面积比例",SUMIF('数据-汇总表'!C$19:C$33,A7,'数据-汇总表'!K$19:K$33),SUMIF('数据-汇总表'!C$19:C$33,A7,'数据-汇总表'!N$19:N$33))</f>
        <v>2308.1</v>
      </c>
      <c r="T7" s="2218">
        <f t="shared" ref="T7:T13" si="5">IF($T$4="按面积比例",IF(ISERROR(ROUND($M$14*S7/S$16,0)),"0",ROUND($M$14*S7/S$16,0)),"需自行计算录入")</f>
        <v>462</v>
      </c>
      <c r="U7" s="180">
        <v>500</v>
      </c>
      <c r="V7" s="181">
        <v>0.02</v>
      </c>
      <c r="W7" s="181">
        <v>0.15</v>
      </c>
      <c r="X7" s="2305"/>
      <c r="Y7" s="182">
        <v>1</v>
      </c>
      <c r="Z7" s="183"/>
      <c r="AA7" s="176"/>
      <c r="AB7" s="176"/>
      <c r="AC7" s="2308"/>
      <c r="AD7" s="184"/>
      <c r="AE7" s="972">
        <f t="shared" ref="AE7:AE13" ca="1" si="6">IF(AN7="",0,SUMIF(INDIRECT("'"&amp;AN7&amp;"'"&amp;"!E:E"),$AE$5,INDIRECT("'"&amp;AN7&amp;"'"&amp;"!F:F")))</f>
        <v>35.54</v>
      </c>
      <c r="AF7" s="141"/>
      <c r="AG7" s="1209">
        <f t="shared" ref="AG7:AG13" si="7">IF(AF7="",0,AE7-AF7)</f>
        <v>0</v>
      </c>
      <c r="AH7" s="141">
        <f>ROUNDDOWN(K7/45,0)</f>
        <v>862</v>
      </c>
      <c r="AI7" s="187">
        <v>12</v>
      </c>
      <c r="AJ7" s="188"/>
      <c r="AK7" s="189">
        <v>1.4999999999999999E-2</v>
      </c>
      <c r="AL7" s="190">
        <v>1.5E-3</v>
      </c>
      <c r="AM7" s="2353">
        <v>0.01</v>
      </c>
      <c r="AN7" s="2355" t="s">
        <v>3250</v>
      </c>
      <c r="AO7" s="1984"/>
      <c r="AP7" s="1200">
        <f t="shared" ref="AP7:AP13" si="8">ROUND(1-1/(1+H7)^F7,3)</f>
        <v>0.80800000000000005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5840.6599999999989</v>
      </c>
      <c r="L14" s="193">
        <v>2000</v>
      </c>
      <c r="M14" s="177">
        <f t="shared" si="0"/>
        <v>1168</v>
      </c>
      <c r="N14" s="194">
        <f>N6</f>
        <v>0</v>
      </c>
      <c r="O14" s="177">
        <f t="shared" si="3"/>
        <v>0</v>
      </c>
      <c r="P14" s="178">
        <f t="shared" si="4"/>
        <v>1168</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0.97799999999999998</v>
      </c>
      <c r="H16" s="203">
        <f>ROUND(SUMPRODUCT(H6:H13,K6:K13)/SUMPRODUCT((H6:H13&gt;0)*(K6:K13)),3)</f>
        <v>4.8000000000000001E-2</v>
      </c>
      <c r="I16" s="204"/>
      <c r="J16" s="204"/>
      <c r="K16" s="205">
        <f>SUM(K6:K15)</f>
        <v>104102.39999999999</v>
      </c>
      <c r="L16" s="206">
        <f>ROUND(M16*10000/SUM(K6:K14),0)</f>
        <v>2571</v>
      </c>
      <c r="M16" s="206">
        <f>SUM(M6:M14)</f>
        <v>26763</v>
      </c>
      <c r="N16" s="207">
        <f>ROUND(SUMPRODUCT(M6:M14,N6:N14)/M16,3)</f>
        <v>0</v>
      </c>
      <c r="O16" s="206">
        <f>SUM(O6:O14)</f>
        <v>0</v>
      </c>
      <c r="P16" s="206">
        <f>SUM(P6:P14)</f>
        <v>26763</v>
      </c>
      <c r="Q16" s="208">
        <f>ROUND(SUMPRODUCT(Q6:Q13,K6:K13)/SUMPRODUCT((Q6:Q13&gt;0)*(K6:K13)),2)</f>
        <v>0.11</v>
      </c>
      <c r="R16" s="2295">
        <f>SUM(R6:R13)</f>
        <v>49527.11</v>
      </c>
      <c r="S16" s="209">
        <f>SUM(S6:S13)</f>
        <v>5840.66</v>
      </c>
      <c r="T16" s="210">
        <f>IF(SUMIF(T6:T13,"&lt;9E307")=M14,SUMIF(T6:T13,"&lt;9E307"),"有误，请检查")</f>
        <v>1168</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0.82699999999999996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290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320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f>ROUND(B28*K16/10000,0)</f>
        <v>3331</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319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2"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3"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3"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4" t="s">
        <v>2904</v>
      </c>
      <c r="D53" s="3025"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7" t="s">
        <v>2906</v>
      </c>
      <c r="B54" s="186"/>
      <c r="C54" s="1978">
        <v>30</v>
      </c>
      <c r="D54" s="302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7" t="s">
        <v>2907</v>
      </c>
      <c r="B55" s="186"/>
      <c r="C55" s="1978">
        <v>24</v>
      </c>
      <c r="D55" s="302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7" t="s">
        <v>2908</v>
      </c>
      <c r="B56" s="186"/>
      <c r="C56" s="1978">
        <v>18</v>
      </c>
      <c r="D56" s="302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7" t="s">
        <v>2909</v>
      </c>
      <c r="B57" s="186">
        <v>10</v>
      </c>
      <c r="C57" s="1978">
        <v>12</v>
      </c>
      <c r="D57" s="302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7" t="s">
        <v>2910</v>
      </c>
      <c r="B58" s="186"/>
      <c r="C58" s="1978">
        <v>3</v>
      </c>
      <c r="D58" s="302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7" t="s">
        <v>2911</v>
      </c>
      <c r="B59" s="186"/>
      <c r="C59" s="1978">
        <v>1.5</v>
      </c>
      <c r="D59" s="302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7"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7"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7"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8"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O17" sqref="O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0" t="s">
        <v>1663</v>
      </c>
      <c r="B1" s="3281"/>
      <c r="C1" s="3281"/>
      <c r="D1" s="3281"/>
      <c r="E1" s="3281"/>
      <c r="F1" s="3281"/>
      <c r="G1" s="3281"/>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29"/>
      <c r="D3" s="1993"/>
      <c r="E3" s="1225" t="s">
        <v>1666</v>
      </c>
      <c r="F3" s="1226" t="s">
        <v>1654</v>
      </c>
      <c r="G3" s="3033" t="s">
        <v>2920</v>
      </c>
      <c r="H3" s="1992"/>
      <c r="I3" s="1992"/>
      <c r="J3" s="1992"/>
      <c r="K3" s="1992"/>
      <c r="L3" s="1992"/>
      <c r="M3" s="1992"/>
      <c r="N3" s="1992"/>
      <c r="O3" s="1992"/>
      <c r="P3" s="1992"/>
      <c r="Q3" s="1992"/>
      <c r="R3" s="1992"/>
    </row>
    <row r="4" spans="1:18" ht="40.5">
      <c r="A4" s="1225"/>
      <c r="B4" s="1227" t="s">
        <v>1667</v>
      </c>
      <c r="C4" s="3030"/>
      <c r="D4" s="1993"/>
      <c r="E4" s="1228"/>
      <c r="F4" s="1229" t="s">
        <v>1668</v>
      </c>
      <c r="G4" s="3031" t="s">
        <v>2917</v>
      </c>
      <c r="H4" s="1992"/>
      <c r="I4" s="1992"/>
      <c r="J4" s="1992"/>
      <c r="K4" s="1992"/>
      <c r="L4" s="1992"/>
      <c r="M4" s="1992"/>
      <c r="N4" s="1992"/>
      <c r="O4" s="1992"/>
      <c r="P4" s="1992"/>
      <c r="Q4" s="1992"/>
      <c r="R4" s="1992"/>
    </row>
    <row r="5" spans="1:18" ht="27">
      <c r="A5" s="1225"/>
      <c r="B5" s="1227" t="s">
        <v>1669</v>
      </c>
      <c r="C5" s="3185" t="s">
        <v>3050</v>
      </c>
      <c r="D5" s="1993"/>
      <c r="E5" s="1228"/>
      <c r="F5" s="1227" t="s">
        <v>2546</v>
      </c>
      <c r="G5" s="3031" t="s">
        <v>2918</v>
      </c>
      <c r="H5" s="1992"/>
      <c r="I5" s="1992"/>
      <c r="J5" s="1992"/>
      <c r="K5" s="1992"/>
      <c r="L5" s="1992"/>
      <c r="M5" s="1992"/>
      <c r="N5" s="1992"/>
      <c r="O5" s="1992"/>
      <c r="P5" s="1992"/>
      <c r="Q5" s="1992"/>
      <c r="R5" s="1992"/>
    </row>
    <row r="6" spans="1:18" ht="27">
      <c r="A6" s="1225"/>
      <c r="B6" s="1227" t="s">
        <v>1655</v>
      </c>
      <c r="C6" s="3185" t="s">
        <v>3049</v>
      </c>
      <c r="D6" s="1993"/>
      <c r="E6" s="1228"/>
      <c r="F6" s="1227" t="s">
        <v>2547</v>
      </c>
      <c r="G6" s="3031" t="s">
        <v>2916</v>
      </c>
      <c r="H6" s="1992"/>
      <c r="I6" s="1992"/>
      <c r="J6" s="1992"/>
      <c r="K6" s="1992"/>
      <c r="L6" s="1992"/>
      <c r="M6" s="1992"/>
      <c r="N6" s="1992"/>
      <c r="O6" s="1992"/>
      <c r="P6" s="1992"/>
      <c r="Q6" s="1992"/>
      <c r="R6" s="1992"/>
    </row>
    <row r="7" spans="1:18" ht="41.25" thickBot="1">
      <c r="A7" s="1225"/>
      <c r="B7" s="1227" t="s">
        <v>2546</v>
      </c>
      <c r="C7" s="3186" t="s">
        <v>3050</v>
      </c>
      <c r="D7" s="1994"/>
      <c r="E7" s="1230"/>
      <c r="F7" s="1231" t="s">
        <v>1670</v>
      </c>
      <c r="G7" s="3034" t="s">
        <v>2919</v>
      </c>
      <c r="H7" s="1992"/>
      <c r="I7" s="1992"/>
      <c r="J7" s="1992"/>
      <c r="K7" s="1992"/>
      <c r="L7" s="1992"/>
      <c r="M7" s="1992"/>
      <c r="N7" s="1992"/>
      <c r="O7" s="1992"/>
      <c r="P7" s="1992"/>
      <c r="Q7" s="1992"/>
      <c r="R7" s="1992"/>
    </row>
    <row r="8" spans="1:18">
      <c r="A8" s="1225"/>
      <c r="B8" s="1227" t="s">
        <v>2547</v>
      </c>
      <c r="C8" s="3186" t="s">
        <v>3052</v>
      </c>
      <c r="D8" s="1994"/>
      <c r="E8" s="1994"/>
      <c r="F8" s="1539"/>
      <c r="G8" s="1539"/>
      <c r="H8" s="1992"/>
      <c r="I8" s="1992"/>
      <c r="J8" s="1992"/>
      <c r="K8" s="1992"/>
      <c r="L8" s="1992"/>
      <c r="M8" s="1992"/>
      <c r="N8" s="1992"/>
      <c r="O8" s="1992"/>
      <c r="P8" s="1992"/>
      <c r="Q8" s="1992"/>
      <c r="R8" s="1992"/>
    </row>
    <row r="9" spans="1:18">
      <c r="A9" s="1225"/>
      <c r="B9" s="1227" t="s">
        <v>1656</v>
      </c>
      <c r="C9" s="3185" t="s">
        <v>3049</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t="str">
        <f>C5</f>
        <v>一般</v>
      </c>
      <c r="D17" s="1994"/>
      <c r="E17" s="2549"/>
      <c r="F17" s="1243" t="s">
        <v>1674</v>
      </c>
      <c r="G17" s="2749"/>
    </row>
    <row r="18" spans="1:7" ht="40.5">
      <c r="A18" s="2552"/>
      <c r="B18" s="1243" t="s">
        <v>1655</v>
      </c>
      <c r="C18" s="1005" t="str">
        <f>C6</f>
        <v>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27">
      <c r="A20" s="2552"/>
      <c r="B20" s="1243" t="s">
        <v>1660</v>
      </c>
      <c r="C20" s="1242" t="str">
        <f>C9</f>
        <v>较好</v>
      </c>
      <c r="D20" s="1994"/>
      <c r="E20" s="2549"/>
      <c r="F20" s="1227" t="s">
        <v>2547</v>
      </c>
      <c r="G20" s="1005" t="str">
        <f>G6</f>
        <v>估价对象所在区域基础设施水平</v>
      </c>
    </row>
    <row r="21" spans="1:7" ht="14.25">
      <c r="A21" s="2552"/>
      <c r="B21" s="1227" t="s">
        <v>2546</v>
      </c>
      <c r="C21" s="1005" t="str">
        <f>C7</f>
        <v>一般</v>
      </c>
      <c r="D21" s="1993"/>
      <c r="E21" s="2549"/>
      <c r="F21" s="1243" t="s">
        <v>1661</v>
      </c>
      <c r="G21" s="3035"/>
    </row>
    <row r="22" spans="1:7" ht="14.25">
      <c r="A22" s="2552"/>
      <c r="B22" s="1227" t="s">
        <v>2547</v>
      </c>
      <c r="C22" s="1005" t="str">
        <f>C8</f>
        <v>六通</v>
      </c>
      <c r="D22" s="1993"/>
      <c r="E22" s="2549"/>
      <c r="F22" s="1243" t="s">
        <v>1671</v>
      </c>
      <c r="G22" s="2749"/>
    </row>
    <row r="23" spans="1:7" ht="15" thickBot="1">
      <c r="A23" s="2552"/>
      <c r="B23" s="1243" t="s">
        <v>1661</v>
      </c>
      <c r="C23" s="3035"/>
      <c r="E23" s="2550"/>
      <c r="F23" s="1244" t="s">
        <v>1675</v>
      </c>
      <c r="G23" s="3036"/>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6:B17"/>
    </sheetView>
  </sheetViews>
  <sheetFormatPr defaultColWidth="14.625" defaultRowHeight="13.5"/>
  <cols>
    <col min="1" max="1" width="24.375" customWidth="1"/>
  </cols>
  <sheetData>
    <row r="1" spans="1:9" ht="16.5">
      <c r="A1" s="2993" t="s">
        <v>2844</v>
      </c>
      <c r="B1" s="2993">
        <f>SUM(B14:B23)</f>
        <v>104102.39999999998</v>
      </c>
      <c r="C1" s="2994"/>
      <c r="D1" s="2994"/>
      <c r="E1" s="2994"/>
      <c r="F1" s="2994"/>
    </row>
    <row r="2" spans="1:9" ht="16.5">
      <c r="A2" s="2993" t="s">
        <v>2845</v>
      </c>
      <c r="B2" s="2993">
        <f>SUM(C14:C23)</f>
        <v>49527.1</v>
      </c>
      <c r="C2" s="2994"/>
      <c r="D2" s="2994"/>
      <c r="E2" s="2994"/>
      <c r="F2" s="2994"/>
    </row>
    <row r="3" spans="1:9" ht="16.5">
      <c r="A3" s="2993" t="s">
        <v>2846</v>
      </c>
      <c r="B3" s="2995">
        <f>项目基本情况!D3</f>
        <v>43693</v>
      </c>
      <c r="C3" s="2994"/>
      <c r="D3" s="2994"/>
      <c r="E3" s="2994"/>
      <c r="F3" s="2994"/>
    </row>
    <row r="4" spans="1:9" ht="33">
      <c r="A4" s="2993" t="s">
        <v>2847</v>
      </c>
      <c r="B4" s="2993" t="s">
        <v>2848</v>
      </c>
      <c r="C4" s="2993" t="s">
        <v>2849</v>
      </c>
      <c r="D4" s="2993" t="s">
        <v>2850</v>
      </c>
      <c r="E4" s="2994"/>
      <c r="F4" s="2994"/>
    </row>
    <row r="5" spans="1:9" ht="16.5">
      <c r="A5" s="2993" t="s">
        <v>2851</v>
      </c>
      <c r="B5" s="2993">
        <f ca="1">SUM(D14:D23)</f>
        <v>18474</v>
      </c>
      <c r="C5" s="2993">
        <f ca="1">ROUND(B5*10000/$B$1,0)</f>
        <v>1775</v>
      </c>
      <c r="D5" s="2993">
        <f ca="1">ROUND(B5*10000/$B$2,0)</f>
        <v>3730</v>
      </c>
      <c r="E5" s="2994"/>
      <c r="F5" s="2994"/>
    </row>
    <row r="6" spans="1:9" ht="16.5">
      <c r="A6" s="2993" t="s">
        <v>2852</v>
      </c>
      <c r="B6" s="2993">
        <f ca="1">SUM(G14:G23)</f>
        <v>18474</v>
      </c>
      <c r="C6" s="2993">
        <f t="shared" ref="C6:C8" ca="1" si="0">ROUND(B6*10000/$B$1,0)</f>
        <v>1775</v>
      </c>
      <c r="D6" s="2993">
        <f t="shared" ref="D6:D8" ca="1" si="1">ROUND(B6*10000/$B$2,0)</f>
        <v>3730</v>
      </c>
      <c r="E6" s="2994"/>
      <c r="F6" s="2994"/>
    </row>
    <row r="7" spans="1:9" ht="16.5">
      <c r="A7" s="2993" t="s">
        <v>2853</v>
      </c>
      <c r="B7" s="2993">
        <f>SUM(H14:H23)</f>
        <v>0</v>
      </c>
      <c r="C7" s="2993">
        <f t="shared" si="0"/>
        <v>0</v>
      </c>
      <c r="D7" s="2993">
        <f t="shared" si="1"/>
        <v>0</v>
      </c>
      <c r="E7" s="2994"/>
      <c r="F7" s="2994"/>
    </row>
    <row r="8" spans="1:9" ht="16.5">
      <c r="A8" s="2993" t="s">
        <v>2854</v>
      </c>
      <c r="B8" s="2993">
        <f>SUM(I14:I23)</f>
        <v>0</v>
      </c>
      <c r="C8" s="2993">
        <f t="shared" si="0"/>
        <v>0</v>
      </c>
      <c r="D8" s="2993">
        <f t="shared" si="1"/>
        <v>0</v>
      </c>
      <c r="E8" s="2994"/>
      <c r="F8" s="2994"/>
    </row>
    <row r="9" spans="1:9" ht="16.5">
      <c r="A9" s="2993" t="s">
        <v>2855</v>
      </c>
      <c r="B9" s="2996"/>
      <c r="C9" s="2994"/>
      <c r="D9" s="2994"/>
      <c r="E9" s="2994"/>
      <c r="F9" s="2994"/>
    </row>
    <row r="10" spans="1:9" ht="16.5">
      <c r="A10" s="2993" t="s">
        <v>2856</v>
      </c>
      <c r="B10" s="2996"/>
      <c r="C10" s="2994"/>
      <c r="D10" s="2994"/>
      <c r="E10" s="2994"/>
      <c r="F10" s="2994"/>
    </row>
    <row r="11" spans="1:9" ht="16.5">
      <c r="A11" s="2993" t="s">
        <v>2873</v>
      </c>
      <c r="B11" s="2996"/>
      <c r="C11" s="2994"/>
      <c r="D11" s="2994"/>
      <c r="E11" s="2994"/>
      <c r="F11" s="2994"/>
    </row>
    <row r="12" spans="1:9" ht="16.5">
      <c r="A12" s="2994"/>
      <c r="B12" s="2994"/>
      <c r="C12" s="2994"/>
      <c r="D12" s="2994"/>
      <c r="E12" s="2994"/>
      <c r="F12" s="2994"/>
    </row>
    <row r="13" spans="1:9" ht="33">
      <c r="A13" s="2999" t="s">
        <v>2872</v>
      </c>
      <c r="B13" s="2997" t="s">
        <v>2844</v>
      </c>
      <c r="C13" s="2997" t="s">
        <v>2845</v>
      </c>
      <c r="D13" s="2997" t="s">
        <v>2857</v>
      </c>
      <c r="E13" s="2993" t="s">
        <v>2871</v>
      </c>
      <c r="F13" s="2993" t="s">
        <v>2850</v>
      </c>
      <c r="G13" s="2997" t="s">
        <v>2858</v>
      </c>
      <c r="H13" s="2997" t="s">
        <v>2859</v>
      </c>
      <c r="I13" s="2997" t="s">
        <v>2860</v>
      </c>
    </row>
    <row r="14" spans="1:9" ht="16.5">
      <c r="A14" s="3000" t="s">
        <v>2870</v>
      </c>
      <c r="B14" s="2997">
        <f>结果表!L38</f>
        <v>104102.39999999998</v>
      </c>
      <c r="C14" s="2997">
        <f>结果表!K38</f>
        <v>49527.1</v>
      </c>
      <c r="D14" s="2997">
        <f ca="1">结果表!C42</f>
        <v>18474</v>
      </c>
      <c r="E14" s="2997">
        <f ca="1">ROUND(D14*10000/B14,0)</f>
        <v>1775</v>
      </c>
      <c r="F14" s="2997">
        <f ca="1">ROUND(D14*10000/C14,0)</f>
        <v>3730</v>
      </c>
      <c r="G14" s="2997">
        <f ca="1">结果表!C44</f>
        <v>18474</v>
      </c>
      <c r="H14" s="2997" t="str">
        <f>结果表!C45</f>
        <v>——</v>
      </c>
      <c r="I14" s="2997" t="str">
        <f>结果表!C46</f>
        <v>——</v>
      </c>
    </row>
    <row r="15" spans="1:9" ht="16.5">
      <c r="A15" s="3000" t="s">
        <v>2861</v>
      </c>
      <c r="B15" s="3001"/>
      <c r="C15" s="3001"/>
      <c r="D15" s="3001"/>
      <c r="E15" s="2997" t="e">
        <f t="shared" ref="E15:E23" si="2">ROUND(D15*10000/B15,0)</f>
        <v>#DIV/0!</v>
      </c>
      <c r="F15" s="2997" t="e">
        <f t="shared" ref="F15:F23" si="3">ROUND(D15*10000/C15,0)</f>
        <v>#DIV/0!</v>
      </c>
      <c r="G15" s="2998"/>
      <c r="H15" s="2998"/>
      <c r="I15" s="3001"/>
    </row>
    <row r="16" spans="1:9" ht="16.5">
      <c r="A16" s="3000" t="s">
        <v>2862</v>
      </c>
      <c r="B16" s="3001"/>
      <c r="C16" s="3001"/>
      <c r="D16" s="3001"/>
      <c r="E16" s="2997" t="e">
        <f t="shared" si="2"/>
        <v>#DIV/0!</v>
      </c>
      <c r="F16" s="2997" t="e">
        <f t="shared" si="3"/>
        <v>#DIV/0!</v>
      </c>
      <c r="G16" s="2998"/>
      <c r="H16" s="2998"/>
      <c r="I16" s="3001"/>
    </row>
    <row r="17" spans="1:9" ht="16.5">
      <c r="A17" s="3000" t="s">
        <v>2863</v>
      </c>
      <c r="B17" s="3001"/>
      <c r="C17" s="3001"/>
      <c r="D17" s="3001"/>
      <c r="E17" s="2997" t="e">
        <f t="shared" si="2"/>
        <v>#DIV/0!</v>
      </c>
      <c r="F17" s="2997" t="e">
        <f t="shared" si="3"/>
        <v>#DIV/0!</v>
      </c>
      <c r="G17" s="2998"/>
      <c r="H17" s="2998"/>
      <c r="I17" s="3001"/>
    </row>
    <row r="18" spans="1:9" ht="16.5">
      <c r="A18" s="3000" t="s">
        <v>2864</v>
      </c>
      <c r="B18" s="3001"/>
      <c r="C18" s="3001"/>
      <c r="D18" s="3001"/>
      <c r="E18" s="2997" t="e">
        <f t="shared" si="2"/>
        <v>#DIV/0!</v>
      </c>
      <c r="F18" s="2997" t="e">
        <f t="shared" si="3"/>
        <v>#DIV/0!</v>
      </c>
      <c r="G18" s="3001"/>
      <c r="H18" s="3001"/>
      <c r="I18" s="3001"/>
    </row>
    <row r="19" spans="1:9" ht="16.5">
      <c r="A19" s="3000" t="s">
        <v>2865</v>
      </c>
      <c r="B19" s="3001"/>
      <c r="C19" s="3001"/>
      <c r="D19" s="3001"/>
      <c r="E19" s="2997" t="e">
        <f t="shared" si="2"/>
        <v>#DIV/0!</v>
      </c>
      <c r="F19" s="2997" t="e">
        <f t="shared" si="3"/>
        <v>#DIV/0!</v>
      </c>
      <c r="G19" s="3001"/>
      <c r="H19" s="3001"/>
      <c r="I19" s="3001"/>
    </row>
    <row r="20" spans="1:9" ht="16.5">
      <c r="A20" s="3000" t="s">
        <v>2866</v>
      </c>
      <c r="B20" s="3001"/>
      <c r="C20" s="3001"/>
      <c r="D20" s="3001"/>
      <c r="E20" s="2997" t="e">
        <f t="shared" si="2"/>
        <v>#DIV/0!</v>
      </c>
      <c r="F20" s="2997" t="e">
        <f t="shared" si="3"/>
        <v>#DIV/0!</v>
      </c>
      <c r="G20" s="3001"/>
      <c r="H20" s="3001"/>
      <c r="I20" s="3001"/>
    </row>
    <row r="21" spans="1:9" ht="16.5">
      <c r="A21" s="3000" t="s">
        <v>2867</v>
      </c>
      <c r="B21" s="3001"/>
      <c r="C21" s="3001"/>
      <c r="D21" s="3001"/>
      <c r="E21" s="2997" t="e">
        <f t="shared" si="2"/>
        <v>#DIV/0!</v>
      </c>
      <c r="F21" s="2997" t="e">
        <f t="shared" si="3"/>
        <v>#DIV/0!</v>
      </c>
      <c r="G21" s="3001"/>
      <c r="H21" s="3001"/>
      <c r="I21" s="3001"/>
    </row>
    <row r="22" spans="1:9" ht="16.5">
      <c r="A22" s="3000" t="s">
        <v>2868</v>
      </c>
      <c r="B22" s="3001"/>
      <c r="C22" s="3001"/>
      <c r="D22" s="3001"/>
      <c r="E22" s="2997" t="e">
        <f t="shared" si="2"/>
        <v>#DIV/0!</v>
      </c>
      <c r="F22" s="2997" t="e">
        <f t="shared" si="3"/>
        <v>#DIV/0!</v>
      </c>
      <c r="G22" s="3001"/>
      <c r="H22" s="3001"/>
      <c r="I22" s="3001"/>
    </row>
    <row r="23" spans="1:9" ht="16.5">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K34" zoomScaleNormal="100" zoomScaleSheetLayoutView="100" zoomScalePageLayoutView="80" workbookViewId="0">
      <selection activeCell="L43" sqref="L43:L4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t="s">
        <v>3044</v>
      </c>
      <c r="G1" s="311"/>
      <c r="H1" s="311"/>
      <c r="I1" s="311"/>
      <c r="J1" s="2013"/>
      <c r="K1" s="2013"/>
      <c r="L1" s="2013"/>
      <c r="M1" s="2013"/>
      <c r="N1" s="2013"/>
      <c r="O1" s="2013"/>
      <c r="P1" s="2013"/>
      <c r="Q1" s="2013"/>
      <c r="R1" s="2013"/>
      <c r="S1" s="2013"/>
      <c r="T1" s="2013"/>
      <c r="U1" s="2013"/>
      <c r="V1" s="2013"/>
    </row>
    <row r="2" spans="1:22" ht="21.75" customHeight="1" thickBot="1">
      <c r="A2" s="3327" t="str">
        <f>项目基本情况!K2</f>
        <v>天津市东丽区东丽湖银桂道以南、景福路以东出让国有建设用地使用权</v>
      </c>
      <c r="B2" s="3328"/>
      <c r="C2" s="3329"/>
      <c r="D2" s="3329"/>
      <c r="E2" s="3329"/>
      <c r="F2" s="3329"/>
      <c r="G2" s="3328"/>
      <c r="H2" s="3328"/>
      <c r="I2" s="3330"/>
      <c r="J2" s="2014"/>
      <c r="K2" s="2013"/>
      <c r="L2" s="2013"/>
      <c r="M2" s="2013"/>
      <c r="N2" s="2013"/>
      <c r="O2" s="2013"/>
      <c r="P2" s="2013"/>
      <c r="Q2" s="2013"/>
      <c r="R2" s="2013"/>
      <c r="S2" s="2013"/>
      <c r="T2" s="2013"/>
      <c r="U2" s="2013"/>
      <c r="V2" s="2013"/>
    </row>
    <row r="3" spans="1:22" ht="14.25">
      <c r="A3" s="3338" t="s">
        <v>298</v>
      </c>
      <c r="B3" s="3339"/>
      <c r="C3" s="3339"/>
      <c r="D3" s="3339"/>
      <c r="E3" s="3339"/>
      <c r="F3" s="3339"/>
      <c r="G3" s="3339"/>
      <c r="H3" s="3339"/>
      <c r="I3" s="3339"/>
      <c r="J3" s="2014"/>
      <c r="K3" s="2013"/>
      <c r="L3" s="2013"/>
      <c r="M3" s="2013"/>
      <c r="N3" s="2013"/>
      <c r="O3" s="2013"/>
      <c r="P3" s="2013"/>
      <c r="Q3" s="2013"/>
      <c r="R3" s="2013"/>
      <c r="S3" s="2013"/>
      <c r="T3" s="2013"/>
      <c r="U3" s="2013"/>
      <c r="V3" s="2013"/>
    </row>
    <row r="4" spans="1:22" ht="14.25">
      <c r="A4" s="258" t="s">
        <v>299</v>
      </c>
      <c r="B4" s="259" t="s">
        <v>300</v>
      </c>
      <c r="C4" s="260" t="s">
        <v>3045</v>
      </c>
      <c r="D4" s="260" t="s">
        <v>3046</v>
      </c>
      <c r="E4" s="3302" t="s">
        <v>301</v>
      </c>
      <c r="F4" s="3344"/>
      <c r="G4" s="3344"/>
      <c r="H4" s="3344"/>
      <c r="I4" s="330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1" t="s">
        <v>302</v>
      </c>
      <c r="B5" s="3332">
        <v>25</v>
      </c>
      <c r="C5" s="3340"/>
      <c r="D5" s="3343"/>
      <c r="E5" s="261" t="s">
        <v>303</v>
      </c>
      <c r="F5" s="262"/>
      <c r="G5" s="262"/>
      <c r="H5" s="262"/>
      <c r="I5" s="263"/>
      <c r="J5" s="2014"/>
      <c r="K5" s="2013"/>
      <c r="L5" s="2013"/>
      <c r="M5" s="2013"/>
      <c r="N5" s="2013"/>
      <c r="O5" s="2013"/>
      <c r="P5" s="2013"/>
      <c r="Q5" s="2013"/>
      <c r="R5" s="2013"/>
      <c r="S5" s="2013"/>
      <c r="T5" s="2013"/>
      <c r="U5" s="2013"/>
      <c r="V5" s="2013"/>
    </row>
    <row r="6" spans="1:22" ht="14.25">
      <c r="A6" s="3331"/>
      <c r="B6" s="3332"/>
      <c r="C6" s="3341"/>
      <c r="D6" s="3343"/>
      <c r="E6" s="261" t="s">
        <v>304</v>
      </c>
      <c r="F6" s="262"/>
      <c r="G6" s="262"/>
      <c r="H6" s="262"/>
      <c r="I6" s="263"/>
      <c r="J6" s="2014"/>
      <c r="K6" s="2013"/>
      <c r="L6" s="2013"/>
      <c r="M6" s="2013"/>
      <c r="N6" s="2013"/>
      <c r="O6" s="2013"/>
      <c r="P6" s="2013"/>
      <c r="Q6" s="2013"/>
      <c r="R6" s="2013"/>
      <c r="S6" s="2013"/>
      <c r="T6" s="2013"/>
      <c r="U6" s="2013"/>
      <c r="V6" s="2013"/>
    </row>
    <row r="7" spans="1:22" ht="14.25">
      <c r="A7" s="3331"/>
      <c r="B7" s="3332"/>
      <c r="C7" s="3342"/>
      <c r="D7" s="3343"/>
      <c r="E7" s="261" t="s">
        <v>305</v>
      </c>
      <c r="F7" s="262"/>
      <c r="G7" s="262"/>
      <c r="H7" s="262"/>
      <c r="I7" s="263"/>
      <c r="J7" s="2014"/>
      <c r="K7" s="2013"/>
      <c r="L7" s="2013"/>
      <c r="M7" s="2013"/>
      <c r="N7" s="2013"/>
      <c r="O7" s="2013"/>
      <c r="P7" s="2013"/>
      <c r="Q7" s="2013"/>
      <c r="R7" s="2013"/>
      <c r="S7" s="2013"/>
      <c r="T7" s="2013"/>
      <c r="U7" s="2013"/>
      <c r="V7" s="2013"/>
    </row>
    <row r="8" spans="1:22" ht="14.25">
      <c r="A8" s="3331" t="s">
        <v>306</v>
      </c>
      <c r="B8" s="3332">
        <v>15</v>
      </c>
      <c r="C8" s="3340"/>
      <c r="D8" s="3343"/>
      <c r="E8" s="261" t="s">
        <v>307</v>
      </c>
      <c r="F8" s="262"/>
      <c r="G8" s="262"/>
      <c r="H8" s="262"/>
      <c r="I8" s="263"/>
      <c r="J8" s="2014"/>
      <c r="K8" s="2013"/>
      <c r="L8" s="2013"/>
      <c r="M8" s="2013"/>
      <c r="N8" s="2013"/>
      <c r="O8" s="2013"/>
      <c r="P8" s="2013"/>
      <c r="Q8" s="2013"/>
      <c r="R8" s="2013"/>
      <c r="S8" s="2013"/>
      <c r="T8" s="2013"/>
      <c r="U8" s="2013"/>
      <c r="V8" s="2013"/>
    </row>
    <row r="9" spans="1:22" ht="14.25">
      <c r="A9" s="3331"/>
      <c r="B9" s="3332"/>
      <c r="C9" s="3342"/>
      <c r="D9" s="3343"/>
      <c r="E9" s="261" t="s">
        <v>308</v>
      </c>
      <c r="F9" s="262"/>
      <c r="G9" s="262"/>
      <c r="H9" s="262"/>
      <c r="I9" s="263"/>
      <c r="J9" s="2014"/>
      <c r="K9" s="2013"/>
      <c r="L9" s="2013"/>
      <c r="M9" s="2013"/>
      <c r="N9" s="2013"/>
      <c r="O9" s="2013"/>
      <c r="P9" s="2013"/>
      <c r="Q9" s="2013"/>
      <c r="R9" s="2013"/>
      <c r="S9" s="2013"/>
      <c r="T9" s="2013"/>
      <c r="U9" s="2013"/>
      <c r="V9" s="2013"/>
    </row>
    <row r="10" spans="1:22" ht="14.25">
      <c r="A10" s="3331" t="s">
        <v>309</v>
      </c>
      <c r="B10" s="3332">
        <v>15</v>
      </c>
      <c r="C10" s="3340"/>
      <c r="D10" s="3343"/>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1"/>
      <c r="B11" s="3332"/>
      <c r="C11" s="3342"/>
      <c r="D11" s="3343"/>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1" t="s">
        <v>312</v>
      </c>
      <c r="B12" s="3332">
        <v>15</v>
      </c>
      <c r="C12" s="3340"/>
      <c r="D12" s="3343"/>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1"/>
      <c r="B13" s="3332"/>
      <c r="C13" s="3342"/>
      <c r="D13" s="3343"/>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1" t="s">
        <v>315</v>
      </c>
      <c r="B14" s="3332">
        <v>30</v>
      </c>
      <c r="C14" s="3340">
        <v>5</v>
      </c>
      <c r="D14" s="3343">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1"/>
      <c r="B15" s="3332"/>
      <c r="C15" s="3341"/>
      <c r="D15" s="3343"/>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1"/>
      <c r="B16" s="3332"/>
      <c r="C16" s="3342"/>
      <c r="D16" s="334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16771</v>
      </c>
      <c r="D19" s="271">
        <f ca="1">SUMIF(INDIRECT("'"&amp;D4&amp;"'"&amp;"!A:A"),结果表!B19,INDIRECT("'"&amp;D4&amp;"'"&amp;"!B:B"))</f>
        <v>20177</v>
      </c>
      <c r="E19" s="268" t="s">
        <v>323</v>
      </c>
      <c r="F19" s="269" t="s">
        <v>322</v>
      </c>
      <c r="G19" s="272">
        <f ca="1">ROUND(C19*$C$18+D19*$D$18,0)</f>
        <v>18474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1611</v>
      </c>
      <c r="D20" s="277">
        <f ca="1">SUMIF(INDIRECT("'"&amp;D4&amp;"'"&amp;"!A:A"),结果表!B20,INDIRECT("'"&amp;D4&amp;"'"&amp;"!B:B"))</f>
        <v>1938</v>
      </c>
      <c r="E20" s="274"/>
      <c r="F20" s="275" t="s">
        <v>325</v>
      </c>
      <c r="G20" s="278">
        <f ca="1">ROUND(C20*$C$18+D20*$D$18,0)</f>
        <v>1775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3386</v>
      </c>
      <c r="D21" s="151">
        <f ca="1">SUMIF(INDIRECT("'"&amp;D4&amp;"'"&amp;"!A:A"),结果表!B21,INDIRECT("'"&amp;D4&amp;"'"&amp;"!B:B"))</f>
        <v>4074</v>
      </c>
      <c r="E21" s="274"/>
      <c r="F21" s="280" t="s">
        <v>327</v>
      </c>
      <c r="G21" s="282">
        <f ca="1">ROUND(C21*$C$18+D21*$D$18,0)</f>
        <v>3730</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0.20308866495736688</v>
      </c>
      <c r="E22" s="284"/>
      <c r="F22" s="285"/>
      <c r="G22" s="286">
        <f ca="1">ROUND(G19/('数据-汇总表'!D3/666.67),0)</f>
        <v>249</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6"/>
      <c r="B25" s="1317" t="s">
        <v>331</v>
      </c>
      <c r="C25" s="290">
        <f>IF(B30=0,0,C30)</f>
        <v>0</v>
      </c>
      <c r="D25" s="291"/>
      <c r="E25" s="311"/>
      <c r="F25" s="311"/>
      <c r="G25" s="311"/>
      <c r="H25" s="311"/>
      <c r="I25" s="311"/>
      <c r="J25" s="2013"/>
      <c r="K25" s="1251" t="str">
        <f ca="1">项目基本情况!B16&amp;"国有建设用地使用权价格："&amp;O38&amp;"万元"</f>
        <v>出让国有建设用地使用权价格：18474万元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大写金额：人民币壹亿捌仟肆佰柒拾肆万元整</v>
      </c>
      <c r="L26" s="1248"/>
      <c r="M26" s="1248"/>
      <c r="N26" s="1248"/>
      <c r="O26" s="1247"/>
      <c r="P26" s="2013"/>
      <c r="Q26" s="2013"/>
      <c r="R26" s="2013"/>
      <c r="S26" s="2013"/>
      <c r="T26" s="2013"/>
      <c r="U26" s="2013"/>
      <c r="V26" s="2013"/>
      <c r="W26" s="292"/>
      <c r="X26" s="292"/>
      <c r="Y26" s="292"/>
      <c r="Z26" s="292"/>
    </row>
    <row r="27" spans="1:26" ht="18">
      <c r="A27" s="293"/>
      <c r="B27" s="294"/>
      <c r="C27" s="3188" t="s">
        <v>3254</v>
      </c>
      <c r="D27" s="295">
        <f ca="1">G19/'数据-汇总表'!F31*10000</f>
        <v>3108.4829243767394</v>
      </c>
      <c r="E27" s="311"/>
      <c r="F27" s="311"/>
      <c r="G27" s="311"/>
      <c r="H27" s="311"/>
      <c r="I27" s="311"/>
      <c r="J27" s="2013"/>
      <c r="K27" s="1254" t="str">
        <f ca="1">"单位面积地价："&amp;M38&amp;"元/平方米"</f>
        <v>单位面积地价：3730元/平方米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楼面地价：1775元/平方米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抵押价格：18474万元</v>
      </c>
      <c r="L29" s="1248"/>
      <c r="M29" s="1248"/>
      <c r="N29" s="1248"/>
      <c r="O29" s="1247"/>
      <c r="P29" s="2013"/>
      <c r="V29" s="2013"/>
    </row>
    <row r="30" spans="1:26" ht="18.75" thickBot="1">
      <c r="A30" s="3078" t="s">
        <v>336</v>
      </c>
      <c r="B30" s="309"/>
      <c r="C30" s="309"/>
      <c r="D30" s="310"/>
      <c r="E30" s="3079" t="s">
        <v>2964</v>
      </c>
      <c r="F30" s="311"/>
      <c r="G30" s="311"/>
      <c r="H30" s="311"/>
      <c r="I30" s="311"/>
      <c r="J30" s="2013"/>
      <c r="K30" s="1254" t="str">
        <f ca="1">IF(K29="——","——","大写金额：人民币"&amp;NUMBERSTRING(INT(O39*10000),2)&amp;"元整")</f>
        <v>大写金额：人民币壹亿捌仟肆佰柒拾肆万元整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18474</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1775</v>
      </c>
      <c r="D33" s="1381" t="s">
        <v>1691</v>
      </c>
      <c r="E33" s="3304"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2" t="s">
        <v>1692</v>
      </c>
      <c r="C34" s="264">
        <f ca="1">ROUND(C32*10000/'数据-汇总表'!D3,0)</f>
        <v>3730</v>
      </c>
      <c r="D34" s="1383" t="s">
        <v>1691</v>
      </c>
      <c r="E34" s="3305"/>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249</v>
      </c>
      <c r="D35" s="1386" t="s">
        <v>1693</v>
      </c>
      <c r="E35" s="3306"/>
      <c r="F35" s="301" t="s">
        <v>342</v>
      </c>
      <c r="G35" s="982"/>
      <c r="H35" s="981" t="s">
        <v>343</v>
      </c>
      <c r="I35" s="311"/>
      <c r="J35" s="2013"/>
      <c r="K35" s="3310" t="s">
        <v>350</v>
      </c>
      <c r="L35" s="3310" t="s">
        <v>351</v>
      </c>
      <c r="M35" s="1260" t="s">
        <v>352</v>
      </c>
      <c r="N35" s="3310" t="s">
        <v>353</v>
      </c>
      <c r="O35" s="3310" t="s">
        <v>354</v>
      </c>
      <c r="P35" s="2013"/>
      <c r="V35" s="2013"/>
    </row>
    <row r="36" spans="1:26" ht="16.5" customHeight="1">
      <c r="A36" s="303" t="s">
        <v>344</v>
      </c>
      <c r="B36" s="304" t="s">
        <v>333</v>
      </c>
      <c r="C36" s="305" t="s">
        <v>345</v>
      </c>
      <c r="D36" s="305" t="s">
        <v>346</v>
      </c>
      <c r="E36" s="306" t="s">
        <v>347</v>
      </c>
      <c r="F36" s="311"/>
      <c r="G36" s="311"/>
      <c r="H36" s="311"/>
      <c r="I36" s="311"/>
      <c r="J36" s="2015"/>
      <c r="K36" s="3311"/>
      <c r="L36" s="3311"/>
      <c r="M36" s="1262" t="s">
        <v>355</v>
      </c>
      <c r="N36" s="3311"/>
      <c r="O36" s="3311"/>
      <c r="P36" s="2013"/>
      <c r="V36" s="2013"/>
    </row>
    <row r="37" spans="1:26" ht="16.5" customHeight="1" thickBot="1">
      <c r="A37" s="1256" t="s">
        <v>348</v>
      </c>
      <c r="B37" s="307"/>
      <c r="C37" s="294"/>
      <c r="D37" s="294"/>
      <c r="E37" s="295"/>
      <c r="F37" s="311"/>
      <c r="G37" s="311"/>
      <c r="H37" s="311"/>
      <c r="I37" s="311"/>
      <c r="J37" s="2015"/>
      <c r="K37" s="3312"/>
      <c r="L37" s="3312"/>
      <c r="M37" s="1263"/>
      <c r="N37" s="3312"/>
      <c r="O37" s="3312"/>
      <c r="P37" s="2013"/>
      <c r="V37" s="2013"/>
    </row>
    <row r="38" spans="1:26" ht="16.5" customHeight="1" thickBot="1">
      <c r="A38" s="1256" t="s">
        <v>349</v>
      </c>
      <c r="B38" s="307"/>
      <c r="C38" s="294"/>
      <c r="D38" s="294"/>
      <c r="E38" s="295"/>
      <c r="F38" s="311"/>
      <c r="G38" s="311"/>
      <c r="H38" s="311"/>
      <c r="I38" s="311"/>
      <c r="J38" s="2015"/>
      <c r="K38" s="1264">
        <f>'数据-汇总表'!D3</f>
        <v>49527.1</v>
      </c>
      <c r="L38" s="1265">
        <f>'数据-汇总表'!E3</f>
        <v>104102.39999999998</v>
      </c>
      <c r="M38" s="1265">
        <f ca="1">C34</f>
        <v>3730</v>
      </c>
      <c r="N38" s="1265">
        <f ca="1">C33</f>
        <v>1775</v>
      </c>
      <c r="O38" s="1266">
        <f ca="1">C32</f>
        <v>18474</v>
      </c>
      <c r="P38" s="2013"/>
      <c r="V38" s="2013"/>
    </row>
    <row r="39" spans="1:26" ht="16.5" customHeight="1" thickBot="1">
      <c r="A39" s="1261"/>
      <c r="B39" s="308"/>
      <c r="C39" s="309"/>
      <c r="D39" s="309"/>
      <c r="E39" s="310"/>
      <c r="F39" s="311"/>
      <c r="G39" s="311"/>
      <c r="H39" s="311"/>
      <c r="I39" s="311"/>
      <c r="J39" s="2015"/>
      <c r="K39" s="3287" t="str">
        <f>MID(A44,3,LEN(A44)-2)</f>
        <v>抵押价格</v>
      </c>
      <c r="L39" s="3288"/>
      <c r="M39" s="3288"/>
      <c r="N39" s="3289"/>
      <c r="O39" s="1388">
        <f ca="1">C44</f>
        <v>18474</v>
      </c>
      <c r="P39" s="2013"/>
      <c r="V39" s="2013"/>
    </row>
    <row r="40" spans="1:26" ht="19.5" thickBot="1">
      <c r="A40" s="104" t="s">
        <v>873</v>
      </c>
      <c r="B40" s="311"/>
      <c r="C40" s="311"/>
      <c r="D40" s="311"/>
      <c r="E40" s="311"/>
      <c r="F40" s="311"/>
      <c r="G40" s="311"/>
      <c r="H40" s="311"/>
      <c r="I40" s="311"/>
      <c r="J40" s="2015"/>
      <c r="K40" s="3287" t="str">
        <f t="shared" ref="K40:K41" si="0">MID(A45,3,LEN(A45)-2)</f>
        <v/>
      </c>
      <c r="L40" s="3288"/>
      <c r="M40" s="3288"/>
      <c r="N40" s="3289"/>
      <c r="O40" s="1388" t="str">
        <f>C45</f>
        <v>——</v>
      </c>
      <c r="P40" s="2013"/>
      <c r="V40" s="2013"/>
    </row>
    <row r="41" spans="1:26" ht="16.5" thickBot="1">
      <c r="A41" s="312" t="s">
        <v>356</v>
      </c>
      <c r="B41" s="313"/>
      <c r="C41" s="314" t="s">
        <v>357</v>
      </c>
      <c r="D41" s="315" t="s">
        <v>358</v>
      </c>
      <c r="E41" s="315" t="s">
        <v>359</v>
      </c>
      <c r="F41" s="316" t="s">
        <v>360</v>
      </c>
      <c r="G41" s="311"/>
      <c r="H41" s="311"/>
      <c r="I41" s="311"/>
      <c r="J41" s="2015"/>
      <c r="K41" s="3287" t="str">
        <f t="shared" si="0"/>
        <v/>
      </c>
      <c r="L41" s="3288"/>
      <c r="M41" s="3288"/>
      <c r="N41" s="3289"/>
      <c r="O41" s="1388" t="str">
        <f>C46</f>
        <v>——</v>
      </c>
      <c r="P41" s="2013"/>
      <c r="V41" s="2013"/>
    </row>
    <row r="42" spans="1:26" ht="29.25">
      <c r="A42" s="3347" t="s">
        <v>2067</v>
      </c>
      <c r="B42" s="3348"/>
      <c r="C42" s="264">
        <f ca="1">C32</f>
        <v>18474</v>
      </c>
      <c r="D42" s="317">
        <f ca="1">C33</f>
        <v>1775</v>
      </c>
      <c r="E42" s="317">
        <f ca="1">C34</f>
        <v>3730</v>
      </c>
      <c r="F42" s="318">
        <f ca="1">C35</f>
        <v>249</v>
      </c>
      <c r="G42" s="311"/>
      <c r="H42" s="311"/>
      <c r="I42" s="319"/>
      <c r="J42" s="2015"/>
      <c r="K42" s="1267" t="s">
        <v>361</v>
      </c>
      <c r="L42" s="2032" t="s">
        <v>362</v>
      </c>
      <c r="M42" s="1268" t="s">
        <v>363</v>
      </c>
      <c r="N42" s="2033" t="s">
        <v>364</v>
      </c>
      <c r="O42" s="2034" t="s">
        <v>365</v>
      </c>
      <c r="P42" s="2013"/>
      <c r="V42" s="2013"/>
    </row>
    <row r="43" spans="1:26" ht="30">
      <c r="A43" s="3357" t="s">
        <v>2730</v>
      </c>
      <c r="B43" s="3358"/>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16771</v>
      </c>
      <c r="M43" s="1271">
        <f>C18</f>
        <v>0.5</v>
      </c>
      <c r="N43" s="1272">
        <f ca="1">IF(N42="测算结果/万元",G19,G20)</f>
        <v>18474</v>
      </c>
      <c r="O43" s="1273">
        <f ca="1">IF(O42="最终结果/万元",C32,C33)</f>
        <v>18474</v>
      </c>
      <c r="P43" s="2013"/>
      <c r="V43" s="2013"/>
    </row>
    <row r="44" spans="1:26" ht="30.75" thickBot="1">
      <c r="A44" s="3347" t="str">
        <f>IF(OR(项目基本情况!E8="抵押价格",项目基本情况!E8="已注销及未注销"),"3.抵押价格","——")</f>
        <v>3.抵押价格</v>
      </c>
      <c r="B44" s="3348"/>
      <c r="C44" s="264">
        <f ca="1">IF(A44="——","——",C42-C43)</f>
        <v>18474</v>
      </c>
      <c r="D44" s="317">
        <f ca="1">ROUND(C44*10000/'数据-汇总表'!E3,0)</f>
        <v>1775</v>
      </c>
      <c r="E44" s="317">
        <f ca="1">ROUND(C44*10000/'数据-汇总表'!D3,0)</f>
        <v>3730</v>
      </c>
      <c r="F44" s="318">
        <f ca="1">ROUND(C44/('数据-汇总表'!D3/666.67),0)</f>
        <v>249</v>
      </c>
      <c r="G44" s="311"/>
      <c r="H44" s="311"/>
      <c r="I44" s="319"/>
      <c r="J44" s="2015"/>
      <c r="K44" s="1274" t="str">
        <f>D4</f>
        <v>剩余法-待开发</v>
      </c>
      <c r="L44" s="1275">
        <f ca="1">IF(L42="估价结果/万元",D19,D20)</f>
        <v>20177</v>
      </c>
      <c r="M44" s="1276">
        <f>D18</f>
        <v>0.5</v>
      </c>
      <c r="N44" s="1277"/>
      <c r="O44" s="1278"/>
      <c r="P44" s="2013"/>
      <c r="V44" s="2013"/>
    </row>
    <row r="45" spans="1:26" ht="15">
      <c r="A45" s="3352" t="str">
        <f>IF(项目基本情况!E8="已注销及未注销","4.抵押担保权已注销时的抵押价格",IF(项目基本情况!E8="已注销","3.抵押担保权已注销时的抵押价格","——"))</f>
        <v>——</v>
      </c>
      <c r="B45" s="335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5" t="s">
        <v>374</v>
      </c>
      <c r="B63" s="3316"/>
      <c r="C63" s="3317"/>
      <c r="D63" s="341">
        <f ca="1">ROUND(C42*F63,0)</f>
        <v>11084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4" t="s">
        <v>378</v>
      </c>
      <c r="B64" s="3355"/>
      <c r="C64" s="3355"/>
      <c r="D64" s="3355"/>
      <c r="E64" s="3355"/>
      <c r="F64" s="3355"/>
      <c r="G64" s="335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51" t="s">
        <v>386</v>
      </c>
      <c r="B66" s="3322"/>
      <c r="C66" s="3322"/>
      <c r="D66" s="261">
        <f ca="1">IF(H66="情况1",0,IF(H66="情况2",D70,IF(H66="情况3",D71,IF(H66="情况4",D72))))</f>
        <v>596</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291" t="s">
        <v>385</v>
      </c>
      <c r="M66" s="3292"/>
      <c r="N66" s="2422"/>
      <c r="O66" s="2423"/>
      <c r="P66" s="2424"/>
      <c r="Q66" s="2013"/>
      <c r="R66" s="2013"/>
      <c r="S66" s="2013"/>
      <c r="T66" s="2013"/>
      <c r="U66" s="2013"/>
      <c r="V66" s="2013"/>
    </row>
    <row r="67" spans="1:22" ht="25.5" customHeight="1">
      <c r="A67" s="352" t="s">
        <v>390</v>
      </c>
      <c r="B67" s="3334" t="s">
        <v>391</v>
      </c>
      <c r="C67" s="3334"/>
      <c r="D67" s="353">
        <v>0</v>
      </c>
      <c r="E67" s="41" t="s">
        <v>392</v>
      </c>
      <c r="F67" s="62" t="s">
        <v>21</v>
      </c>
      <c r="G67" s="3318"/>
      <c r="H67" s="311"/>
      <c r="I67" s="1288"/>
      <c r="J67" s="2020"/>
      <c r="K67" s="1961">
        <v>2</v>
      </c>
      <c r="L67" s="3290" t="s">
        <v>389</v>
      </c>
      <c r="M67" s="3290"/>
      <c r="N67" s="1321">
        <f>'数据-取费表'!B2</f>
        <v>43693</v>
      </c>
      <c r="O67" s="1321"/>
      <c r="P67" s="1321"/>
      <c r="Q67" s="2013"/>
      <c r="R67" s="2013"/>
      <c r="S67" s="2013"/>
      <c r="T67" s="2013"/>
      <c r="U67" s="2013"/>
      <c r="V67" s="2013"/>
    </row>
    <row r="68" spans="1:22" ht="25.5" customHeight="1">
      <c r="A68" s="354"/>
      <c r="B68" s="3334" t="s">
        <v>394</v>
      </c>
      <c r="C68" s="3334"/>
      <c r="D68" s="355"/>
      <c r="E68" s="77"/>
      <c r="F68" s="356"/>
      <c r="G68" s="3319"/>
      <c r="H68" s="311"/>
      <c r="I68" s="1288"/>
      <c r="J68" s="2020"/>
      <c r="K68" s="1961">
        <v>3</v>
      </c>
      <c r="L68" s="3290" t="s">
        <v>393</v>
      </c>
      <c r="M68" s="3290"/>
      <c r="N68" s="1289">
        <f ca="1">C42</f>
        <v>18474</v>
      </c>
      <c r="O68" s="1289"/>
      <c r="P68" s="1289"/>
      <c r="Q68" s="2013"/>
      <c r="R68" s="2013"/>
      <c r="S68" s="2013"/>
      <c r="T68" s="2013"/>
      <c r="U68" s="2013"/>
      <c r="V68" s="2013"/>
    </row>
    <row r="69" spans="1:22" ht="12" customHeight="1">
      <c r="A69" s="357"/>
      <c r="B69" s="3334" t="s">
        <v>395</v>
      </c>
      <c r="C69" s="3334"/>
      <c r="D69" s="358"/>
      <c r="E69" s="73"/>
      <c r="F69" s="356"/>
      <c r="G69" s="3320"/>
      <c r="H69" s="311"/>
      <c r="I69" s="1288"/>
      <c r="J69" s="2020"/>
      <c r="K69" s="1290">
        <v>4</v>
      </c>
      <c r="L69" s="3296" t="s">
        <v>2883</v>
      </c>
      <c r="M69" s="3297"/>
      <c r="N69" s="1291">
        <f ca="1">C44</f>
        <v>18474</v>
      </c>
      <c r="O69" s="1291"/>
      <c r="P69" s="1291"/>
      <c r="Q69" s="2013"/>
      <c r="R69" s="2013"/>
      <c r="S69" s="2013"/>
      <c r="T69" s="2013"/>
      <c r="U69" s="2013"/>
      <c r="V69" s="2013"/>
    </row>
    <row r="70" spans="1:22" ht="24" customHeight="1">
      <c r="A70" s="359" t="s">
        <v>396</v>
      </c>
      <c r="B70" s="3334" t="s">
        <v>397</v>
      </c>
      <c r="C70" s="3334"/>
      <c r="D70" s="358">
        <f ca="1">ROUND(D63*'数据-取费表'!B41/(1+'数据-取费表'!C42),0)</f>
        <v>596</v>
      </c>
      <c r="E70" s="17" t="s">
        <v>398</v>
      </c>
      <c r="F70" s="360">
        <f>'数据-取费表'!B41</f>
        <v>5.6500000000000002E-2</v>
      </c>
      <c r="G70" s="361"/>
      <c r="H70" s="311"/>
      <c r="I70" s="1288"/>
      <c r="J70" s="2020"/>
      <c r="K70" s="3010"/>
      <c r="L70" s="3011"/>
      <c r="M70" s="3011"/>
      <c r="N70" s="3012" t="s">
        <v>2888</v>
      </c>
      <c r="O70" s="3011"/>
      <c r="P70" s="3013"/>
      <c r="Q70" s="2013"/>
      <c r="R70" s="2013"/>
      <c r="S70" s="2013"/>
      <c r="T70" s="2013"/>
      <c r="U70" s="2013"/>
      <c r="V70" s="2013"/>
    </row>
    <row r="71" spans="1:22" ht="12" customHeight="1">
      <c r="A71" s="359" t="s">
        <v>404</v>
      </c>
      <c r="B71" s="3333" t="s">
        <v>405</v>
      </c>
      <c r="C71" s="3345"/>
      <c r="D71" s="358">
        <f ca="1">ROUND(D63*'数据-取费表'!B41/(1+'数据-取费表'!C42),0)</f>
        <v>596</v>
      </c>
      <c r="E71" s="17" t="s">
        <v>398</v>
      </c>
      <c r="F71" s="360">
        <f>'数据-取费表'!B41</f>
        <v>5.6500000000000002E-2</v>
      </c>
      <c r="G71" s="361"/>
      <c r="H71" s="311"/>
      <c r="I71" s="1288"/>
      <c r="J71" s="2020"/>
      <c r="K71" s="3009" t="s">
        <v>399</v>
      </c>
      <c r="L71" s="3298" t="s">
        <v>400</v>
      </c>
      <c r="M71" s="3298"/>
      <c r="N71" s="3009" t="s">
        <v>401</v>
      </c>
      <c r="O71" s="3009" t="s">
        <v>402</v>
      </c>
      <c r="P71" s="3009" t="s">
        <v>403</v>
      </c>
      <c r="Q71" s="2013"/>
      <c r="R71" s="2013"/>
      <c r="S71" s="2013"/>
      <c r="T71" s="2013"/>
      <c r="U71" s="2013"/>
      <c r="V71" s="2013"/>
    </row>
    <row r="72" spans="1:22" ht="12" customHeight="1">
      <c r="A72" s="359" t="s">
        <v>407</v>
      </c>
      <c r="B72" s="3333" t="s">
        <v>408</v>
      </c>
      <c r="C72" s="3345"/>
      <c r="D72" s="358">
        <f ca="1">C86</f>
        <v>483</v>
      </c>
      <c r="E72" s="73" t="s">
        <v>409</v>
      </c>
      <c r="F72" s="360">
        <f>'数据-取费表'!B41</f>
        <v>5.6500000000000002E-2</v>
      </c>
      <c r="G72" s="361"/>
      <c r="H72" s="1294"/>
      <c r="I72" s="1288"/>
      <c r="J72" s="2020"/>
      <c r="K72" s="1961">
        <v>1</v>
      </c>
      <c r="L72" s="3295" t="s">
        <v>406</v>
      </c>
      <c r="M72" s="3295"/>
      <c r="N72" s="1292">
        <f ca="1">D66</f>
        <v>596</v>
      </c>
      <c r="O72" s="1844" t="str">
        <f>E66</f>
        <v>销售额×税（费）率</v>
      </c>
      <c r="P72" s="1293">
        <f>F66</f>
        <v>5.6500000000000002E-2</v>
      </c>
      <c r="Q72" s="2013"/>
      <c r="R72" s="2013"/>
      <c r="S72" s="2013"/>
      <c r="T72" s="2013"/>
      <c r="U72" s="2013"/>
      <c r="V72" s="2013"/>
    </row>
    <row r="73" spans="1:22" ht="24" customHeight="1">
      <c r="A73" s="3321" t="s">
        <v>411</v>
      </c>
      <c r="B73" s="3322"/>
      <c r="C73" s="3322"/>
      <c r="D73" s="362">
        <f>IF(H73="个人住宅",0,ROUND(D63*I73,0))</f>
        <v>0</v>
      </c>
      <c r="E73" s="17" t="s">
        <v>412</v>
      </c>
      <c r="F73" s="360" t="str">
        <f>IF(H73="正常",I73,"免征")</f>
        <v>免征</v>
      </c>
      <c r="G73" s="361"/>
      <c r="H73" s="191" t="s">
        <v>2455</v>
      </c>
      <c r="I73" s="360">
        <f>'数据-取费表'!B49</f>
        <v>5.0000000000000001E-4</v>
      </c>
      <c r="J73" s="2020"/>
      <c r="K73" s="1961">
        <v>2</v>
      </c>
      <c r="L73" s="3295" t="s">
        <v>410</v>
      </c>
      <c r="M73" s="3295"/>
      <c r="N73" s="1292">
        <f t="shared" ref="N73:P74" si="1">D73</f>
        <v>0</v>
      </c>
      <c r="O73" s="1844" t="str">
        <f t="shared" si="1"/>
        <v>销售额×税（费）率</v>
      </c>
      <c r="P73" s="1293" t="str">
        <f t="shared" si="1"/>
        <v>免征</v>
      </c>
      <c r="Q73" s="2013"/>
      <c r="R73" s="2013"/>
      <c r="S73" s="2013"/>
      <c r="T73" s="2013"/>
      <c r="U73" s="2013"/>
      <c r="V73" s="2013"/>
    </row>
    <row r="74" spans="1:22" ht="24.75">
      <c r="A74" s="3321" t="s">
        <v>415</v>
      </c>
      <c r="B74" s="3322"/>
      <c r="C74" s="3322"/>
      <c r="D74" s="362">
        <f ca="1">IF(H74="个人住宅",D75,D76)</f>
        <v>5613</v>
      </c>
      <c r="E74" s="17" t="s">
        <v>416</v>
      </c>
      <c r="F74" s="360" t="str">
        <f>IF(H74="正常",F76,"免征")</f>
        <v>——</v>
      </c>
      <c r="G74" s="983" t="s">
        <v>417</v>
      </c>
      <c r="H74" s="363" t="s">
        <v>413</v>
      </c>
      <c r="I74" s="42"/>
      <c r="J74" s="2020"/>
      <c r="K74" s="1961">
        <v>3</v>
      </c>
      <c r="L74" s="3295" t="s">
        <v>414</v>
      </c>
      <c r="M74" s="3295"/>
      <c r="N74" s="1292">
        <f t="shared" ca="1" si="1"/>
        <v>5613</v>
      </c>
      <c r="O74" s="1844" t="str">
        <f t="shared" si="1"/>
        <v>增值额×税（费）率</v>
      </c>
      <c r="P74" s="1295" t="str">
        <f t="shared" si="1"/>
        <v>——</v>
      </c>
      <c r="Q74" s="2013"/>
      <c r="R74" s="2013"/>
      <c r="S74" s="2013"/>
      <c r="T74" s="2013"/>
      <c r="U74" s="2013"/>
      <c r="V74" s="2013"/>
    </row>
    <row r="75" spans="1:22" ht="24">
      <c r="A75" s="359" t="s">
        <v>418</v>
      </c>
      <c r="B75" s="3302" t="s">
        <v>419</v>
      </c>
      <c r="C75" s="3303"/>
      <c r="D75" s="364">
        <v>0</v>
      </c>
      <c r="E75" s="41" t="s">
        <v>420</v>
      </c>
      <c r="F75" s="365"/>
      <c r="G75" s="361"/>
      <c r="H75" s="42"/>
      <c r="I75" s="42"/>
      <c r="J75" s="2020"/>
      <c r="K75" s="3002">
        <f>IF(H77="非个人房产","",4)</f>
        <v>4</v>
      </c>
      <c r="L75" s="3295" t="str">
        <f>IF(H77="非个人房产","——","个人所得税")</f>
        <v>个人所得税</v>
      </c>
      <c r="M75" s="3295"/>
      <c r="N75" s="1296">
        <f ca="1">D77</f>
        <v>111</v>
      </c>
      <c r="O75" s="1857" t="str">
        <f>E77</f>
        <v>销售额×税（费）率</v>
      </c>
      <c r="P75" s="1297">
        <f>F77</f>
        <v>0.01</v>
      </c>
      <c r="Q75" s="2013"/>
      <c r="R75" s="2013"/>
      <c r="S75" s="2013"/>
      <c r="T75" s="2013"/>
      <c r="U75" s="2013"/>
      <c r="V75" s="2013"/>
    </row>
    <row r="76" spans="1:22" ht="24.75">
      <c r="A76" s="359" t="s">
        <v>396</v>
      </c>
      <c r="B76" s="3302" t="s">
        <v>422</v>
      </c>
      <c r="C76" s="3344"/>
      <c r="D76" s="362">
        <f ca="1">IF(H76="转让取得",C99,C115)</f>
        <v>5613</v>
      </c>
      <c r="E76" s="17" t="s">
        <v>423</v>
      </c>
      <c r="F76" s="53" t="s">
        <v>21</v>
      </c>
      <c r="G76" s="361"/>
      <c r="H76" s="363" t="s">
        <v>424</v>
      </c>
      <c r="I76" s="42"/>
      <c r="J76" s="2020"/>
      <c r="K76" s="3002" t="str">
        <f>IF(项目基本情况!K6="上海银行",IF(K75="",4,K75+1),"")</f>
        <v/>
      </c>
      <c r="L76" s="3283" t="str">
        <f>IF(项目基本情况!K6="上海银行","其他处置费用","")</f>
        <v/>
      </c>
      <c r="M76" s="3284"/>
      <c r="N76" s="1292" t="str">
        <f>IF(项目基本情况!K6="上海银行",N89,"")</f>
        <v/>
      </c>
      <c r="O76" s="3285" t="str">
        <f>IF(项目基本情况!K6="上海银行","包含处置中涉及的律师、诉讼、拍卖、评估等费用","")</f>
        <v/>
      </c>
      <c r="P76" s="3286"/>
      <c r="Q76" s="2013"/>
      <c r="R76" s="2013"/>
      <c r="S76" s="2013"/>
      <c r="T76" s="2013"/>
      <c r="U76" s="2013"/>
      <c r="V76" s="2013"/>
    </row>
    <row r="77" spans="1:22" ht="26.25" thickBot="1">
      <c r="A77" s="3313" t="s">
        <v>426</v>
      </c>
      <c r="B77" s="3314"/>
      <c r="C77" s="3314"/>
      <c r="D77" s="366">
        <f ca="1">IF(H77="非个人房产","——",IF(H77="个人住宅",0,ROUND(D63*I77,0)))</f>
        <v>111</v>
      </c>
      <c r="E77" s="367" t="str">
        <f>IF(H77="非个人房产","——","销售额×税（费）率")</f>
        <v>销售额×税（费）率</v>
      </c>
      <c r="F77" s="368">
        <f>IF(H77="非个人房产","——",IF(H77="个人住宅","免征",I77))</f>
        <v>0.01</v>
      </c>
      <c r="G77" s="984" t="s">
        <v>417</v>
      </c>
      <c r="H77" s="363" t="s">
        <v>2884</v>
      </c>
      <c r="I77" s="369">
        <v>0.01</v>
      </c>
      <c r="J77" s="2020"/>
      <c r="K77" s="3309">
        <f>IF(AND(K75="",K76=""),4,IF(项目基本情况!K6="上海银行",K76+1,K75+1))</f>
        <v>5</v>
      </c>
      <c r="L77" s="3295" t="s">
        <v>2885</v>
      </c>
      <c r="M77" s="3008" t="s">
        <v>421</v>
      </c>
      <c r="N77" s="1298"/>
      <c r="O77" s="1299">
        <f ca="1">SUMIF(N72:N76,"&lt;9e307")</f>
        <v>6320</v>
      </c>
      <c r="P77" s="1300"/>
      <c r="Q77" s="3006">
        <f ca="1">O77/N69</f>
        <v>0.34210241420374582</v>
      </c>
      <c r="R77" s="2013"/>
      <c r="S77" s="2013"/>
      <c r="T77" s="2013"/>
      <c r="U77" s="2013"/>
      <c r="V77" s="2013"/>
    </row>
    <row r="78" spans="1:22" ht="12" customHeight="1">
      <c r="A78" s="1301"/>
      <c r="B78" s="311"/>
      <c r="C78" s="311"/>
      <c r="D78" s="311"/>
      <c r="E78" s="42"/>
      <c r="F78" s="42"/>
      <c r="G78" s="42"/>
      <c r="H78" s="1003"/>
      <c r="I78" s="311"/>
      <c r="J78" s="2020"/>
      <c r="K78" s="3309"/>
      <c r="L78" s="3295"/>
      <c r="M78" s="3008" t="s">
        <v>425</v>
      </c>
      <c r="N78" s="1298"/>
      <c r="O78" s="1299" t="str">
        <f ca="1">NUMBERSTRING(INT(O77*10000),2)&amp;"元整"</f>
        <v>陆仟叁佰贰拾万元整</v>
      </c>
      <c r="P78" s="1300"/>
      <c r="Q78" s="2013"/>
      <c r="R78" s="2013"/>
      <c r="S78" s="2013"/>
      <c r="T78" s="2013"/>
      <c r="U78" s="2013"/>
      <c r="V78" s="2013"/>
    </row>
    <row r="79" spans="1:22" ht="13.5" thickBot="1">
      <c r="A79" s="3299" t="s">
        <v>427</v>
      </c>
      <c r="B79" s="3299"/>
      <c r="C79" s="3299"/>
      <c r="D79" s="3299"/>
      <c r="E79" s="3299"/>
      <c r="F79" s="42"/>
      <c r="G79" s="42"/>
      <c r="H79" s="1003"/>
      <c r="I79" s="311"/>
      <c r="J79" s="2020"/>
      <c r="K79" s="3293">
        <f>K77+1</f>
        <v>6</v>
      </c>
      <c r="L79" s="3295" t="s">
        <v>2886</v>
      </c>
      <c r="M79" s="3008" t="s">
        <v>421</v>
      </c>
      <c r="N79" s="1298"/>
      <c r="O79" s="1299">
        <f ca="1">N69-O77</f>
        <v>12154</v>
      </c>
      <c r="P79" s="1300"/>
      <c r="Q79" s="2013"/>
      <c r="R79" s="2013"/>
      <c r="S79" s="2013"/>
      <c r="T79" s="2013"/>
      <c r="U79" s="2013"/>
      <c r="V79" s="2013"/>
    </row>
    <row r="80" spans="1:22" ht="25.5">
      <c r="A80" s="3300" t="s">
        <v>428</v>
      </c>
      <c r="B80" s="3301"/>
      <c r="C80" s="994"/>
      <c r="D80" s="994" t="s">
        <v>429</v>
      </c>
      <c r="E80" s="370" t="s">
        <v>430</v>
      </c>
      <c r="F80" s="42"/>
      <c r="G80" s="42"/>
      <c r="H80" s="1003"/>
      <c r="I80" s="311"/>
      <c r="J80" s="2013"/>
      <c r="K80" s="3294"/>
      <c r="L80" s="3295"/>
      <c r="M80" s="3008" t="s">
        <v>425</v>
      </c>
      <c r="N80" s="1298"/>
      <c r="O80" s="1299" t="str">
        <f ca="1">NUMBERSTRING(INT(O79*10000),2)&amp;"元整"</f>
        <v>壹亿贰仟壹佰伍拾肆万元整</v>
      </c>
      <c r="P80" s="1300"/>
      <c r="Q80" s="2013"/>
      <c r="R80" s="2013"/>
      <c r="S80" s="2013"/>
      <c r="T80" s="2013"/>
      <c r="U80" s="2013"/>
      <c r="V80" s="2013"/>
    </row>
    <row r="81" spans="1:26" ht="13.5" thickBot="1">
      <c r="A81" s="381" t="s">
        <v>1823</v>
      </c>
      <c r="B81" s="371" t="s">
        <v>431</v>
      </c>
      <c r="C81" s="372">
        <f ca="1">ROUND((C82+C83)/(1+'数据-取费表'!C42),0)</f>
        <v>10556</v>
      </c>
      <c r="D81" s="373"/>
      <c r="E81" s="374"/>
      <c r="F81" s="42"/>
      <c r="G81" s="42"/>
      <c r="H81" s="1003"/>
      <c r="I81" s="311"/>
      <c r="J81" s="2013"/>
      <c r="K81" s="3002">
        <f>K79+1</f>
        <v>7</v>
      </c>
      <c r="L81" s="3307" t="s">
        <v>2887</v>
      </c>
      <c r="M81" s="3308"/>
      <c r="N81" s="1302"/>
      <c r="O81" s="1303">
        <f ca="1">ROUND(O79*10000/'数据-汇总表'!E3,0)</f>
        <v>1168</v>
      </c>
      <c r="P81" s="1304"/>
      <c r="Q81" s="2013"/>
      <c r="R81" s="2013"/>
      <c r="S81" s="2013"/>
      <c r="T81" s="2013"/>
      <c r="U81" s="2013"/>
      <c r="V81" s="2013"/>
    </row>
    <row r="82" spans="1:26" ht="13.5" thickTop="1">
      <c r="A82" s="375" t="s">
        <v>1824</v>
      </c>
      <c r="B82" s="376" t="s">
        <v>432</v>
      </c>
      <c r="C82" s="377">
        <f ca="1">D63</f>
        <v>11084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82" t="s">
        <v>2874</v>
      </c>
      <c r="L83" s="3014" t="s">
        <v>2875</v>
      </c>
      <c r="M83" s="3004">
        <f ca="1">IF(N69&gt;10000,N69*0.5%,IF(AND(N69&gt;1000,N69&lt;=10000),N69*1%,IF(AND(N69&gt;100,N69&lt;=1000),N69*3%,IF(AND(N69&gt;10,N69&lt;=100),N69*5%,N69*8%))))</f>
        <v>92.37</v>
      </c>
      <c r="N83" s="53">
        <f ca="1">ROUND(M83,1)</f>
        <v>92.4</v>
      </c>
      <c r="O83" s="3007"/>
      <c r="P83" s="2013"/>
      <c r="Q83" s="2013"/>
      <c r="R83" s="2013"/>
      <c r="S83" s="2013"/>
      <c r="T83" s="2013"/>
      <c r="U83" s="2013"/>
      <c r="V83" s="2013"/>
    </row>
    <row r="84" spans="1:26" ht="12.75">
      <c r="A84" s="381" t="s">
        <v>1826</v>
      </c>
      <c r="B84" s="382" t="s">
        <v>434</v>
      </c>
      <c r="C84" s="383">
        <v>2000</v>
      </c>
      <c r="D84" s="384" t="s">
        <v>19</v>
      </c>
      <c r="E84" s="3049" t="s">
        <v>2937</v>
      </c>
      <c r="F84" s="42"/>
      <c r="G84" s="42"/>
      <c r="H84" s="1003"/>
      <c r="I84" s="311"/>
      <c r="J84" s="2013"/>
      <c r="K84" s="3282"/>
      <c r="L84" s="3014" t="s">
        <v>2876</v>
      </c>
      <c r="M84" s="3004">
        <f ca="1">IF(N69&gt;2000,N69*0.5%,IF(AND(N69&gt;1000,N69&lt;=2000),N69*0.6%,IF(AND(N69&gt;500,N69&lt;=1000),N69*0.7%,IF(AND(N69&gt;200,N69&lt;=500),N69*0.8%,IF(AND(N69&gt;100,N69&lt;=200),N69*0.9%,IF(AND(N69&gt;50,N69&lt;=100),N69*1%,IF(AND(N69&gt;20,N69&lt;=50),N69*1.5%,IF(AND(N69&gt;10,N69&lt;=20),N69*2%,IF(AND(N69&gt;1,N69&lt;=10),N69*2.5%)))))))))</f>
        <v>92.37</v>
      </c>
      <c r="N84" s="53">
        <f t="shared" ref="N84:N85" ca="1" si="2">ROUND(M84,1)</f>
        <v>92.4</v>
      </c>
      <c r="O84" s="2013" t="s">
        <v>2877</v>
      </c>
      <c r="P84" s="2013"/>
      <c r="Q84" s="2013"/>
      <c r="R84" s="2013"/>
      <c r="S84" s="2013"/>
      <c r="T84" s="2013"/>
      <c r="U84" s="2013"/>
      <c r="V84" s="2013"/>
    </row>
    <row r="85" spans="1:26" ht="12.75">
      <c r="A85" s="381" t="s">
        <v>1827</v>
      </c>
      <c r="B85" s="382" t="s">
        <v>435</v>
      </c>
      <c r="C85" s="385">
        <f ca="1">C81-C84</f>
        <v>8556</v>
      </c>
      <c r="D85" s="378" t="s">
        <v>19</v>
      </c>
      <c r="E85" s="379"/>
      <c r="F85" s="42"/>
      <c r="G85" s="42"/>
      <c r="H85" s="1003"/>
      <c r="I85" s="311"/>
      <c r="J85" s="2013"/>
      <c r="K85" s="3282"/>
      <c r="L85" s="3014" t="s">
        <v>2878</v>
      </c>
      <c r="M85" s="3004">
        <f ca="1">IF(N69&gt;1000,N69*0.1%,IF(AND(N69&gt;500,N69&lt;=1000),N69*0.5%,IF(AND(N69&gt;50,N69&lt;=500),N69*1%,IF(AND(N69&gt;1,N69&lt;=50),N69*1.5%))))</f>
        <v>18.474</v>
      </c>
      <c r="N85" s="53">
        <f t="shared" ca="1" si="2"/>
        <v>18.5</v>
      </c>
      <c r="O85" s="2013" t="s">
        <v>2877</v>
      </c>
      <c r="P85" s="2013"/>
      <c r="Q85" s="2013"/>
      <c r="R85" s="2013"/>
      <c r="S85" s="2013"/>
      <c r="T85" s="2013"/>
      <c r="U85" s="2013"/>
      <c r="V85" s="2013"/>
    </row>
    <row r="86" spans="1:26" ht="13.5" thickBot="1">
      <c r="A86" s="386" t="s">
        <v>1828</v>
      </c>
      <c r="B86" s="387" t="s">
        <v>436</v>
      </c>
      <c r="C86" s="388">
        <f ca="1">IF(C85&lt;=0,0,ROUND(C85*D86,0))</f>
        <v>483</v>
      </c>
      <c r="D86" s="389">
        <f>'数据-取费表'!B41</f>
        <v>5.6500000000000002E-2</v>
      </c>
      <c r="E86" s="390"/>
      <c r="F86" s="42"/>
      <c r="G86" s="42"/>
      <c r="H86" s="1003"/>
      <c r="I86" s="311"/>
      <c r="J86" s="2013"/>
      <c r="K86" s="3282"/>
      <c r="L86" s="3014" t="s">
        <v>2879</v>
      </c>
      <c r="M86" s="3004">
        <f ca="1">N69*0.5%</f>
        <v>92.37</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2"/>
      <c r="L87" s="3014" t="s">
        <v>2881</v>
      </c>
      <c r="M87" s="3004">
        <f ca="1">IF(N69&gt;=10000,(8.25+(N69-10000)*0.01%),IF(AND(N69&gt;=8000,N69&lt;10000),(7.85+(N69-8000)*0.02%),IF(AND(N69&gt;=5000,N69&lt;8000),(6.65+(N69-5000)*0.04%),IF(AND(N69&gt;=2000,N69&lt;5000),(4.25+(PN69-2000)*0.08%),IF(AND(N69&gt;=1000,N69&lt;2000),(2.75+(N69-1000)*0.15%),IF(AND(N69&gt;=100,N69&lt;1000),(0.5+(N69-100)*0.25%),IF(AND(N69&gt;0,N69&lt;100),N69*0.5%)))))))</f>
        <v>9.0974000000000004</v>
      </c>
      <c r="N87" s="53">
        <f ca="1">ROUND(M87*0.9,1)</f>
        <v>8.1999999999999993</v>
      </c>
      <c r="O87" s="3007"/>
      <c r="P87" s="311"/>
      <c r="Q87" s="2013"/>
      <c r="R87" s="2013"/>
      <c r="S87" s="2013"/>
      <c r="T87" s="2013"/>
      <c r="U87" s="2013"/>
      <c r="V87" s="2013"/>
      <c r="W87" s="292"/>
      <c r="X87" s="292"/>
      <c r="Y87" s="292"/>
      <c r="Z87" s="292"/>
    </row>
    <row r="88" spans="1:26" s="1310" customFormat="1" ht="15" thickBot="1">
      <c r="A88" s="3336" t="s">
        <v>437</v>
      </c>
      <c r="B88" s="3337"/>
      <c r="C88" s="3337"/>
      <c r="D88" s="3337"/>
      <c r="E88" s="3337"/>
      <c r="F88" s="3337"/>
      <c r="G88" s="3337"/>
      <c r="H88" s="3337"/>
      <c r="I88" s="1311"/>
      <c r="J88" s="2021"/>
      <c r="K88" s="3282"/>
      <c r="L88" s="3014" t="s">
        <v>2882</v>
      </c>
      <c r="M88" s="3004">
        <f ca="1">IF(N69&gt;10000,N69*0.5%,IF(AND(N69&gt;5000,N69&lt;=10000),N69*1%,IF(AND(N69&gt;1000,N69&lt;=5000),N69*2%,IF(AND(N69&gt;200,N69&lt;=1000),N69*3%,N69*5%))))</f>
        <v>92.37</v>
      </c>
      <c r="N88" s="53">
        <f ca="1">ROUND(M88,1)</f>
        <v>92.4</v>
      </c>
      <c r="O88" s="3007"/>
      <c r="P88" s="11"/>
      <c r="Q88" s="2018"/>
      <c r="R88" s="2018"/>
      <c r="S88" s="2018"/>
      <c r="T88" s="2018"/>
      <c r="U88" s="2018"/>
      <c r="V88" s="2018"/>
      <c r="W88" s="2022"/>
      <c r="X88" s="2022"/>
      <c r="Y88" s="2022"/>
      <c r="Z88" s="2022"/>
    </row>
    <row r="89" spans="1:26" s="1310" customFormat="1" ht="14.25">
      <c r="A89" s="3300" t="s">
        <v>428</v>
      </c>
      <c r="B89" s="3301"/>
      <c r="C89" s="994"/>
      <c r="D89" s="994" t="s">
        <v>429</v>
      </c>
      <c r="E89" s="391" t="s">
        <v>438</v>
      </c>
      <c r="F89" s="392"/>
      <c r="G89" s="392"/>
      <c r="H89" s="393"/>
      <c r="I89" s="1312"/>
      <c r="J89" s="2023"/>
      <c r="K89" s="3282"/>
      <c r="L89" s="3014" t="s">
        <v>27</v>
      </c>
      <c r="M89" s="3005"/>
      <c r="N89" s="53">
        <f ca="1">ROUND(SUM(N83:N88),0)</f>
        <v>304</v>
      </c>
      <c r="O89" s="3015">
        <f ca="1">N89/N69</f>
        <v>1.6455559164230811E-2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10556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2630</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3" t="s">
        <v>447</v>
      </c>
      <c r="F94" s="3334"/>
      <c r="G94" s="3334"/>
      <c r="H94" s="333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69</v>
      </c>
      <c r="D96" s="406">
        <f>'数据-取费表'!B43</f>
        <v>6.5000000000000006E-3</v>
      </c>
      <c r="E96" s="3323" t="s">
        <v>2428</v>
      </c>
      <c r="F96" s="3324"/>
      <c r="G96" s="3324"/>
      <c r="H96" s="332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7926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3.0136882129277565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3835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6" t="s">
        <v>454</v>
      </c>
      <c r="B101" s="3337"/>
      <c r="C101" s="3337"/>
      <c r="D101" s="3337"/>
      <c r="E101" s="3337"/>
      <c r="F101" s="3337"/>
      <c r="G101" s="3337"/>
      <c r="H101" s="3337"/>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0" t="s">
        <v>428</v>
      </c>
      <c r="B102" s="3301"/>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10556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759</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26" t="s">
        <v>462</v>
      </c>
      <c r="F109" s="3324"/>
      <c r="G109" s="3324"/>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26" t="s">
        <v>464</v>
      </c>
      <c r="F110" s="3324"/>
      <c r="G110" s="3324"/>
      <c r="H110" s="332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69</v>
      </c>
      <c r="D111" s="406">
        <f>'数据-取费表'!B43</f>
        <v>6.5000000000000006E-3</v>
      </c>
      <c r="E111" s="3323" t="s">
        <v>2428</v>
      </c>
      <c r="F111" s="3324"/>
      <c r="G111" s="3324"/>
      <c r="H111" s="332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6" t="s">
        <v>2453</v>
      </c>
      <c r="F112" s="3324"/>
      <c r="G112" s="3324"/>
      <c r="H112" s="332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9797</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12.907773386034256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5613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E29" sqref="E2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20177</v>
      </c>
      <c r="C2" s="2089"/>
      <c r="D2" s="2089"/>
      <c r="E2" s="2089"/>
      <c r="F2" s="2089"/>
      <c r="G2" s="2089"/>
      <c r="H2" s="2089"/>
      <c r="I2" s="2089"/>
      <c r="J2" s="2089"/>
      <c r="K2" s="2089"/>
    </row>
    <row r="3" spans="1:31" s="2026" customFormat="1" ht="18" customHeight="1">
      <c r="A3" s="2091" t="s">
        <v>1684</v>
      </c>
      <c r="B3" s="2092">
        <f ca="1">ROUND(B2*10000/IF(B1="",'数据-汇总表'!E3,INDIRECT("'数据-取费表'!K"&amp;$K$1)),0)</f>
        <v>1938</v>
      </c>
      <c r="C3" s="2089"/>
      <c r="D3" s="2089"/>
      <c r="E3" s="2089"/>
      <c r="F3" s="2089"/>
      <c r="G3" s="2089"/>
      <c r="H3" s="2089"/>
      <c r="I3" s="2089"/>
      <c r="J3" s="2089"/>
      <c r="K3" s="2089"/>
    </row>
    <row r="4" spans="1:31" s="2026" customFormat="1" ht="18" customHeight="1">
      <c r="A4" s="426" t="s">
        <v>468</v>
      </c>
      <c r="B4" s="427">
        <f ca="1">ROUND(B2*10000/IF(B1="",'数据-汇总表'!D3,INDIRECT("'数据-取费表'!R"&amp;$K$1)),0)</f>
        <v>4074</v>
      </c>
      <c r="C4" s="428"/>
      <c r="D4" s="422"/>
      <c r="E4" s="422"/>
      <c r="F4" s="422"/>
      <c r="G4" s="422"/>
      <c r="H4" s="422"/>
      <c r="I4" s="422"/>
      <c r="J4" s="422"/>
      <c r="K4" s="422"/>
    </row>
    <row r="5" spans="1:31" s="2026" customFormat="1" ht="18" customHeight="1" thickBot="1">
      <c r="A5" s="429"/>
      <c r="B5" s="430">
        <f ca="1">ROUND(B2/(IF(B1="",'数据-汇总表'!D3,INDIRECT("'数据-取费表'!R"&amp;$K$1))/666.67),0)</f>
        <v>272</v>
      </c>
      <c r="C5" s="431" t="s">
        <v>469</v>
      </c>
      <c r="D5" s="422"/>
      <c r="E5" s="422"/>
      <c r="F5" s="422"/>
      <c r="G5" s="422"/>
      <c r="H5" s="422"/>
      <c r="I5" s="422"/>
      <c r="J5" s="422"/>
      <c r="K5" s="422"/>
    </row>
    <row r="6" spans="1:31" s="2096" customFormat="1" ht="16.5" customHeight="1">
      <c r="A6" s="2783" t="s">
        <v>1842</v>
      </c>
      <c r="B6" s="2784"/>
      <c r="C6" s="2785">
        <f ca="1">SUM(C10:K10)</f>
        <v>65591</v>
      </c>
      <c r="D6" s="2784"/>
      <c r="E6" s="2784"/>
      <c r="F6" s="2784"/>
      <c r="G6" s="2784"/>
      <c r="H6" s="2784"/>
      <c r="I6" s="2784"/>
      <c r="J6" s="2784"/>
      <c r="K6" s="2786"/>
    </row>
    <row r="7" spans="1:31" s="2098" customFormat="1" ht="15">
      <c r="A7" s="2787" t="s">
        <v>470</v>
      </c>
      <c r="B7" s="2788" t="s">
        <v>471</v>
      </c>
      <c r="C7" s="436" t="s">
        <v>1677</v>
      </c>
      <c r="D7" s="436" t="s">
        <v>3248</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'不动产比较法-办公'!B3</f>
        <v>10481</v>
      </c>
      <c r="D8" s="2789">
        <f ca="1">不动产收益法!B3</f>
        <v>850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59430.919999999984</v>
      </c>
      <c r="D9" s="441">
        <f>SUMIF('数据-汇总表'!$C19:$C33,'剩余法-待开发'!D7,'数据-汇总表'!$E19:$E33)</f>
        <v>38830.82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78">
        <f>'不动产比较法-办公'!B2</f>
        <v>62290</v>
      </c>
      <c r="D10" s="2978">
        <f ca="1">不动产收益法!B2</f>
        <v>3301</v>
      </c>
      <c r="E10" s="2978"/>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26763</v>
      </c>
      <c r="D13" s="2799"/>
      <c r="E13" s="2800"/>
      <c r="F13" s="2801"/>
      <c r="G13" s="2767"/>
      <c r="H13" s="2768"/>
      <c r="I13" s="2768"/>
      <c r="J13" s="2768"/>
      <c r="K13" s="2769"/>
    </row>
    <row r="14" spans="1:31" s="2101" customFormat="1" ht="13.5" customHeight="1">
      <c r="A14" s="2797" t="s">
        <v>1849</v>
      </c>
      <c r="B14" s="2798" t="s">
        <v>480</v>
      </c>
      <c r="C14" s="53">
        <f ca="1">ROUND(C13*F14,0)</f>
        <v>803</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2082</v>
      </c>
      <c r="D16" s="2799">
        <f ca="1">IF(B1="",'数据-汇总表'!E3,INDIRECT("'数据-取费表'!K"&amp;$K$1)+INDIRECT("'数据-取费表'!S"&amp;$K$1))</f>
        <v>104102.39999999998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401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30049</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104102.39999999998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37"/>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290</v>
      </c>
      <c r="F21" s="2802"/>
      <c r="G21" s="26"/>
      <c r="H21" s="51"/>
      <c r="I21" s="51"/>
      <c r="J21" s="51"/>
      <c r="K21" s="2774"/>
    </row>
    <row r="22" spans="1:14" s="2101" customFormat="1" ht="13.5" customHeight="1">
      <c r="A22" s="2797" t="s">
        <v>1857</v>
      </c>
      <c r="B22" s="2798" t="s">
        <v>492</v>
      </c>
      <c r="C22" s="53">
        <f ca="1">ROUND(D22*E22/10000,0)</f>
        <v>3331</v>
      </c>
      <c r="D22" s="2799">
        <f ca="1">IF(B1="",'数据-汇总表'!E6,IF(INDIRECT("'数据-取费表'!c"&amp;$K$1)="住宅",INDIRECT("'数据-取费表'!s"&amp;$K$1),INDIRECT("'数据-取费表'!k"&amp;$K$1)+INDIRECT("'数据-取费表'!s"&amp;$K$1)))</f>
        <v>104102.39999999998</v>
      </c>
      <c r="E22" s="53">
        <f>'数据-取费表'!B28</f>
        <v>320</v>
      </c>
      <c r="F22" s="2802"/>
      <c r="G22" s="26"/>
      <c r="H22" s="51"/>
      <c r="I22" s="51"/>
      <c r="J22" s="51"/>
      <c r="K22" s="2774"/>
    </row>
    <row r="23" spans="1:14" s="2101" customFormat="1" ht="13.5" customHeight="1">
      <c r="A23" s="2805" t="s">
        <v>1858</v>
      </c>
      <c r="B23" s="2984" t="s">
        <v>2834</v>
      </c>
      <c r="C23" s="2807">
        <f ca="1">ROUND((C18+C19+C20)*F23,0)</f>
        <v>601</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4" t="s">
        <v>2837</v>
      </c>
      <c r="C24" s="2807">
        <f ca="1">ROUND(C6*F24,0)</f>
        <v>1312</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4"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5" t="s">
        <v>2836</v>
      </c>
      <c r="C26" s="2812">
        <f ca="1">C28</f>
        <v>1518</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1518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3529</v>
      </c>
      <c r="D29" s="468"/>
      <c r="E29" s="468"/>
      <c r="F29" s="2986">
        <f>'数据-取费表'!B41</f>
        <v>5.6500000000000002E-2</v>
      </c>
      <c r="G29" s="2776" t="s">
        <v>498</v>
      </c>
      <c r="H29" s="2768"/>
      <c r="I29" s="2768"/>
      <c r="J29" s="2768"/>
      <c r="K29" s="2769"/>
    </row>
    <row r="30" spans="1:14" s="2106" customFormat="1" ht="13.5" customHeight="1">
      <c r="A30" s="1620" t="s">
        <v>1863</v>
      </c>
      <c r="B30" s="2817" t="s">
        <v>500</v>
      </c>
      <c r="C30" s="2812">
        <f ca="1">C31</f>
        <v>37009</v>
      </c>
      <c r="D30" s="477">
        <f ca="1">C32</f>
        <v>0.12909999999999999</v>
      </c>
      <c r="E30" s="469" t="s">
        <v>495</v>
      </c>
      <c r="F30" s="471"/>
      <c r="G30" s="2775" t="s">
        <v>2968</v>
      </c>
      <c r="H30" s="2768"/>
      <c r="I30" s="2768"/>
      <c r="J30" s="2768"/>
      <c r="K30" s="2769"/>
    </row>
    <row r="31" spans="1:14" s="2105" customFormat="1" ht="13.5" customHeight="1">
      <c r="A31" s="803" t="s">
        <v>1856</v>
      </c>
      <c r="B31" s="2813"/>
      <c r="C31" s="450">
        <f ca="1">C18+C19+C20+C23+C24+C26+C29</f>
        <v>37009</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3" t="s">
        <v>2833</v>
      </c>
      <c r="B33" s="2981" t="s">
        <v>2831</v>
      </c>
      <c r="C33" s="478">
        <f ca="1">C35</f>
        <v>3516</v>
      </c>
      <c r="D33" s="467">
        <f ca="1">C34</f>
        <v>0.1132</v>
      </c>
      <c r="E33" s="469" t="s">
        <v>495</v>
      </c>
      <c r="F33" s="479">
        <f ca="1">IF(B1="",'数据-取费表'!Q16,INDIRECT("'数据-取费表'!q"&amp;$K$1))</f>
        <v>0.11</v>
      </c>
      <c r="G33" s="2771"/>
      <c r="H33" s="2772"/>
      <c r="I33" s="2772"/>
      <c r="J33" s="2772"/>
      <c r="K33" s="2773"/>
    </row>
    <row r="34" spans="1:11" s="2108" customFormat="1" ht="13.5" customHeight="1">
      <c r="A34" s="375" t="s">
        <v>1856</v>
      </c>
      <c r="B34" s="2818" t="s">
        <v>501</v>
      </c>
      <c r="C34" s="472">
        <f ca="1">ROUND((1+C25)*F33,4)</f>
        <v>0.1132</v>
      </c>
      <c r="D34" s="472"/>
      <c r="E34" s="473"/>
      <c r="F34" s="480"/>
      <c r="G34" s="261" t="s">
        <v>2290</v>
      </c>
      <c r="H34" s="2770"/>
      <c r="I34" s="2770"/>
      <c r="J34" s="2770"/>
      <c r="K34" s="279"/>
    </row>
    <row r="35" spans="1:11" s="2108" customFormat="1" ht="13.5" customHeight="1" thickBot="1">
      <c r="A35" s="1621" t="s">
        <v>1857</v>
      </c>
      <c r="B35" s="2982" t="s">
        <v>2839</v>
      </c>
      <c r="C35" s="1613">
        <f ca="1">ROUND((C18+C19+C20+C23+C24)*F33,0)</f>
        <v>3516</v>
      </c>
      <c r="D35" s="1614"/>
      <c r="E35" s="2819"/>
      <c r="F35" s="1615"/>
      <c r="G35" s="2777"/>
      <c r="H35" s="2778"/>
      <c r="I35" s="2778"/>
      <c r="J35" s="2778"/>
      <c r="K35" s="2779"/>
    </row>
    <row r="36" spans="1:11" s="2070" customFormat="1" ht="13.5" customHeight="1" thickBot="1">
      <c r="A36" s="284" t="s">
        <v>1844</v>
      </c>
      <c r="B36" s="2781"/>
      <c r="C36" s="2820">
        <f ca="1">ROUND((C6-C30-C33)/(1+D30+D33),0)</f>
        <v>20177</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6" sqref="C126:F131"/>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26763</v>
      </c>
      <c r="D13" s="451"/>
      <c r="E13" s="365"/>
      <c r="F13" s="452"/>
      <c r="G13" s="444"/>
      <c r="H13" s="447"/>
      <c r="I13" s="447"/>
      <c r="J13" s="447"/>
      <c r="K13" s="448"/>
    </row>
    <row r="14" spans="1:41" s="2101" customFormat="1" ht="13.5" customHeight="1">
      <c r="A14" s="1618" t="s">
        <v>1849</v>
      </c>
      <c r="B14" s="449" t="s">
        <v>480</v>
      </c>
      <c r="C14" s="53">
        <f ca="1">ROUND(C13*F14,0)</f>
        <v>803</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2082</v>
      </c>
      <c r="D16" s="451">
        <f ca="1">IF(B1="",'数据-汇总表'!E3,INDIRECT("'数据-取费表'!K"&amp;$K$1)+INDIRECT("'数据-取费表'!S"&amp;$K$1))</f>
        <v>104102.39999999998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401</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30049</v>
      </c>
      <c r="D18" s="461"/>
      <c r="E18" s="462"/>
      <c r="F18" s="462"/>
      <c r="G18" s="1323" t="s">
        <v>2432</v>
      </c>
      <c r="H18" s="447"/>
      <c r="I18" s="447"/>
      <c r="J18" s="447"/>
      <c r="K18" s="448"/>
    </row>
    <row r="19" spans="1:14" s="2104" customFormat="1" ht="13.5" customHeight="1">
      <c r="A19" s="1619" t="s">
        <v>1854</v>
      </c>
      <c r="B19" s="459" t="s">
        <v>493</v>
      </c>
      <c r="C19" s="460">
        <f ca="1">ROUND(C18*F19,0)</f>
        <v>601</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79">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1456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1456</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1" t="s">
        <v>2832</v>
      </c>
      <c r="C24" s="478">
        <f ca="1">C25</f>
        <v>3372</v>
      </c>
      <c r="D24" s="489">
        <f ca="1">C26</f>
        <v>2.2000000000000001E-3</v>
      </c>
      <c r="E24" s="469" t="s">
        <v>507</v>
      </c>
      <c r="F24" s="479">
        <f ca="1">IF(B1="",'数据-取费表'!Q16,INDIRECT("'数据-取费表'!q"&amp;$K$1))</f>
        <v>0.11</v>
      </c>
      <c r="G24" s="444"/>
      <c r="H24" s="447"/>
      <c r="I24" s="447"/>
      <c r="J24" s="447"/>
      <c r="K24" s="448"/>
    </row>
    <row r="25" spans="1:14" s="2105" customFormat="1" ht="13.5" customHeight="1">
      <c r="A25" s="1618" t="s">
        <v>1848</v>
      </c>
      <c r="B25" s="1324" t="s">
        <v>2436</v>
      </c>
      <c r="C25" s="490">
        <f ca="1">ROUND((C18+C19)*F24,0)</f>
        <v>3372</v>
      </c>
      <c r="D25" s="472"/>
      <c r="E25" s="473"/>
      <c r="F25" s="480"/>
      <c r="G25" s="1322" t="s">
        <v>2433</v>
      </c>
      <c r="H25" s="457"/>
      <c r="I25" s="457"/>
      <c r="J25" s="457"/>
      <c r="K25" s="458"/>
    </row>
    <row r="26" spans="1:14" s="2105" customFormat="1" ht="13.5" customHeight="1">
      <c r="A26" s="1618" t="s">
        <v>1849</v>
      </c>
      <c r="B26" s="1324" t="s">
        <v>509</v>
      </c>
      <c r="C26" s="491">
        <f ca="1">ROUND(F20*F24,4)</f>
        <v>2.2000000000000001E-3</v>
      </c>
      <c r="D26" s="472"/>
      <c r="E26" s="481"/>
      <c r="F26" s="480"/>
      <c r="G26" s="1322" t="s">
        <v>510</v>
      </c>
      <c r="H26" s="457"/>
      <c r="I26" s="457"/>
      <c r="J26" s="457"/>
      <c r="K26" s="458"/>
    </row>
    <row r="27" spans="1:14" s="2105" customFormat="1" ht="13.5" customHeight="1">
      <c r="A27" s="1622" t="s">
        <v>1867</v>
      </c>
      <c r="B27" s="459" t="s">
        <v>511</v>
      </c>
      <c r="C27" s="2980">
        <f>ROUND(F27/(1+'数据-取费表'!C42),4)</f>
        <v>5.3800000000000001E-2</v>
      </c>
      <c r="D27" s="462" t="s">
        <v>2830</v>
      </c>
      <c r="E27" s="462"/>
      <c r="F27" s="466">
        <f>'数据-取费表'!B41</f>
        <v>5.6500000000000002E-2</v>
      </c>
      <c r="G27" s="1945" t="s">
        <v>2291</v>
      </c>
      <c r="H27" s="447"/>
      <c r="I27" s="447"/>
      <c r="J27" s="447"/>
      <c r="K27" s="448"/>
    </row>
    <row r="28" spans="1:14" s="2106" customFormat="1" ht="13.5" customHeight="1">
      <c r="A28" s="1622" t="s">
        <v>1868</v>
      </c>
      <c r="B28" s="476" t="s">
        <v>512</v>
      </c>
      <c r="C28" s="470">
        <f ca="1">ROUND((C18+C19+C21+C24)/(1-C20-D21-D24-C27),0)</f>
        <v>38438</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4" t="str">
        <f>项目基本情况!B1</f>
        <v>天津市东丽区东丽湖银桂道以南、景福路以东出让国有建设用地使用权抵押价格预评估</v>
      </c>
      <c r="C37" s="3194"/>
      <c r="D37" s="3194"/>
      <c r="E37" s="3194"/>
      <c r="F37" s="3194"/>
      <c r="G37" s="3194"/>
      <c r="H37" s="3194"/>
      <c r="I37" s="3194"/>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吴薇、郑燚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C7" zoomScale="55" zoomScaleNormal="55" zoomScaleSheetLayoutView="85" workbookViewId="0">
      <selection activeCell="D43" sqref="D4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16771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1611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3386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226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1" t="s">
        <v>522</v>
      </c>
      <c r="D6" s="3382"/>
      <c r="E6" s="3381" t="s">
        <v>523</v>
      </c>
      <c r="F6" s="3382"/>
      <c r="G6" s="3381" t="s">
        <v>524</v>
      </c>
      <c r="H6" s="3382"/>
      <c r="I6" s="3381" t="s">
        <v>525</v>
      </c>
      <c r="J6" s="3382"/>
      <c r="K6" s="514" t="s">
        <v>526</v>
      </c>
      <c r="L6" s="2118"/>
      <c r="M6" s="2117"/>
      <c r="N6" s="2117"/>
      <c r="O6" s="2119"/>
      <c r="P6" s="3383" t="s">
        <v>527</v>
      </c>
      <c r="Q6" s="3384"/>
      <c r="R6" s="3369" t="s">
        <v>523</v>
      </c>
      <c r="S6" s="3370"/>
      <c r="T6" s="3369" t="s">
        <v>524</v>
      </c>
      <c r="U6" s="3370"/>
      <c r="V6" s="3389" t="s">
        <v>525</v>
      </c>
      <c r="W6" s="3389"/>
      <c r="X6" s="1553"/>
      <c r="Y6" s="3369" t="s">
        <v>527</v>
      </c>
      <c r="Z6" s="3370"/>
      <c r="AA6" s="3364" t="s">
        <v>523</v>
      </c>
      <c r="AB6" s="3365" t="s">
        <v>524</v>
      </c>
      <c r="AC6" s="3364" t="s">
        <v>525</v>
      </c>
    </row>
    <row r="7" spans="1:30" ht="20.25">
      <c r="A7" s="515"/>
      <c r="B7" s="516"/>
      <c r="C7" s="3394" t="s">
        <v>3066</v>
      </c>
      <c r="D7" s="3393"/>
      <c r="E7" s="3392" t="str">
        <f>案例!$A$49</f>
        <v>天津滨海高新区海洋科技园</v>
      </c>
      <c r="F7" s="3393"/>
      <c r="G7" s="3392" t="str">
        <f>案例!$A$50</f>
        <v>天津滨海高新区海洋科技园</v>
      </c>
      <c r="H7" s="3393"/>
      <c r="I7" s="3392" t="str">
        <f>案例!$A$52</f>
        <v>天津空港经济区</v>
      </c>
      <c r="J7" s="3393"/>
      <c r="K7" s="514"/>
      <c r="L7" s="2118"/>
      <c r="M7" s="2117"/>
      <c r="N7" s="2117"/>
      <c r="O7" s="2119"/>
      <c r="P7" s="3385"/>
      <c r="Q7" s="3386"/>
      <c r="R7" s="3371"/>
      <c r="S7" s="3372"/>
      <c r="T7" s="3371"/>
      <c r="U7" s="3372"/>
      <c r="V7" s="3389"/>
      <c r="W7" s="3389"/>
      <c r="X7" s="1553"/>
      <c r="Y7" s="3371"/>
      <c r="Z7" s="3372"/>
      <c r="AA7" s="3365"/>
      <c r="AB7" s="3365"/>
      <c r="AC7" s="3365"/>
    </row>
    <row r="8" spans="1:30" ht="21" thickBot="1">
      <c r="A8" s="515"/>
      <c r="B8" s="516"/>
      <c r="C8" s="3395" t="s">
        <v>3067</v>
      </c>
      <c r="D8" s="3391"/>
      <c r="E8" s="3396" t="s">
        <v>2930</v>
      </c>
      <c r="F8" s="3397"/>
      <c r="G8" s="3390" t="s">
        <v>2930</v>
      </c>
      <c r="H8" s="3391"/>
      <c r="I8" s="3390" t="s">
        <v>2930</v>
      </c>
      <c r="J8" s="3391"/>
      <c r="K8" s="514" t="s">
        <v>528</v>
      </c>
      <c r="L8" s="2118"/>
      <c r="M8" s="2117"/>
      <c r="N8" s="2117"/>
      <c r="O8" s="2119"/>
      <c r="P8" s="3387"/>
      <c r="Q8" s="3388"/>
      <c r="R8" s="3371"/>
      <c r="S8" s="3372"/>
      <c r="T8" s="3373"/>
      <c r="U8" s="3374"/>
      <c r="V8" s="3389"/>
      <c r="W8" s="3389"/>
      <c r="X8" s="1553"/>
      <c r="Y8" s="3373"/>
      <c r="Z8" s="3374"/>
      <c r="AA8" s="3366"/>
      <c r="AB8" s="3366"/>
      <c r="AC8" s="3366"/>
    </row>
    <row r="9" spans="1:30" s="1216" customFormat="1" ht="21" thickBot="1">
      <c r="A9" s="2867"/>
      <c r="B9" s="2874" t="s">
        <v>529</v>
      </c>
      <c r="C9" s="2866">
        <f>'数据-取费表'!B2</f>
        <v>43693</v>
      </c>
      <c r="D9" s="520">
        <v>100</v>
      </c>
      <c r="E9" s="521" t="str">
        <f>案例!AA49</f>
        <v>2019-07-10</v>
      </c>
      <c r="F9" s="522">
        <f>SUMIF(72:72,YEAR(E9)&amp;"-"&amp;INT((MONTH(E9)+2)/3),73:73)</f>
        <v>100</v>
      </c>
      <c r="G9" s="521" t="str">
        <f>案例!AA50</f>
        <v>2019-05-29</v>
      </c>
      <c r="H9" s="520">
        <f>SUMIF(72:72,YEAR(G9)&amp;"-"&amp;INT((MONTH(G9)+2)/3),73:73)</f>
        <v>99.5</v>
      </c>
      <c r="I9" s="521" t="str">
        <f>案例!AA52</f>
        <v>2019-03-06</v>
      </c>
      <c r="J9" s="520">
        <f>SUMIF(72:72,YEAR(I9)&amp;"-"&amp;INT((MONTH(I9)+2)/3),73:73)</f>
        <v>99</v>
      </c>
      <c r="K9" s="524"/>
      <c r="L9" s="2120"/>
      <c r="M9" s="2117"/>
      <c r="N9" s="2117"/>
      <c r="O9" s="2121"/>
      <c r="P9" s="3367" t="s">
        <v>530</v>
      </c>
      <c r="Q9" s="3376"/>
      <c r="R9" s="1554" t="s">
        <v>8</v>
      </c>
      <c r="S9" s="1555">
        <f t="shared" ref="S9:S17" si="0">F9</f>
        <v>100</v>
      </c>
      <c r="T9" s="1554" t="s">
        <v>8</v>
      </c>
      <c r="U9" s="1555">
        <f t="shared" ref="U9:U17" si="1">H9</f>
        <v>99.5</v>
      </c>
      <c r="V9" s="1554" t="s">
        <v>8</v>
      </c>
      <c r="W9" s="1555">
        <f t="shared" ref="W9:W17" si="2">J9</f>
        <v>99</v>
      </c>
      <c r="X9" s="1556"/>
      <c r="Y9" s="3367" t="s">
        <v>530</v>
      </c>
      <c r="Z9" s="3368"/>
      <c r="AA9" s="1557">
        <f>D9/F9</f>
        <v>1</v>
      </c>
      <c r="AB9" s="1557">
        <f>D9/H9</f>
        <v>1.0050251256281406</v>
      </c>
      <c r="AC9" s="1557">
        <f>D9/J9</f>
        <v>1.0101010101010102</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67" t="s">
        <v>533</v>
      </c>
      <c r="Q10" s="3368"/>
      <c r="R10" s="1554" t="s">
        <v>8</v>
      </c>
      <c r="S10" s="1555">
        <f t="shared" si="0"/>
        <v>100</v>
      </c>
      <c r="T10" s="1554" t="s">
        <v>8</v>
      </c>
      <c r="U10" s="1555">
        <f t="shared" si="1"/>
        <v>100</v>
      </c>
      <c r="V10" s="1554" t="s">
        <v>8</v>
      </c>
      <c r="W10" s="1555">
        <f t="shared" si="2"/>
        <v>100</v>
      </c>
      <c r="X10" s="1556"/>
      <c r="Y10" s="3367" t="s">
        <v>533</v>
      </c>
      <c r="Z10" s="3368"/>
      <c r="AA10" s="1557">
        <f t="shared" ref="AA10:AA47" si="3">D10/F10</f>
        <v>1</v>
      </c>
      <c r="AB10" s="1557">
        <f t="shared" ref="AB10:AB47" si="4">D10/H10</f>
        <v>1</v>
      </c>
      <c r="AC10" s="1557">
        <f t="shared" ref="AC10:AC47" si="5">D10/J10</f>
        <v>1</v>
      </c>
    </row>
    <row r="11" spans="1:30" s="1216" customFormat="1" ht="20.25">
      <c r="A11" s="2869"/>
      <c r="B11" s="2876" t="s">
        <v>2756</v>
      </c>
      <c r="C11" s="2863" t="s">
        <v>3000</v>
      </c>
      <c r="D11" s="254">
        <v>100</v>
      </c>
      <c r="E11" s="2863" t="s">
        <v>3000</v>
      </c>
      <c r="F11" s="254">
        <f>SUMIF(77:77,E11,78:78)-SUMIF(77:77,C11,78:78)+100</f>
        <v>100</v>
      </c>
      <c r="G11" s="2863" t="s">
        <v>3000</v>
      </c>
      <c r="H11" s="254">
        <f>SUMIF(77:77,G11,78:78)-SUMIF(77:77,C11,78:78)+100</f>
        <v>100</v>
      </c>
      <c r="I11" s="2863" t="s">
        <v>3000</v>
      </c>
      <c r="J11" s="254">
        <f>SUMIF(77:77,I11,78:78)-SUMIF(77:77,C11,78:78)+100</f>
        <v>100</v>
      </c>
      <c r="K11" s="524"/>
      <c r="L11" s="2120"/>
      <c r="M11" s="2117"/>
      <c r="N11" s="2117"/>
      <c r="O11" s="2122"/>
      <c r="P11" s="3375" t="s">
        <v>535</v>
      </c>
      <c r="Q11" s="1147" t="str">
        <f t="shared" ref="Q11:Q17" si="6">B11</f>
        <v>用途</v>
      </c>
      <c r="R11" s="1554" t="s">
        <v>8</v>
      </c>
      <c r="S11" s="1555">
        <f t="shared" si="0"/>
        <v>100</v>
      </c>
      <c r="T11" s="1554" t="s">
        <v>8</v>
      </c>
      <c r="U11" s="1555">
        <f t="shared" si="1"/>
        <v>100</v>
      </c>
      <c r="V11" s="1554" t="s">
        <v>8</v>
      </c>
      <c r="W11" s="1555">
        <f t="shared" si="2"/>
        <v>100</v>
      </c>
      <c r="X11" s="1556"/>
      <c r="Y11" s="3332" t="s">
        <v>536</v>
      </c>
      <c r="Z11" s="1146" t="str">
        <f t="shared" ref="Z11:Z17" si="7">Q11</f>
        <v>用途</v>
      </c>
      <c r="AA11" s="1557">
        <f t="shared" si="3"/>
        <v>1</v>
      </c>
      <c r="AB11" s="1557">
        <f t="shared" si="4"/>
        <v>1</v>
      </c>
      <c r="AC11" s="1557">
        <f t="shared" si="5"/>
        <v>1</v>
      </c>
    </row>
    <row r="12" spans="1:30" s="1334" customFormat="1" ht="27">
      <c r="A12" s="2870"/>
      <c r="B12" s="2875" t="s">
        <v>2757</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375"/>
      <c r="Q12" s="1147" t="str">
        <f t="shared" si="6"/>
        <v>土地使用年限（年）</v>
      </c>
      <c r="R12" s="1554" t="s">
        <v>8</v>
      </c>
      <c r="S12" s="1555">
        <f t="shared" si="0"/>
        <v>102</v>
      </c>
      <c r="T12" s="1554" t="s">
        <v>8</v>
      </c>
      <c r="U12" s="1555">
        <f t="shared" si="1"/>
        <v>102</v>
      </c>
      <c r="V12" s="1554" t="s">
        <v>8</v>
      </c>
      <c r="W12" s="1555">
        <f t="shared" si="2"/>
        <v>102</v>
      </c>
      <c r="X12" s="1556"/>
      <c r="Y12" s="3332"/>
      <c r="Z12" s="1146" t="str">
        <f t="shared" si="7"/>
        <v>土地使用年限（年）</v>
      </c>
      <c r="AA12" s="1557">
        <f t="shared" si="3"/>
        <v>0.98039215686274506</v>
      </c>
      <c r="AB12" s="1557">
        <f t="shared" si="4"/>
        <v>0.98039215686274506</v>
      </c>
      <c r="AC12" s="1557">
        <f t="shared" si="5"/>
        <v>0.98039215686274506</v>
      </c>
    </row>
    <row r="13" spans="1:30" ht="20.25">
      <c r="A13" s="2871"/>
      <c r="B13" s="2875" t="s">
        <v>2758</v>
      </c>
      <c r="C13" s="534">
        <f>'数据-汇总表'!I6</f>
        <v>1.2</v>
      </c>
      <c r="D13" s="255">
        <v>100</v>
      </c>
      <c r="E13" s="533">
        <v>2</v>
      </c>
      <c r="F13" s="255">
        <f>LOOKUP(E13,82:82,83:83)-LOOKUP(C13,82:82,83:83)+100</f>
        <v>99</v>
      </c>
      <c r="G13" s="534">
        <v>2.5</v>
      </c>
      <c r="H13" s="255">
        <f>LOOKUP(G13,82:82,83:83)-LOOKUP(C13,82:82,83:83)+100</f>
        <v>99</v>
      </c>
      <c r="I13" s="533">
        <v>1.8</v>
      </c>
      <c r="J13" s="255">
        <f>LOOKUP(I13,82:82,83:83)-LOOKUP(C13,82:82,83:83)+100</f>
        <v>100</v>
      </c>
      <c r="K13" s="535">
        <v>1</v>
      </c>
      <c r="L13" s="2125"/>
      <c r="M13" s="2117"/>
      <c r="N13" s="2117"/>
      <c r="O13" s="2126"/>
      <c r="P13" s="3375"/>
      <c r="Q13" s="1147" t="str">
        <f t="shared" si="6"/>
        <v>容积率</v>
      </c>
      <c r="R13" s="1554" t="s">
        <v>8</v>
      </c>
      <c r="S13" s="1555">
        <f t="shared" si="0"/>
        <v>99</v>
      </c>
      <c r="T13" s="1554" t="s">
        <v>8</v>
      </c>
      <c r="U13" s="1555">
        <f t="shared" si="1"/>
        <v>99</v>
      </c>
      <c r="V13" s="1554" t="s">
        <v>8</v>
      </c>
      <c r="W13" s="1555">
        <f t="shared" si="2"/>
        <v>100</v>
      </c>
      <c r="X13" s="1556"/>
      <c r="Y13" s="3332"/>
      <c r="Z13" s="1146" t="str">
        <f t="shared" si="7"/>
        <v>容积率</v>
      </c>
      <c r="AA13" s="1557">
        <f t="shared" si="3"/>
        <v>1.0101010101010102</v>
      </c>
      <c r="AB13" s="1557">
        <f t="shared" si="4"/>
        <v>1.0101010101010102</v>
      </c>
      <c r="AC13" s="1557">
        <f t="shared" si="5"/>
        <v>1</v>
      </c>
    </row>
    <row r="14" spans="1:30" s="1216" customFormat="1" ht="20.25" hidden="1">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5"/>
      <c r="Q14" s="1147" t="str">
        <f t="shared" si="6"/>
        <v>配建</v>
      </c>
      <c r="R14" s="1554" t="s">
        <v>8</v>
      </c>
      <c r="S14" s="1555">
        <f t="shared" si="0"/>
        <v>100</v>
      </c>
      <c r="T14" s="1554" t="s">
        <v>8</v>
      </c>
      <c r="U14" s="1555">
        <f t="shared" si="1"/>
        <v>100</v>
      </c>
      <c r="V14" s="1554" t="s">
        <v>8</v>
      </c>
      <c r="W14" s="1555">
        <f t="shared" si="2"/>
        <v>100</v>
      </c>
      <c r="X14" s="1556"/>
      <c r="Y14" s="3332"/>
      <c r="Z14" s="1146" t="str">
        <f t="shared" si="7"/>
        <v>配建</v>
      </c>
      <c r="AA14" s="1557">
        <f>D14/F14</f>
        <v>1</v>
      </c>
      <c r="AB14" s="1557">
        <f>D14/H14</f>
        <v>1</v>
      </c>
      <c r="AC14" s="1557">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5"/>
      <c r="Q15" s="1147">
        <f t="shared" si="6"/>
        <v>111</v>
      </c>
      <c r="R15" s="1554" t="s">
        <v>8</v>
      </c>
      <c r="S15" s="1555">
        <f t="shared" si="0"/>
        <v>100</v>
      </c>
      <c r="T15" s="1554" t="s">
        <v>8</v>
      </c>
      <c r="U15" s="1555">
        <f t="shared" si="1"/>
        <v>100</v>
      </c>
      <c r="V15" s="1554" t="s">
        <v>8</v>
      </c>
      <c r="W15" s="1555">
        <f t="shared" si="2"/>
        <v>100</v>
      </c>
      <c r="X15" s="1556"/>
      <c r="Y15" s="3332"/>
      <c r="Z15" s="1146">
        <f t="shared" si="7"/>
        <v>111</v>
      </c>
      <c r="AA15" s="1557">
        <f>D15/F15</f>
        <v>1</v>
      </c>
      <c r="AB15" s="1557">
        <f>D15/H15</f>
        <v>1</v>
      </c>
      <c r="AC15" s="1557">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5"/>
      <c r="Q16" s="1147">
        <f t="shared" si="6"/>
        <v>111</v>
      </c>
      <c r="R16" s="1554" t="s">
        <v>8</v>
      </c>
      <c r="S16" s="1555">
        <f t="shared" si="0"/>
        <v>100</v>
      </c>
      <c r="T16" s="1554" t="s">
        <v>8</v>
      </c>
      <c r="U16" s="1555">
        <f t="shared" si="1"/>
        <v>100</v>
      </c>
      <c r="V16" s="1554" t="s">
        <v>8</v>
      </c>
      <c r="W16" s="1555">
        <f t="shared" si="2"/>
        <v>100</v>
      </c>
      <c r="X16" s="1556"/>
      <c r="Y16" s="3332"/>
      <c r="Z16" s="1146">
        <f t="shared" si="7"/>
        <v>111</v>
      </c>
      <c r="AA16" s="1557">
        <f>D16/F16</f>
        <v>1</v>
      </c>
      <c r="AB16" s="1557">
        <f>D16/H16</f>
        <v>1</v>
      </c>
      <c r="AC16" s="1557">
        <f>D16/J16</f>
        <v>1</v>
      </c>
    </row>
    <row r="17" spans="1:29" ht="20.25" hidden="1">
      <c r="A17" s="2865"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77" t="s">
        <v>540</v>
      </c>
      <c r="Q17" s="1558" t="str">
        <f t="shared" si="6"/>
        <v>居住社区成熟度</v>
      </c>
      <c r="R17" s="1559" t="s">
        <v>8</v>
      </c>
      <c r="S17" s="1560">
        <f t="shared" si="0"/>
        <v>100</v>
      </c>
      <c r="T17" s="1559" t="s">
        <v>8</v>
      </c>
      <c r="U17" s="1560">
        <f t="shared" si="1"/>
        <v>100</v>
      </c>
      <c r="V17" s="1559" t="s">
        <v>8</v>
      </c>
      <c r="W17" s="1560">
        <f t="shared" si="2"/>
        <v>100</v>
      </c>
      <c r="X17" s="1553"/>
      <c r="Y17" s="3377"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378"/>
      <c r="Q18" s="1558"/>
      <c r="R18" s="1559"/>
      <c r="S18" s="1560"/>
      <c r="T18" s="1559"/>
      <c r="U18" s="1560"/>
      <c r="V18" s="1559"/>
      <c r="W18" s="1560"/>
      <c r="X18" s="1553"/>
      <c r="Y18" s="3378"/>
      <c r="Z18" s="1561"/>
      <c r="AA18" s="1562">
        <v>1</v>
      </c>
      <c r="AB18" s="1562">
        <v>1</v>
      </c>
      <c r="AC18" s="1562">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78"/>
      <c r="Q19" s="1558" t="str">
        <f>B19</f>
        <v>商业繁华度</v>
      </c>
      <c r="R19" s="1559" t="s">
        <v>8</v>
      </c>
      <c r="S19" s="1560">
        <f>F19</f>
        <v>100</v>
      </c>
      <c r="T19" s="1559" t="s">
        <v>8</v>
      </c>
      <c r="U19" s="1560">
        <f>H19</f>
        <v>100</v>
      </c>
      <c r="V19" s="1559" t="s">
        <v>8</v>
      </c>
      <c r="W19" s="1560">
        <f>J19</f>
        <v>100</v>
      </c>
      <c r="X19" s="1553"/>
      <c r="Y19" s="3378"/>
      <c r="Z19" s="1561" t="str">
        <f>Q19</f>
        <v>商业繁华度</v>
      </c>
      <c r="AA19" s="1562">
        <f t="shared" si="3"/>
        <v>1</v>
      </c>
      <c r="AB19" s="1562">
        <f t="shared" si="4"/>
        <v>1</v>
      </c>
      <c r="AC19" s="1562">
        <f t="shared" si="5"/>
        <v>1</v>
      </c>
    </row>
    <row r="20" spans="1:29" ht="20.25">
      <c r="A20" s="532"/>
      <c r="B20" s="566"/>
      <c r="C20" s="567" t="s">
        <v>3047</v>
      </c>
      <c r="D20" s="563"/>
      <c r="E20" s="567" t="s">
        <v>3047</v>
      </c>
      <c r="F20" s="559"/>
      <c r="G20" s="567" t="s">
        <v>3047</v>
      </c>
      <c r="H20" s="555"/>
      <c r="I20" s="567" t="s">
        <v>3047</v>
      </c>
      <c r="J20" s="555"/>
      <c r="K20" s="531"/>
      <c r="L20" s="2127"/>
      <c r="M20" s="2117"/>
      <c r="N20" s="2117"/>
      <c r="O20" s="2126"/>
      <c r="P20" s="3378"/>
      <c r="Q20" s="1558"/>
      <c r="R20" s="1559"/>
      <c r="S20" s="1560"/>
      <c r="T20" s="1559"/>
      <c r="U20" s="1560"/>
      <c r="V20" s="1559"/>
      <c r="W20" s="1560"/>
      <c r="X20" s="1553"/>
      <c r="Y20" s="3378"/>
      <c r="Z20" s="1561"/>
      <c r="AA20" s="1562">
        <v>1</v>
      </c>
      <c r="AB20" s="1562">
        <v>1</v>
      </c>
      <c r="AC20" s="1562">
        <v>1</v>
      </c>
    </row>
    <row r="21" spans="1:29" ht="20.25">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378"/>
      <c r="Q21" s="1558" t="str">
        <f>B21</f>
        <v>办公集聚程度</v>
      </c>
      <c r="R21" s="1559" t="s">
        <v>8</v>
      </c>
      <c r="S21" s="1560">
        <f>F21</f>
        <v>100</v>
      </c>
      <c r="T21" s="1559" t="s">
        <v>8</v>
      </c>
      <c r="U21" s="1560">
        <f>H21</f>
        <v>100</v>
      </c>
      <c r="V21" s="1559" t="s">
        <v>8</v>
      </c>
      <c r="W21" s="1560">
        <f>J21</f>
        <v>100</v>
      </c>
      <c r="X21" s="1553"/>
      <c r="Y21" s="3378"/>
      <c r="Z21" s="1561" t="str">
        <f>Q21</f>
        <v>办公集聚程度</v>
      </c>
      <c r="AA21" s="1562">
        <f t="shared" si="3"/>
        <v>1</v>
      </c>
      <c r="AB21" s="1562">
        <f t="shared" si="4"/>
        <v>1</v>
      </c>
      <c r="AC21" s="1562">
        <f t="shared" si="5"/>
        <v>1</v>
      </c>
    </row>
    <row r="22" spans="1:29" ht="20.25">
      <c r="A22" s="532"/>
      <c r="B22" s="566"/>
      <c r="C22" s="567"/>
      <c r="D22" s="557"/>
      <c r="E22" s="567"/>
      <c r="F22" s="555"/>
      <c r="G22" s="567"/>
      <c r="H22" s="555"/>
      <c r="I22" s="567"/>
      <c r="J22" s="555"/>
      <c r="K22" s="531"/>
      <c r="L22" s="2127"/>
      <c r="M22" s="2117"/>
      <c r="N22" s="2117"/>
      <c r="O22" s="2126"/>
      <c r="P22" s="3378"/>
      <c r="Q22" s="1558"/>
      <c r="R22" s="1559"/>
      <c r="S22" s="1560"/>
      <c r="T22" s="1559"/>
      <c r="U22" s="1560"/>
      <c r="V22" s="1559"/>
      <c r="W22" s="1560"/>
      <c r="X22" s="1553"/>
      <c r="Y22" s="3378"/>
      <c r="Z22" s="1561"/>
      <c r="AA22" s="1562">
        <v>1</v>
      </c>
      <c r="AB22" s="1562">
        <v>1</v>
      </c>
      <c r="AC22" s="1562">
        <v>1</v>
      </c>
    </row>
    <row r="23" spans="1:29" ht="20.25">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378"/>
      <c r="Q23" s="1558" t="str">
        <f>B23</f>
        <v>交通便捷度</v>
      </c>
      <c r="R23" s="1559" t="s">
        <v>8</v>
      </c>
      <c r="S23" s="1560">
        <f>F23</f>
        <v>98</v>
      </c>
      <c r="T23" s="1559" t="s">
        <v>8</v>
      </c>
      <c r="U23" s="1560">
        <f>H23</f>
        <v>98</v>
      </c>
      <c r="V23" s="1559" t="s">
        <v>8</v>
      </c>
      <c r="W23" s="1560">
        <f>J23</f>
        <v>100</v>
      </c>
      <c r="X23" s="1553"/>
      <c r="Y23" s="3378"/>
      <c r="Z23" s="1561" t="str">
        <f>Q23</f>
        <v>交通便捷度</v>
      </c>
      <c r="AA23" s="1562">
        <f t="shared" si="3"/>
        <v>1.0204081632653061</v>
      </c>
      <c r="AB23" s="1562">
        <f t="shared" si="4"/>
        <v>1.0204081632653061</v>
      </c>
      <c r="AC23" s="1562">
        <f t="shared" si="5"/>
        <v>1</v>
      </c>
    </row>
    <row r="24" spans="1:29" ht="20.25">
      <c r="A24" s="532"/>
      <c r="B24" s="578"/>
      <c r="C24" s="554" t="s">
        <v>3048</v>
      </c>
      <c r="D24" s="557"/>
      <c r="E24" s="558" t="s">
        <v>3047</v>
      </c>
      <c r="F24" s="555"/>
      <c r="G24" s="558" t="s">
        <v>3047</v>
      </c>
      <c r="H24" s="555"/>
      <c r="I24" s="558" t="s">
        <v>3048</v>
      </c>
      <c r="J24" s="555"/>
      <c r="K24" s="531"/>
      <c r="L24" s="2127"/>
      <c r="M24" s="2117"/>
      <c r="N24" s="2117"/>
      <c r="O24" s="2126"/>
      <c r="P24" s="3378"/>
      <c r="Q24" s="1558"/>
      <c r="R24" s="1559"/>
      <c r="S24" s="1560"/>
      <c r="T24" s="1559"/>
      <c r="U24" s="1560"/>
      <c r="V24" s="1559"/>
      <c r="W24" s="1560"/>
      <c r="X24" s="1553"/>
      <c r="Y24" s="3378"/>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78"/>
      <c r="Q25" s="1558" t="str">
        <f t="shared" ref="Q25:Q39" si="8">B25</f>
        <v>区域土地利用方向</v>
      </c>
      <c r="R25" s="1559" t="s">
        <v>8</v>
      </c>
      <c r="S25" s="1560">
        <f>F25</f>
        <v>100</v>
      </c>
      <c r="T25" s="1559" t="s">
        <v>8</v>
      </c>
      <c r="U25" s="1560">
        <f>H25</f>
        <v>100</v>
      </c>
      <c r="V25" s="1559" t="s">
        <v>8</v>
      </c>
      <c r="W25" s="1560">
        <f>J25</f>
        <v>100</v>
      </c>
      <c r="X25" s="1553"/>
      <c r="Y25" s="3378"/>
      <c r="Z25" s="1561" t="str">
        <f>Q25</f>
        <v>区域土地利用方向</v>
      </c>
      <c r="AA25" s="1562">
        <f t="shared" si="3"/>
        <v>1</v>
      </c>
      <c r="AB25" s="1562">
        <f t="shared" si="4"/>
        <v>1</v>
      </c>
      <c r="AC25" s="1562">
        <f t="shared" si="5"/>
        <v>1</v>
      </c>
    </row>
    <row r="26" spans="1:29" ht="20.25">
      <c r="A26" s="515"/>
      <c r="B26" s="1007"/>
      <c r="C26" s="554" t="s">
        <v>3048</v>
      </c>
      <c r="D26" s="557"/>
      <c r="E26" s="554" t="s">
        <v>3048</v>
      </c>
      <c r="F26" s="555"/>
      <c r="G26" s="554" t="s">
        <v>3048</v>
      </c>
      <c r="H26" s="555"/>
      <c r="I26" s="554" t="s">
        <v>3048</v>
      </c>
      <c r="J26" s="555"/>
      <c r="K26" s="531"/>
      <c r="L26" s="2127"/>
      <c r="M26" s="2117"/>
      <c r="N26" s="2117"/>
      <c r="O26" s="2126"/>
      <c r="P26" s="3378"/>
      <c r="Q26" s="1558"/>
      <c r="R26" s="1559"/>
      <c r="S26" s="1560"/>
      <c r="T26" s="1559"/>
      <c r="U26" s="1560"/>
      <c r="V26" s="1559"/>
      <c r="W26" s="1560"/>
      <c r="X26" s="1553"/>
      <c r="Y26" s="3378"/>
      <c r="Z26" s="1561"/>
      <c r="AA26" s="1562"/>
      <c r="AB26" s="1562"/>
      <c r="AC26" s="1562"/>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98</v>
      </c>
      <c r="K27" s="535">
        <v>2</v>
      </c>
      <c r="L27" s="2127"/>
      <c r="M27" s="2117"/>
      <c r="N27" s="2117"/>
      <c r="O27" s="2126"/>
      <c r="P27" s="3378"/>
      <c r="Q27" s="1558" t="str">
        <f t="shared" si="8"/>
        <v>自然及人文环境状况</v>
      </c>
      <c r="R27" s="1559" t="s">
        <v>8</v>
      </c>
      <c r="S27" s="1560">
        <f>F27</f>
        <v>100</v>
      </c>
      <c r="T27" s="1559" t="s">
        <v>8</v>
      </c>
      <c r="U27" s="1560">
        <f>H27</f>
        <v>100</v>
      </c>
      <c r="V27" s="1559" t="s">
        <v>8</v>
      </c>
      <c r="W27" s="1560">
        <f>J27</f>
        <v>98</v>
      </c>
      <c r="X27" s="1553"/>
      <c r="Y27" s="3378"/>
      <c r="Z27" s="1561" t="str">
        <f>Q27</f>
        <v>自然及人文环境状况</v>
      </c>
      <c r="AA27" s="1562">
        <f t="shared" si="3"/>
        <v>1</v>
      </c>
      <c r="AB27" s="1562">
        <f t="shared" si="4"/>
        <v>1</v>
      </c>
      <c r="AC27" s="1562">
        <f t="shared" si="5"/>
        <v>1.0204081632653061</v>
      </c>
    </row>
    <row r="28" spans="1:29" ht="20.25">
      <c r="A28" s="515"/>
      <c r="B28" s="566"/>
      <c r="C28" s="554" t="s">
        <v>3048</v>
      </c>
      <c r="D28" s="557"/>
      <c r="E28" s="554" t="s">
        <v>3048</v>
      </c>
      <c r="F28" s="555"/>
      <c r="G28" s="554" t="s">
        <v>3048</v>
      </c>
      <c r="H28" s="555"/>
      <c r="I28" s="576" t="s">
        <v>3047</v>
      </c>
      <c r="J28" s="555"/>
      <c r="K28" s="531"/>
      <c r="L28" s="2127"/>
      <c r="M28" s="2117"/>
      <c r="N28" s="2117"/>
      <c r="O28" s="2126"/>
      <c r="P28" s="3378"/>
      <c r="Q28" s="1558"/>
      <c r="R28" s="1559"/>
      <c r="S28" s="1560"/>
      <c r="T28" s="1559"/>
      <c r="U28" s="1560"/>
      <c r="V28" s="1559"/>
      <c r="W28" s="1560"/>
      <c r="X28" s="1553"/>
      <c r="Y28" s="3378"/>
      <c r="Z28" s="1561"/>
      <c r="AA28" s="1562">
        <v>1</v>
      </c>
      <c r="AB28" s="1562">
        <v>1</v>
      </c>
      <c r="AC28" s="1562">
        <v>1</v>
      </c>
    </row>
    <row r="29" spans="1:29" s="1216" customFormat="1" ht="20.25">
      <c r="A29" s="577"/>
      <c r="B29" s="2555" t="s">
        <v>2548</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78"/>
      <c r="Q29" s="1147" t="str">
        <f t="shared" si="8"/>
        <v>公共配套设施</v>
      </c>
      <c r="R29" s="1554" t="s">
        <v>8</v>
      </c>
      <c r="S29" s="1555">
        <f>F29</f>
        <v>100</v>
      </c>
      <c r="T29" s="1554" t="s">
        <v>8</v>
      </c>
      <c r="U29" s="1555">
        <f>H29</f>
        <v>100</v>
      </c>
      <c r="V29" s="1554" t="s">
        <v>8</v>
      </c>
      <c r="W29" s="1555">
        <f>J29</f>
        <v>100</v>
      </c>
      <c r="X29" s="1556"/>
      <c r="Y29" s="3378"/>
      <c r="Z29" s="1146" t="str">
        <f>Q29</f>
        <v>公共配套设施</v>
      </c>
      <c r="AA29" s="1562">
        <f>D29/F29</f>
        <v>1</v>
      </c>
      <c r="AB29" s="1562">
        <f>D29/H29</f>
        <v>1</v>
      </c>
      <c r="AC29" s="1562">
        <f>D29/J29</f>
        <v>1</v>
      </c>
    </row>
    <row r="30" spans="1:29" s="1216" customFormat="1" ht="20.25">
      <c r="A30" s="577"/>
      <c r="B30" s="566"/>
      <c r="C30" s="579" t="s">
        <v>3047</v>
      </c>
      <c r="D30" s="557"/>
      <c r="E30" s="579" t="s">
        <v>3047</v>
      </c>
      <c r="F30" s="555"/>
      <c r="G30" s="579" t="s">
        <v>3047</v>
      </c>
      <c r="H30" s="555"/>
      <c r="I30" s="579" t="s">
        <v>3047</v>
      </c>
      <c r="J30" s="555"/>
      <c r="K30" s="531"/>
      <c r="L30" s="2120"/>
      <c r="M30" s="2117"/>
      <c r="N30" s="2117"/>
      <c r="O30" s="2122"/>
      <c r="P30" s="3378"/>
      <c r="Q30" s="1147"/>
      <c r="R30" s="1554"/>
      <c r="S30" s="1555"/>
      <c r="T30" s="1554"/>
      <c r="U30" s="1555"/>
      <c r="V30" s="1554"/>
      <c r="W30" s="1555"/>
      <c r="X30" s="1556"/>
      <c r="Y30" s="3378"/>
      <c r="Z30" s="1146"/>
      <c r="AA30" s="1562">
        <v>1</v>
      </c>
      <c r="AB30" s="1562">
        <v>1</v>
      </c>
      <c r="AC30" s="1562">
        <v>1</v>
      </c>
    </row>
    <row r="31" spans="1:29" s="1216" customFormat="1" ht="20.25">
      <c r="A31" s="577"/>
      <c r="B31" s="2555"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78"/>
      <c r="Q31" s="2542" t="str">
        <f t="shared" ref="Q31" si="9">B31</f>
        <v>基础设施水平</v>
      </c>
      <c r="R31" s="1554" t="s">
        <v>8</v>
      </c>
      <c r="S31" s="1555">
        <f>F31</f>
        <v>100</v>
      </c>
      <c r="T31" s="1554" t="s">
        <v>8</v>
      </c>
      <c r="U31" s="1555">
        <f>H31</f>
        <v>100</v>
      </c>
      <c r="V31" s="1554" t="s">
        <v>8</v>
      </c>
      <c r="W31" s="1555">
        <f>J31</f>
        <v>100</v>
      </c>
      <c r="X31" s="1556"/>
      <c r="Y31" s="3378"/>
      <c r="Z31" s="2539" t="str">
        <f>Q31</f>
        <v>基础设施水平</v>
      </c>
      <c r="AA31" s="1562">
        <f>D31/F31</f>
        <v>1</v>
      </c>
      <c r="AB31" s="1562">
        <f>D31/H31</f>
        <v>1</v>
      </c>
      <c r="AC31" s="1562">
        <f>D31/J31</f>
        <v>1</v>
      </c>
    </row>
    <row r="32" spans="1:29" s="1216" customFormat="1" ht="21" thickBot="1">
      <c r="A32" s="577"/>
      <c r="B32" s="566"/>
      <c r="C32" s="579" t="s">
        <v>3051</v>
      </c>
      <c r="D32" s="557"/>
      <c r="E32" s="579" t="s">
        <v>3051</v>
      </c>
      <c r="F32" s="555"/>
      <c r="G32" s="579" t="s">
        <v>3051</v>
      </c>
      <c r="H32" s="555"/>
      <c r="I32" s="579" t="s">
        <v>3051</v>
      </c>
      <c r="J32" s="555"/>
      <c r="K32" s="531"/>
      <c r="L32" s="2120"/>
      <c r="M32" s="2117"/>
      <c r="N32" s="2117"/>
      <c r="O32" s="2122"/>
      <c r="P32" s="3378"/>
      <c r="Q32" s="2542"/>
      <c r="R32" s="1554"/>
      <c r="S32" s="1555"/>
      <c r="T32" s="1554"/>
      <c r="U32" s="1555"/>
      <c r="V32" s="1554"/>
      <c r="W32" s="1555"/>
      <c r="X32" s="1556"/>
      <c r="Y32" s="3378"/>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7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78"/>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78"/>
      <c r="Q34" s="1558" t="str">
        <f t="shared" si="8"/>
        <v>毗邻道路的类型与等级</v>
      </c>
      <c r="R34" s="1559" t="s">
        <v>8</v>
      </c>
      <c r="S34" s="1560">
        <f t="shared" si="10"/>
        <v>100</v>
      </c>
      <c r="T34" s="1559" t="s">
        <v>8</v>
      </c>
      <c r="U34" s="1560">
        <f t="shared" si="11"/>
        <v>100</v>
      </c>
      <c r="V34" s="1559" t="s">
        <v>8</v>
      </c>
      <c r="W34" s="1560">
        <f t="shared" si="12"/>
        <v>100</v>
      </c>
      <c r="X34" s="1553"/>
      <c r="Y34" s="3378"/>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378"/>
      <c r="Q35" s="1558"/>
      <c r="R35" s="1559"/>
      <c r="S35" s="1560"/>
      <c r="T35" s="1559"/>
      <c r="U35" s="1560"/>
      <c r="V35" s="1559"/>
      <c r="W35" s="1560"/>
      <c r="X35" s="1553"/>
      <c r="Y35" s="3378"/>
      <c r="Z35" s="1561"/>
      <c r="AA35" s="1562">
        <v>1</v>
      </c>
      <c r="AB35" s="1562">
        <v>1</v>
      </c>
      <c r="AC35" s="1562">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78"/>
      <c r="Q36" s="1558" t="str">
        <f t="shared" si="8"/>
        <v>土地级别</v>
      </c>
      <c r="R36" s="1559" t="s">
        <v>8</v>
      </c>
      <c r="S36" s="1560">
        <f t="shared" si="10"/>
        <v>100</v>
      </c>
      <c r="T36" s="1559" t="s">
        <v>8</v>
      </c>
      <c r="U36" s="1560">
        <f t="shared" si="11"/>
        <v>100</v>
      </c>
      <c r="V36" s="1559" t="s">
        <v>8</v>
      </c>
      <c r="W36" s="1560">
        <f t="shared" si="12"/>
        <v>100</v>
      </c>
      <c r="X36" s="1553"/>
      <c r="Y36" s="3378"/>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78"/>
      <c r="Q37" s="1558">
        <f t="shared" si="8"/>
        <v>111</v>
      </c>
      <c r="R37" s="1559" t="s">
        <v>8</v>
      </c>
      <c r="S37" s="1560">
        <f t="shared" si="10"/>
        <v>100</v>
      </c>
      <c r="T37" s="1559" t="s">
        <v>8</v>
      </c>
      <c r="U37" s="1560">
        <f t="shared" si="11"/>
        <v>100</v>
      </c>
      <c r="V37" s="1559" t="s">
        <v>8</v>
      </c>
      <c r="W37" s="1560">
        <f t="shared" si="12"/>
        <v>100</v>
      </c>
      <c r="X37" s="1553"/>
      <c r="Y37" s="3378"/>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79" t="s">
        <v>550</v>
      </c>
      <c r="Q38" s="1558">
        <f t="shared" si="8"/>
        <v>111</v>
      </c>
      <c r="R38" s="1559" t="s">
        <v>8</v>
      </c>
      <c r="S38" s="1560">
        <f t="shared" si="10"/>
        <v>100</v>
      </c>
      <c r="T38" s="1559" t="s">
        <v>8</v>
      </c>
      <c r="U38" s="1560">
        <f t="shared" si="11"/>
        <v>100</v>
      </c>
      <c r="V38" s="1559" t="s">
        <v>8</v>
      </c>
      <c r="W38" s="1560">
        <f t="shared" si="12"/>
        <v>100</v>
      </c>
      <c r="X38" s="1553"/>
      <c r="Y38" s="3380"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0"/>
      <c r="Q39" s="1558">
        <f t="shared" si="8"/>
        <v>111</v>
      </c>
      <c r="R39" s="1563" t="s">
        <v>8</v>
      </c>
      <c r="S39" s="1564">
        <f t="shared" si="10"/>
        <v>100</v>
      </c>
      <c r="T39" s="1563" t="s">
        <v>8</v>
      </c>
      <c r="U39" s="1564">
        <f t="shared" si="11"/>
        <v>100</v>
      </c>
      <c r="V39" s="1563" t="s">
        <v>8</v>
      </c>
      <c r="W39" s="1564">
        <f t="shared" si="12"/>
        <v>100</v>
      </c>
      <c r="X39" s="1565"/>
      <c r="Y39" s="3380"/>
      <c r="Z39" s="1566">
        <f t="shared" si="13"/>
        <v>111</v>
      </c>
      <c r="AA39" s="1562">
        <f t="shared" si="3"/>
        <v>1</v>
      </c>
      <c r="AB39" s="1562">
        <f t="shared" si="4"/>
        <v>1</v>
      </c>
      <c r="AC39" s="1562">
        <f t="shared" si="5"/>
        <v>1</v>
      </c>
    </row>
    <row r="40" spans="1:29" ht="20.25">
      <c r="A40" s="2862" t="s">
        <v>2755</v>
      </c>
      <c r="B40" s="595" t="s">
        <v>552</v>
      </c>
      <c r="C40" s="596">
        <f>'数据-基础表'!A3</f>
        <v>49527.1</v>
      </c>
      <c r="D40" s="597">
        <v>100</v>
      </c>
      <c r="E40" s="596">
        <f>案例!$J$49</f>
        <v>35000</v>
      </c>
      <c r="F40" s="597">
        <f>LOOKUP(E40,119:119,120:120)-LOOKUP(C40,119:119,120:120)+100</f>
        <v>99</v>
      </c>
      <c r="G40" s="596">
        <f>案例!$J$50</f>
        <v>48662.5</v>
      </c>
      <c r="H40" s="597">
        <f>LOOKUP(G40,119:119,120:120)-LOOKUP(C40,119:119,120:120)+100</f>
        <v>100</v>
      </c>
      <c r="I40" s="598">
        <f>案例!$J$52</f>
        <v>26666.7</v>
      </c>
      <c r="J40" s="597">
        <f>LOOKUP(I40,119:119,120:120)-LOOKUP(C40,119:119,120:120)+100</f>
        <v>98</v>
      </c>
      <c r="K40" s="581"/>
      <c r="L40" s="2127"/>
      <c r="M40" s="2117"/>
      <c r="N40" s="2117"/>
      <c r="O40" s="2126"/>
      <c r="P40" s="3380"/>
      <c r="Q40" s="1558" t="str">
        <f>B40</f>
        <v>宗地面积</v>
      </c>
      <c r="R40" s="1559" t="s">
        <v>8</v>
      </c>
      <c r="S40" s="1560">
        <f t="shared" si="10"/>
        <v>99</v>
      </c>
      <c r="T40" s="1559" t="s">
        <v>8</v>
      </c>
      <c r="U40" s="1560">
        <f t="shared" si="11"/>
        <v>100</v>
      </c>
      <c r="V40" s="1559" t="s">
        <v>8</v>
      </c>
      <c r="W40" s="1560">
        <f t="shared" si="12"/>
        <v>98</v>
      </c>
      <c r="X40" s="1553"/>
      <c r="Y40" s="3380"/>
      <c r="Z40" s="1561" t="str">
        <f t="shared" si="13"/>
        <v>宗地面积</v>
      </c>
      <c r="AA40" s="1562">
        <f t="shared" si="3"/>
        <v>1.0101010101010102</v>
      </c>
      <c r="AB40" s="1562">
        <f t="shared" si="4"/>
        <v>1</v>
      </c>
      <c r="AC40" s="1562">
        <f t="shared" si="5"/>
        <v>1.0204081632653061</v>
      </c>
    </row>
    <row r="41" spans="1:29" ht="20.25">
      <c r="A41" s="594"/>
      <c r="B41" s="527" t="s">
        <v>553</v>
      </c>
      <c r="C41" s="599" t="s">
        <v>3237</v>
      </c>
      <c r="D41" s="540">
        <v>100</v>
      </c>
      <c r="E41" s="599" t="s">
        <v>3237</v>
      </c>
      <c r="F41" s="540">
        <f>SUMIF(121:121,E41,122:122)-SUMIF(121:121,C41,122:122)+100</f>
        <v>100</v>
      </c>
      <c r="G41" s="599" t="s">
        <v>3237</v>
      </c>
      <c r="H41" s="540">
        <f>SUMIF(121:121,G41,122:122)-SUMIF(121:121,C41,122:122)+100</f>
        <v>100</v>
      </c>
      <c r="I41" s="599" t="s">
        <v>3237</v>
      </c>
      <c r="J41" s="540">
        <f>SUMIF(121:121,I41,122:122)-SUMIF(121:121,C41,122:122)+100</f>
        <v>100</v>
      </c>
      <c r="K41" s="584">
        <v>1</v>
      </c>
      <c r="L41" s="2127"/>
      <c r="M41" s="2117"/>
      <c r="N41" s="2117"/>
      <c r="O41" s="2126"/>
      <c r="P41" s="3380"/>
      <c r="Q41" s="1558" t="str">
        <f t="shared" ref="Q41:Q47" si="14">B41</f>
        <v>宗地形状</v>
      </c>
      <c r="R41" s="1559" t="s">
        <v>8</v>
      </c>
      <c r="S41" s="1560">
        <f t="shared" si="10"/>
        <v>100</v>
      </c>
      <c r="T41" s="1559" t="s">
        <v>8</v>
      </c>
      <c r="U41" s="1560">
        <f t="shared" si="11"/>
        <v>100</v>
      </c>
      <c r="V41" s="1559" t="s">
        <v>8</v>
      </c>
      <c r="W41" s="1560">
        <f t="shared" si="12"/>
        <v>100</v>
      </c>
      <c r="X41" s="1553"/>
      <c r="Y41" s="3380"/>
      <c r="Z41" s="1561" t="str">
        <f t="shared" si="13"/>
        <v>宗地形状</v>
      </c>
      <c r="AA41" s="1562">
        <f t="shared" si="3"/>
        <v>1</v>
      </c>
      <c r="AB41" s="1562">
        <f t="shared" si="4"/>
        <v>1</v>
      </c>
      <c r="AC41" s="1562">
        <f t="shared" si="5"/>
        <v>1</v>
      </c>
    </row>
    <row r="42" spans="1:29" ht="20.25">
      <c r="A42" s="594"/>
      <c r="B42" s="527" t="s">
        <v>554</v>
      </c>
      <c r="C42" s="599" t="s">
        <v>3048</v>
      </c>
      <c r="D42" s="540">
        <v>100</v>
      </c>
      <c r="E42" s="599" t="s">
        <v>3048</v>
      </c>
      <c r="F42" s="540">
        <f>SUMIF(123:123,E42,124:124)-SUMIF(123:123,C42,124:124)+100</f>
        <v>100</v>
      </c>
      <c r="G42" s="599" t="s">
        <v>3048</v>
      </c>
      <c r="H42" s="540">
        <f>SUMIF(123:123,G42,124:124)-SUMIF(123:123,C42,124:124)+100</f>
        <v>100</v>
      </c>
      <c r="I42" s="599" t="s">
        <v>3048</v>
      </c>
      <c r="J42" s="540">
        <f>SUMIF(123:123,I42,124:124)-SUMIF(123:123,C42,124:124)+100</f>
        <v>100</v>
      </c>
      <c r="K42" s="584">
        <v>1</v>
      </c>
      <c r="L42" s="2127"/>
      <c r="M42" s="2117"/>
      <c r="N42" s="2117"/>
      <c r="O42" s="2126"/>
      <c r="P42" s="3380"/>
      <c r="Q42" s="1558" t="str">
        <f t="shared" si="14"/>
        <v>临街宽度及深度</v>
      </c>
      <c r="R42" s="1559" t="s">
        <v>8</v>
      </c>
      <c r="S42" s="1560">
        <f t="shared" si="10"/>
        <v>100</v>
      </c>
      <c r="T42" s="1559" t="s">
        <v>8</v>
      </c>
      <c r="U42" s="1560">
        <f t="shared" si="11"/>
        <v>100</v>
      </c>
      <c r="V42" s="1559" t="s">
        <v>8</v>
      </c>
      <c r="W42" s="1560">
        <f t="shared" si="12"/>
        <v>100</v>
      </c>
      <c r="X42" s="1553"/>
      <c r="Y42" s="3380"/>
      <c r="Z42" s="1561" t="str">
        <f t="shared" si="13"/>
        <v>临街宽度及深度</v>
      </c>
      <c r="AA42" s="1562">
        <f t="shared" si="3"/>
        <v>1</v>
      </c>
      <c r="AB42" s="1562">
        <f t="shared" si="4"/>
        <v>1</v>
      </c>
      <c r="AC42" s="1562">
        <f t="shared" si="5"/>
        <v>1</v>
      </c>
    </row>
    <row r="43" spans="1:29" s="1216" customFormat="1" ht="20.25">
      <c r="A43" s="600"/>
      <c r="B43" s="1880" t="s">
        <v>2424</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1</v>
      </c>
      <c r="L43" s="2120"/>
      <c r="M43" s="2117"/>
      <c r="N43" s="2117"/>
      <c r="O43" s="2122"/>
      <c r="P43" s="3380"/>
      <c r="Q43" s="1558" t="str">
        <f t="shared" si="14"/>
        <v>宗地开发程度</v>
      </c>
      <c r="R43" s="1554" t="s">
        <v>8</v>
      </c>
      <c r="S43" s="1555">
        <f t="shared" si="10"/>
        <v>100</v>
      </c>
      <c r="T43" s="1554" t="s">
        <v>8</v>
      </c>
      <c r="U43" s="1555">
        <f t="shared" si="11"/>
        <v>100</v>
      </c>
      <c r="V43" s="1554" t="s">
        <v>8</v>
      </c>
      <c r="W43" s="1555">
        <f t="shared" si="12"/>
        <v>100</v>
      </c>
      <c r="X43" s="1556"/>
      <c r="Y43" s="3380"/>
      <c r="Z43" s="1146" t="str">
        <f t="shared" si="13"/>
        <v>宗地开发程度</v>
      </c>
      <c r="AA43" s="1557">
        <f t="shared" si="3"/>
        <v>1</v>
      </c>
      <c r="AB43" s="1557">
        <f t="shared" si="4"/>
        <v>1</v>
      </c>
      <c r="AC43" s="1557">
        <f t="shared" si="5"/>
        <v>1</v>
      </c>
    </row>
    <row r="44" spans="1:29" ht="21" thickBot="1">
      <c r="A44" s="594"/>
      <c r="B44" s="527" t="s">
        <v>555</v>
      </c>
      <c r="C44" s="599" t="s">
        <v>3048</v>
      </c>
      <c r="D44" s="540">
        <v>100</v>
      </c>
      <c r="E44" s="599" t="s">
        <v>3048</v>
      </c>
      <c r="F44" s="540">
        <f>SUMIF(127:127,E44,128:128)-SUMIF(127:127,C44,128:128)+100</f>
        <v>100</v>
      </c>
      <c r="G44" s="599" t="s">
        <v>3048</v>
      </c>
      <c r="H44" s="540">
        <f>SUMIF(127:127,G44,128:128)-SUMIF(127:127,C44,128:128)+100</f>
        <v>100</v>
      </c>
      <c r="I44" s="599" t="s">
        <v>3048</v>
      </c>
      <c r="J44" s="540">
        <f>SUMIF(127:127,I44,128:128)-SUMIF(127:127,C44,128:128)+100</f>
        <v>100</v>
      </c>
      <c r="K44" s="584">
        <v>1</v>
      </c>
      <c r="L44" s="2127"/>
      <c r="M44" s="2117"/>
      <c r="N44" s="2117"/>
      <c r="O44" s="2126"/>
      <c r="P44" s="3380" t="s">
        <v>550</v>
      </c>
      <c r="Q44" s="1558" t="str">
        <f t="shared" si="14"/>
        <v>工程地质条件</v>
      </c>
      <c r="R44" s="1559" t="s">
        <v>8</v>
      </c>
      <c r="S44" s="1560">
        <f t="shared" si="10"/>
        <v>100</v>
      </c>
      <c r="T44" s="1559" t="s">
        <v>8</v>
      </c>
      <c r="U44" s="1560">
        <f t="shared" si="11"/>
        <v>100</v>
      </c>
      <c r="V44" s="1559" t="s">
        <v>8</v>
      </c>
      <c r="W44" s="1560">
        <f t="shared" si="12"/>
        <v>100</v>
      </c>
      <c r="X44" s="1553"/>
      <c r="Y44" s="3380"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0"/>
      <c r="Q45" s="1558">
        <f t="shared" si="14"/>
        <v>111</v>
      </c>
      <c r="R45" s="1559" t="s">
        <v>8</v>
      </c>
      <c r="S45" s="1560">
        <f t="shared" si="10"/>
        <v>100</v>
      </c>
      <c r="T45" s="1559" t="s">
        <v>8</v>
      </c>
      <c r="U45" s="1560">
        <f t="shared" si="11"/>
        <v>100</v>
      </c>
      <c r="V45" s="1559" t="s">
        <v>8</v>
      </c>
      <c r="W45" s="1560">
        <f t="shared" si="12"/>
        <v>100</v>
      </c>
      <c r="X45" s="1553"/>
      <c r="Y45" s="3380"/>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0"/>
      <c r="Q46" s="1558">
        <f t="shared" si="14"/>
        <v>111</v>
      </c>
      <c r="R46" s="1559" t="s">
        <v>8</v>
      </c>
      <c r="S46" s="1560">
        <f t="shared" si="10"/>
        <v>100</v>
      </c>
      <c r="T46" s="1559" t="s">
        <v>8</v>
      </c>
      <c r="U46" s="1560">
        <f t="shared" si="11"/>
        <v>100</v>
      </c>
      <c r="V46" s="1559" t="s">
        <v>8</v>
      </c>
      <c r="W46" s="1560">
        <f t="shared" si="12"/>
        <v>100</v>
      </c>
      <c r="X46" s="1553"/>
      <c r="Y46" s="3380"/>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0"/>
      <c r="Q47" s="1558">
        <f t="shared" si="14"/>
        <v>111</v>
      </c>
      <c r="R47" s="1563" t="s">
        <v>8</v>
      </c>
      <c r="S47" s="1564">
        <f t="shared" si="10"/>
        <v>100</v>
      </c>
      <c r="T47" s="1563" t="s">
        <v>8</v>
      </c>
      <c r="U47" s="1564">
        <f t="shared" si="11"/>
        <v>100</v>
      </c>
      <c r="V47" s="1563" t="s">
        <v>8</v>
      </c>
      <c r="W47" s="1564">
        <f t="shared" si="12"/>
        <v>100</v>
      </c>
      <c r="X47" s="1565"/>
      <c r="Y47" s="3380"/>
      <c r="Z47" s="1566">
        <f t="shared" si="13"/>
        <v>111</v>
      </c>
      <c r="AA47" s="1562">
        <f t="shared" si="3"/>
        <v>1</v>
      </c>
      <c r="AB47" s="1562">
        <f t="shared" si="4"/>
        <v>1</v>
      </c>
      <c r="AC47" s="1562">
        <f t="shared" si="5"/>
        <v>1</v>
      </c>
    </row>
    <row r="48" spans="1:29" ht="20.25">
      <c r="A48" s="607" t="s">
        <v>556</v>
      </c>
      <c r="B48" s="608" t="s">
        <v>2994</v>
      </c>
      <c r="C48" s="609" t="s">
        <v>1</v>
      </c>
      <c r="D48" s="610"/>
      <c r="E48" s="611">
        <f>ROUND(案例!$AK$49,0)</f>
        <v>2904</v>
      </c>
      <c r="F48" s="612"/>
      <c r="G48" s="613">
        <f>ROUND(案例!$AK$50,0)</f>
        <v>2699</v>
      </c>
      <c r="H48" s="614"/>
      <c r="I48" s="611">
        <f>ROUND(案例!$AK$52,0)</f>
        <v>2677</v>
      </c>
      <c r="J48" s="614"/>
      <c r="K48" s="1336"/>
      <c r="L48" s="2129"/>
      <c r="M48" s="2117"/>
      <c r="N48" s="2117"/>
      <c r="O48" s="2130"/>
      <c r="P48" s="3375" t="str">
        <f>A48</f>
        <v>成交单价</v>
      </c>
      <c r="Q48" s="3375"/>
      <c r="R48" s="3389">
        <f>E48</f>
        <v>2904</v>
      </c>
      <c r="S48" s="3389"/>
      <c r="T48" s="3389">
        <f>G48</f>
        <v>2699</v>
      </c>
      <c r="U48" s="3389"/>
      <c r="V48" s="3389">
        <f>I48</f>
        <v>2677</v>
      </c>
      <c r="W48" s="3389"/>
      <c r="X48" s="1545"/>
      <c r="Y48" s="1567"/>
      <c r="Z48" s="1545"/>
      <c r="AA48" s="1545"/>
      <c r="AB48" s="1545"/>
      <c r="AC48" s="1545"/>
    </row>
    <row r="49" spans="1:29" ht="21" thickBot="1">
      <c r="A49" s="615" t="s">
        <v>2693</v>
      </c>
      <c r="B49" s="616"/>
      <c r="C49" s="617">
        <f>R50</f>
        <v>2822</v>
      </c>
      <c r="D49" s="618"/>
      <c r="E49" s="617">
        <f>R49</f>
        <v>2964</v>
      </c>
      <c r="F49" s="619"/>
      <c r="G49" s="620">
        <f>T49</f>
        <v>2741</v>
      </c>
      <c r="H49" s="618"/>
      <c r="I49" s="617">
        <f>V49</f>
        <v>2760</v>
      </c>
      <c r="J49" s="618"/>
      <c r="K49" s="1337"/>
      <c r="L49" s="2129"/>
      <c r="M49" s="2117"/>
      <c r="N49" s="2117"/>
      <c r="O49" s="2130"/>
      <c r="P49" s="3375" t="str">
        <f>A49</f>
        <v>比较价格（元/平方米）</v>
      </c>
      <c r="Q49" s="3375"/>
      <c r="R49" s="3401">
        <f>ROUND(PRODUCT(R48,AA9:AA47),0)</f>
        <v>2964</v>
      </c>
      <c r="S49" s="3401"/>
      <c r="T49" s="3401">
        <f>ROUND(PRODUCT(T48,AB9:AB47),0)</f>
        <v>2741</v>
      </c>
      <c r="U49" s="3401"/>
      <c r="V49" s="3401">
        <f>ROUND(PRODUCT(V48,AC9:AC47),0)</f>
        <v>2760</v>
      </c>
      <c r="W49" s="3401"/>
      <c r="X49" s="1545"/>
      <c r="Y49" s="1545"/>
      <c r="Z49" s="1545"/>
      <c r="AA49" s="1545"/>
      <c r="AB49" s="1545"/>
      <c r="AC49" s="1545"/>
    </row>
    <row r="50" spans="1:29" ht="21" thickBot="1">
      <c r="A50" s="621" t="s">
        <v>2932</v>
      </c>
      <c r="B50" s="622"/>
      <c r="C50" s="623">
        <f>R50</f>
        <v>2822</v>
      </c>
      <c r="D50" s="623"/>
      <c r="E50" s="623"/>
      <c r="F50" s="623"/>
      <c r="G50" s="623"/>
      <c r="H50" s="623"/>
      <c r="I50" s="623"/>
      <c r="J50" s="623"/>
      <c r="K50" s="1338"/>
      <c r="L50" s="2129"/>
      <c r="M50" s="2117"/>
      <c r="N50" s="2117"/>
      <c r="O50" s="2130"/>
      <c r="P50" s="3398" t="str">
        <f>A50</f>
        <v>估价对象XX用房的比较价格（楼面单价，元/平方米）</v>
      </c>
      <c r="Q50" s="3399"/>
      <c r="R50" s="3400">
        <f>ROUND(AVERAGE(R49:V49),0)</f>
        <v>2822</v>
      </c>
      <c r="S50" s="3400"/>
      <c r="T50" s="3400"/>
      <c r="U50" s="3400"/>
      <c r="V50" s="3400"/>
      <c r="W50" s="340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2.0661157024793431E-2</v>
      </c>
      <c r="F53" s="627" t="str">
        <f>IF(OR(E53&gt;=0.3,E53&lt;=-0.3),"超过30%","")</f>
        <v/>
      </c>
      <c r="G53" s="626">
        <f>IF(G48&lt;G49,G49/G48-1,G48/G49-1)</f>
        <v>1.5561319007039609E-2</v>
      </c>
      <c r="H53" s="627" t="str">
        <f>IF(OR(G53&gt;=0.3,G53&lt;=-0.3),"超过30%","")</f>
        <v/>
      </c>
      <c r="I53" s="626">
        <f>IF(I48&lt;I49,I49/I48-1,I48/I49-1)</f>
        <v>3.1004856182293539E-2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8.1357168916453837E-2</v>
      </c>
      <c r="F54" s="627" t="str">
        <f>IF(OR(E54&gt;=0.2,E54&lt;=-0.2),"超过20%","")</f>
        <v/>
      </c>
      <c r="G54" s="626">
        <f>IF(G49&lt;I49,I49/G49-1,G49/I49-1)</f>
        <v>6.9317767238235017E-3</v>
      </c>
      <c r="H54" s="627" t="str">
        <f>IF(OR(G54&gt;=0.2,G54&lt;=-0.2),"超过20%","")</f>
        <v/>
      </c>
      <c r="I54" s="626">
        <f>IF(I49&lt;E49,E49/I49-1,I49/E49-1)</f>
        <v>7.3913043478260887E-2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7.59540570581696E-2</v>
      </c>
      <c r="F55" s="627" t="str">
        <f>IF(OR(E55&gt;=0.3,E55&lt;=-0.3),"超过30%","")</f>
        <v/>
      </c>
      <c r="G55" s="626">
        <f>IF(G48&lt;I48,I48/G48-1,G48/I48-1)</f>
        <v>8.2181546507285042E-3</v>
      </c>
      <c r="H55" s="627" t="str">
        <f>IF(OR(G55&gt;=0.3,G55&lt;=-0.3),"超过30%","")</f>
        <v/>
      </c>
      <c r="I55" s="626">
        <f>IF(I48&lt;E48,E48/I48-1,I48/E48-1)</f>
        <v>8.4796413896152334E-2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59" t="s">
        <v>2281</v>
      </c>
      <c r="H57" s="3360"/>
      <c r="I57" s="1541" t="s">
        <v>1722</v>
      </c>
      <c r="J57" s="1541" t="str">
        <f>项目基本情况!F41</f>
        <v>天津市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2822</v>
      </c>
      <c r="C58" s="635">
        <v>1</v>
      </c>
      <c r="D58" s="2213">
        <v>1</v>
      </c>
      <c r="E58" s="635">
        <f>'数据-汇总表'!E8+'数据-汇总表'!E9</f>
        <v>59430.919999999984</v>
      </c>
      <c r="F58" s="636">
        <f t="shared" ref="F58:F67" si="15">ROUND(B58*E58/10000,0)</f>
        <v>16771</v>
      </c>
      <c r="G58" s="3361"/>
      <c r="H58" s="336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63"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6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6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6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38830.82</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98261.739999999991</v>
      </c>
      <c r="F68" s="644">
        <f>IF(B48="楼面地价",SUM(F58:F67),ROUND(C50*E68/10000,0))</f>
        <v>16771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f>C73-0.5</f>
        <v>99.5</v>
      </c>
      <c r="E73" s="730">
        <f t="shared" ref="E73:H73" si="20">D73-0.5</f>
        <v>99</v>
      </c>
      <c r="F73" s="730">
        <f t="shared" si="20"/>
        <v>98.5</v>
      </c>
      <c r="G73" s="730">
        <f t="shared" si="20"/>
        <v>98</v>
      </c>
      <c r="H73" s="730">
        <f t="shared" si="20"/>
        <v>97.5</v>
      </c>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1" t="s">
        <v>3232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41" t="str">
        <f t="shared" si="26"/>
        <v>(含)-</v>
      </c>
      <c r="K118" s="3041" t="str">
        <f t="shared" si="26"/>
        <v>(含)-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3" t="s">
        <v>3236</v>
      </c>
      <c r="D121" s="3183" t="s">
        <v>3238</v>
      </c>
      <c r="E121" s="3183" t="s">
        <v>3239</v>
      </c>
      <c r="F121" s="3183" t="s">
        <v>3240</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2" t="s">
        <v>3241</v>
      </c>
      <c r="D123" s="3182" t="s">
        <v>3242</v>
      </c>
      <c r="E123" s="3183" t="s">
        <v>3243</v>
      </c>
      <c r="F123" s="3183" t="s">
        <v>3244</v>
      </c>
      <c r="G123" s="3183" t="s">
        <v>3245</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t="s">
        <v>3233</v>
      </c>
      <c r="D125" s="1372" t="s">
        <v>3234</v>
      </c>
      <c r="E125" s="1372" t="s">
        <v>3235</v>
      </c>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2" t="s">
        <v>3241</v>
      </c>
      <c r="D127" s="3182" t="s">
        <v>3242</v>
      </c>
      <c r="E127" s="3183" t="s">
        <v>3243</v>
      </c>
      <c r="F127" s="3183" t="s">
        <v>3244</v>
      </c>
      <c r="G127" s="3183" t="s">
        <v>3245</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6" sqref="C126:F131"/>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1" t="s">
        <v>522</v>
      </c>
      <c r="D6" s="3382"/>
      <c r="E6" s="3407" t="s">
        <v>523</v>
      </c>
      <c r="F6" s="3408"/>
      <c r="G6" s="3381" t="s">
        <v>524</v>
      </c>
      <c r="H6" s="3382"/>
      <c r="I6" s="3381" t="s">
        <v>525</v>
      </c>
      <c r="J6" s="3382"/>
      <c r="K6" s="514" t="s">
        <v>526</v>
      </c>
      <c r="L6" s="2118"/>
      <c r="M6" s="2119"/>
      <c r="N6" s="2119"/>
      <c r="O6" s="2119"/>
      <c r="P6" s="3383" t="s">
        <v>527</v>
      </c>
      <c r="Q6" s="3384"/>
      <c r="R6" s="3369" t="s">
        <v>523</v>
      </c>
      <c r="S6" s="3370"/>
      <c r="T6" s="3369" t="s">
        <v>524</v>
      </c>
      <c r="U6" s="3370"/>
      <c r="V6" s="3389" t="s">
        <v>525</v>
      </c>
      <c r="W6" s="3389"/>
      <c r="X6" s="1553"/>
      <c r="Y6" s="3369" t="s">
        <v>527</v>
      </c>
      <c r="Z6" s="3370"/>
      <c r="AA6" s="3364" t="s">
        <v>523</v>
      </c>
      <c r="AB6" s="3365" t="s">
        <v>524</v>
      </c>
      <c r="AC6" s="3364" t="s">
        <v>525</v>
      </c>
    </row>
    <row r="7" spans="1:29" ht="15">
      <c r="A7" s="515"/>
      <c r="B7" s="516"/>
      <c r="C7" s="3392" t="s">
        <v>2926</v>
      </c>
      <c r="D7" s="3393"/>
      <c r="E7" s="3409" t="s">
        <v>2927</v>
      </c>
      <c r="F7" s="3410"/>
      <c r="G7" s="3392" t="s">
        <v>2928</v>
      </c>
      <c r="H7" s="3393"/>
      <c r="I7" s="3392" t="s">
        <v>2929</v>
      </c>
      <c r="J7" s="3393"/>
      <c r="K7" s="514"/>
      <c r="L7" s="2118"/>
      <c r="M7" s="2119"/>
      <c r="N7" s="2119"/>
      <c r="O7" s="2119"/>
      <c r="P7" s="3385"/>
      <c r="Q7" s="3386"/>
      <c r="R7" s="3371"/>
      <c r="S7" s="3372"/>
      <c r="T7" s="3371"/>
      <c r="U7" s="3372"/>
      <c r="V7" s="3389"/>
      <c r="W7" s="3389"/>
      <c r="X7" s="1553"/>
      <c r="Y7" s="3371"/>
      <c r="Z7" s="3372"/>
      <c r="AA7" s="3365"/>
      <c r="AB7" s="3365"/>
      <c r="AC7" s="3365"/>
    </row>
    <row r="8" spans="1:29" ht="15.75" thickBot="1">
      <c r="A8" s="517"/>
      <c r="B8" s="518"/>
      <c r="C8" s="3390" t="s">
        <v>2930</v>
      </c>
      <c r="D8" s="3391"/>
      <c r="E8" s="3411" t="s">
        <v>2930</v>
      </c>
      <c r="F8" s="3412"/>
      <c r="G8" s="3390" t="s">
        <v>2930</v>
      </c>
      <c r="H8" s="3391"/>
      <c r="I8" s="3390" t="s">
        <v>2930</v>
      </c>
      <c r="J8" s="3391"/>
      <c r="K8" s="514" t="s">
        <v>528</v>
      </c>
      <c r="L8" s="2118"/>
      <c r="M8" s="2119"/>
      <c r="N8" s="2119"/>
      <c r="O8" s="2119"/>
      <c r="P8" s="3387"/>
      <c r="Q8" s="3388"/>
      <c r="R8" s="3371"/>
      <c r="S8" s="3372"/>
      <c r="T8" s="3373"/>
      <c r="U8" s="3374"/>
      <c r="V8" s="3389"/>
      <c r="W8" s="3389"/>
      <c r="X8" s="1553"/>
      <c r="Y8" s="3373"/>
      <c r="Z8" s="3374"/>
      <c r="AA8" s="3366"/>
      <c r="AB8" s="3366"/>
      <c r="AC8" s="3366"/>
    </row>
    <row r="9" spans="1:29" s="1216" customFormat="1" ht="15.75" thickBot="1">
      <c r="A9" s="2867"/>
      <c r="B9" s="2874" t="s">
        <v>529</v>
      </c>
      <c r="C9" s="519">
        <f>'数据-取费表'!B2</f>
        <v>43693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7" t="s">
        <v>530</v>
      </c>
      <c r="Q9" s="3376"/>
      <c r="R9" s="1554" t="s">
        <v>8</v>
      </c>
      <c r="S9" s="1555">
        <f t="shared" ref="S9:S17" si="0">F9</f>
        <v>0</v>
      </c>
      <c r="T9" s="1554" t="s">
        <v>8</v>
      </c>
      <c r="U9" s="1555">
        <f t="shared" ref="U9:U17" si="1">H9</f>
        <v>0</v>
      </c>
      <c r="V9" s="1554" t="s">
        <v>8</v>
      </c>
      <c r="W9" s="1555">
        <f t="shared" ref="W9:W17" si="2">J9</f>
        <v>0</v>
      </c>
      <c r="X9" s="1556"/>
      <c r="Y9" s="3367" t="s">
        <v>530</v>
      </c>
      <c r="Z9" s="3368"/>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7" t="s">
        <v>533</v>
      </c>
      <c r="Q10" s="3368"/>
      <c r="R10" s="1554" t="s">
        <v>8</v>
      </c>
      <c r="S10" s="1555">
        <f t="shared" si="0"/>
        <v>0</v>
      </c>
      <c r="T10" s="1554" t="s">
        <v>8</v>
      </c>
      <c r="U10" s="1555">
        <f t="shared" si="1"/>
        <v>0</v>
      </c>
      <c r="V10" s="1554" t="s">
        <v>8</v>
      </c>
      <c r="W10" s="1555">
        <f t="shared" si="2"/>
        <v>0</v>
      </c>
      <c r="X10" s="1556"/>
      <c r="Y10" s="3367" t="s">
        <v>533</v>
      </c>
      <c r="Z10" s="3368"/>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5" t="s">
        <v>535</v>
      </c>
      <c r="Q11" s="1147" t="str">
        <f t="shared" ref="Q11:Q17" si="6">B11</f>
        <v>用途</v>
      </c>
      <c r="R11" s="1554" t="s">
        <v>8</v>
      </c>
      <c r="S11" s="1555">
        <f t="shared" si="0"/>
        <v>100</v>
      </c>
      <c r="T11" s="1554" t="s">
        <v>8</v>
      </c>
      <c r="U11" s="1555">
        <f t="shared" si="1"/>
        <v>100</v>
      </c>
      <c r="V11" s="1554" t="s">
        <v>8</v>
      </c>
      <c r="W11" s="1555">
        <f t="shared" si="2"/>
        <v>100</v>
      </c>
      <c r="X11" s="1556"/>
      <c r="Y11" s="3332"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75"/>
      <c r="Q12" s="1147" t="str">
        <f t="shared" si="6"/>
        <v>土地使用年限（年）</v>
      </c>
      <c r="R12" s="1554" t="s">
        <v>8</v>
      </c>
      <c r="S12" s="1555">
        <f t="shared" si="0"/>
        <v>102</v>
      </c>
      <c r="T12" s="1554" t="s">
        <v>8</v>
      </c>
      <c r="U12" s="1555">
        <f t="shared" si="1"/>
        <v>102</v>
      </c>
      <c r="V12" s="1554" t="s">
        <v>8</v>
      </c>
      <c r="W12" s="1555">
        <f t="shared" si="2"/>
        <v>102</v>
      </c>
      <c r="X12" s="1556"/>
      <c r="Y12" s="3332"/>
      <c r="Z12" s="1146" t="str">
        <f t="shared" si="7"/>
        <v>土地使用年限（年）</v>
      </c>
      <c r="AA12" s="1557">
        <f t="shared" si="3"/>
        <v>0.98039215686274506</v>
      </c>
      <c r="AB12" s="1557">
        <f t="shared" si="4"/>
        <v>0.98039215686274506</v>
      </c>
      <c r="AC12" s="1557">
        <f t="shared" si="5"/>
        <v>0.98039215686274506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5"/>
      <c r="Q13" s="1147" t="str">
        <f t="shared" si="6"/>
        <v>容积率</v>
      </c>
      <c r="R13" s="1554" t="s">
        <v>8</v>
      </c>
      <c r="S13" s="1555" t="e">
        <f t="shared" si="0"/>
        <v>#N/A</v>
      </c>
      <c r="T13" s="1554" t="s">
        <v>8</v>
      </c>
      <c r="U13" s="1555" t="e">
        <f t="shared" si="1"/>
        <v>#N/A</v>
      </c>
      <c r="V13" s="1554" t="s">
        <v>8</v>
      </c>
      <c r="W13" s="1555" t="e">
        <f t="shared" si="2"/>
        <v>#N/A</v>
      </c>
      <c r="X13" s="1556"/>
      <c r="Y13" s="3332"/>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5"/>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5"/>
      <c r="Q15" s="1147">
        <f t="shared" si="6"/>
        <v>111</v>
      </c>
      <c r="R15" s="1554" t="s">
        <v>8</v>
      </c>
      <c r="S15" s="1555">
        <f t="shared" si="0"/>
        <v>100</v>
      </c>
      <c r="T15" s="1554" t="s">
        <v>8</v>
      </c>
      <c r="U15" s="1555">
        <f t="shared" si="1"/>
        <v>100</v>
      </c>
      <c r="V15" s="1554" t="s">
        <v>8</v>
      </c>
      <c r="W15" s="1555">
        <f t="shared" si="2"/>
        <v>100</v>
      </c>
      <c r="X15" s="1556"/>
      <c r="Y15" s="3332"/>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5"/>
      <c r="Q16" s="1147">
        <f t="shared" si="6"/>
        <v>111</v>
      </c>
      <c r="R16" s="1554" t="s">
        <v>8</v>
      </c>
      <c r="S16" s="1555">
        <f t="shared" si="0"/>
        <v>100</v>
      </c>
      <c r="T16" s="1554" t="s">
        <v>8</v>
      </c>
      <c r="U16" s="1555">
        <f t="shared" si="1"/>
        <v>100</v>
      </c>
      <c r="V16" s="1554" t="s">
        <v>8</v>
      </c>
      <c r="W16" s="1555">
        <f t="shared" si="2"/>
        <v>100</v>
      </c>
      <c r="X16" s="1556"/>
      <c r="Y16" s="3332"/>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7" t="s">
        <v>540</v>
      </c>
      <c r="Q17" s="1558" t="str">
        <f t="shared" si="6"/>
        <v>产业集聚程度</v>
      </c>
      <c r="R17" s="1559" t="s">
        <v>8</v>
      </c>
      <c r="S17" s="1560">
        <f t="shared" si="0"/>
        <v>100</v>
      </c>
      <c r="T17" s="1559" t="s">
        <v>8</v>
      </c>
      <c r="U17" s="1560">
        <f t="shared" si="1"/>
        <v>100</v>
      </c>
      <c r="V17" s="1559" t="s">
        <v>8</v>
      </c>
      <c r="W17" s="1560">
        <f t="shared" si="2"/>
        <v>100</v>
      </c>
      <c r="X17" s="1553"/>
      <c r="Y17" s="337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78"/>
      <c r="Q18" s="1558"/>
      <c r="R18" s="1559"/>
      <c r="S18" s="1560"/>
      <c r="T18" s="1559"/>
      <c r="U18" s="1560"/>
      <c r="V18" s="1559"/>
      <c r="W18" s="1560"/>
      <c r="X18" s="1553"/>
      <c r="Y18" s="3378"/>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78"/>
      <c r="Q19" s="1558" t="str">
        <f>B19</f>
        <v>交通便捷度</v>
      </c>
      <c r="R19" s="1559" t="s">
        <v>8</v>
      </c>
      <c r="S19" s="1560">
        <f>F19</f>
        <v>100</v>
      </c>
      <c r="T19" s="1559" t="s">
        <v>8</v>
      </c>
      <c r="U19" s="1560">
        <f>H19</f>
        <v>100</v>
      </c>
      <c r="V19" s="1559" t="s">
        <v>8</v>
      </c>
      <c r="W19" s="1560">
        <f>J19</f>
        <v>100</v>
      </c>
      <c r="X19" s="1553"/>
      <c r="Y19" s="337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78"/>
      <c r="Q20" s="1558"/>
      <c r="R20" s="1559"/>
      <c r="S20" s="1560"/>
      <c r="T20" s="1559"/>
      <c r="U20" s="1560"/>
      <c r="V20" s="1559"/>
      <c r="W20" s="1560"/>
      <c r="X20" s="1553"/>
      <c r="Y20" s="3378"/>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78"/>
      <c r="Q21" s="1558" t="str">
        <f t="shared" ref="Q21:Q35" si="8">B21</f>
        <v>区域土地利用方向</v>
      </c>
      <c r="R21" s="1559" t="s">
        <v>8</v>
      </c>
      <c r="S21" s="1560">
        <f>F21</f>
        <v>100</v>
      </c>
      <c r="T21" s="1559" t="s">
        <v>8</v>
      </c>
      <c r="U21" s="1560">
        <f>H21</f>
        <v>100</v>
      </c>
      <c r="V21" s="1559" t="s">
        <v>8</v>
      </c>
      <c r="W21" s="1560">
        <f>J21</f>
        <v>100</v>
      </c>
      <c r="X21" s="1553"/>
      <c r="Y21" s="337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78"/>
      <c r="Q22" s="1558"/>
      <c r="R22" s="1559"/>
      <c r="S22" s="1560"/>
      <c r="T22" s="1559"/>
      <c r="U22" s="1560"/>
      <c r="V22" s="1559"/>
      <c r="W22" s="1560"/>
      <c r="X22" s="1553"/>
      <c r="Y22" s="3378"/>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78"/>
      <c r="Q23" s="1558" t="str">
        <f t="shared" si="8"/>
        <v>环境状况</v>
      </c>
      <c r="R23" s="1559" t="s">
        <v>8</v>
      </c>
      <c r="S23" s="1560">
        <f>F23</f>
        <v>100</v>
      </c>
      <c r="T23" s="1559" t="s">
        <v>8</v>
      </c>
      <c r="U23" s="1560">
        <f>H23</f>
        <v>100</v>
      </c>
      <c r="V23" s="1559" t="s">
        <v>8</v>
      </c>
      <c r="W23" s="1560">
        <f>J23</f>
        <v>100</v>
      </c>
      <c r="X23" s="1553"/>
      <c r="Y23" s="337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78"/>
      <c r="Q24" s="1558"/>
      <c r="R24" s="1559"/>
      <c r="S24" s="1560"/>
      <c r="T24" s="1559"/>
      <c r="U24" s="1560"/>
      <c r="V24" s="1559"/>
      <c r="W24" s="1560"/>
      <c r="X24" s="1553"/>
      <c r="Y24" s="3378"/>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78"/>
      <c r="Q25" s="1147" t="str">
        <f t="shared" si="8"/>
        <v>公共配套设施</v>
      </c>
      <c r="R25" s="1554" t="s">
        <v>8</v>
      </c>
      <c r="S25" s="1555">
        <f>F25</f>
        <v>100</v>
      </c>
      <c r="T25" s="1554" t="s">
        <v>8</v>
      </c>
      <c r="U25" s="1555">
        <f>H25</f>
        <v>100</v>
      </c>
      <c r="V25" s="1554" t="s">
        <v>8</v>
      </c>
      <c r="W25" s="1555">
        <f>J25</f>
        <v>100</v>
      </c>
      <c r="X25" s="1556"/>
      <c r="Y25" s="3378"/>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78"/>
      <c r="Q26" s="1147"/>
      <c r="R26" s="1554"/>
      <c r="S26" s="1555"/>
      <c r="T26" s="1554"/>
      <c r="U26" s="1555"/>
      <c r="V26" s="1554"/>
      <c r="W26" s="1555"/>
      <c r="X26" s="1556"/>
      <c r="Y26" s="3378"/>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78"/>
      <c r="Q27" s="2542" t="str">
        <f t="shared" ref="Q27" si="9">B27</f>
        <v>基础设施水平</v>
      </c>
      <c r="R27" s="1554" t="s">
        <v>8</v>
      </c>
      <c r="S27" s="1555">
        <f>F27</f>
        <v>100</v>
      </c>
      <c r="T27" s="1554" t="s">
        <v>8</v>
      </c>
      <c r="U27" s="1555">
        <f>H27</f>
        <v>100</v>
      </c>
      <c r="V27" s="1554" t="s">
        <v>8</v>
      </c>
      <c r="W27" s="1555">
        <f>J27</f>
        <v>100</v>
      </c>
      <c r="X27" s="1556"/>
      <c r="Y27" s="3378"/>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78"/>
      <c r="Q28" s="2542"/>
      <c r="R28" s="1554"/>
      <c r="S28" s="1555"/>
      <c r="T28" s="1554"/>
      <c r="U28" s="1555"/>
      <c r="V28" s="1554"/>
      <c r="W28" s="1555"/>
      <c r="X28" s="1556"/>
      <c r="Y28" s="3378"/>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7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78"/>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78"/>
      <c r="Q30" s="1558" t="str">
        <f t="shared" si="8"/>
        <v>毗邻道路的类型与等级</v>
      </c>
      <c r="R30" s="1559" t="s">
        <v>8</v>
      </c>
      <c r="S30" s="1560">
        <f t="shared" si="10"/>
        <v>100</v>
      </c>
      <c r="T30" s="1559" t="s">
        <v>8</v>
      </c>
      <c r="U30" s="1560">
        <f t="shared" si="11"/>
        <v>100</v>
      </c>
      <c r="V30" s="1559" t="s">
        <v>8</v>
      </c>
      <c r="W30" s="1560">
        <f t="shared" si="12"/>
        <v>100</v>
      </c>
      <c r="X30" s="1553"/>
      <c r="Y30" s="337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78"/>
      <c r="Q31" s="1558"/>
      <c r="R31" s="1559"/>
      <c r="S31" s="1560"/>
      <c r="T31" s="1559"/>
      <c r="U31" s="1560"/>
      <c r="V31" s="1559"/>
      <c r="W31" s="1560"/>
      <c r="X31" s="1553"/>
      <c r="Y31" s="3378"/>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78"/>
      <c r="Q32" s="1558" t="str">
        <f t="shared" si="8"/>
        <v>土地级别</v>
      </c>
      <c r="R32" s="1559" t="s">
        <v>8</v>
      </c>
      <c r="S32" s="1560">
        <f t="shared" si="10"/>
        <v>100</v>
      </c>
      <c r="T32" s="1559" t="s">
        <v>8</v>
      </c>
      <c r="U32" s="1560">
        <f t="shared" si="11"/>
        <v>100</v>
      </c>
      <c r="V32" s="1559" t="s">
        <v>8</v>
      </c>
      <c r="W32" s="1560">
        <f t="shared" si="12"/>
        <v>100</v>
      </c>
      <c r="X32" s="1553"/>
      <c r="Y32" s="337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78"/>
      <c r="Q33" s="1558">
        <f t="shared" si="8"/>
        <v>111</v>
      </c>
      <c r="R33" s="1559" t="s">
        <v>8</v>
      </c>
      <c r="S33" s="1560">
        <f t="shared" si="10"/>
        <v>100</v>
      </c>
      <c r="T33" s="1559" t="s">
        <v>8</v>
      </c>
      <c r="U33" s="1560">
        <f t="shared" si="11"/>
        <v>100</v>
      </c>
      <c r="V33" s="1559" t="s">
        <v>8</v>
      </c>
      <c r="W33" s="1560">
        <f t="shared" si="12"/>
        <v>100</v>
      </c>
      <c r="X33" s="1553"/>
      <c r="Y33" s="337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79" t="s">
        <v>550</v>
      </c>
      <c r="Q34" s="1558">
        <f t="shared" si="8"/>
        <v>111</v>
      </c>
      <c r="R34" s="1559" t="s">
        <v>8</v>
      </c>
      <c r="S34" s="1560">
        <f t="shared" si="10"/>
        <v>100</v>
      </c>
      <c r="T34" s="1559" t="s">
        <v>8</v>
      </c>
      <c r="U34" s="1560">
        <f t="shared" si="11"/>
        <v>100</v>
      </c>
      <c r="V34" s="1559" t="s">
        <v>8</v>
      </c>
      <c r="W34" s="1560">
        <f t="shared" si="12"/>
        <v>100</v>
      </c>
      <c r="X34" s="1553"/>
      <c r="Y34" s="3380"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0"/>
      <c r="Q35" s="1558">
        <f t="shared" si="8"/>
        <v>111</v>
      </c>
      <c r="R35" s="1563" t="s">
        <v>8</v>
      </c>
      <c r="S35" s="1564">
        <f t="shared" si="10"/>
        <v>100</v>
      </c>
      <c r="T35" s="1563" t="s">
        <v>8</v>
      </c>
      <c r="U35" s="1564">
        <f t="shared" si="11"/>
        <v>100</v>
      </c>
      <c r="V35" s="1563" t="s">
        <v>8</v>
      </c>
      <c r="W35" s="1564">
        <f t="shared" si="12"/>
        <v>100</v>
      </c>
      <c r="X35" s="1565"/>
      <c r="Y35" s="3380"/>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0"/>
      <c r="Q36" s="1558" t="str">
        <f>B36</f>
        <v>宗地面积</v>
      </c>
      <c r="R36" s="1559" t="s">
        <v>8</v>
      </c>
      <c r="S36" s="1560" t="e">
        <f t="shared" si="10"/>
        <v>#N/A</v>
      </c>
      <c r="T36" s="1559" t="s">
        <v>8</v>
      </c>
      <c r="U36" s="1560" t="e">
        <f t="shared" si="11"/>
        <v>#N/A</v>
      </c>
      <c r="V36" s="1559" t="s">
        <v>8</v>
      </c>
      <c r="W36" s="1560" t="e">
        <f t="shared" si="12"/>
        <v>#N/A</v>
      </c>
      <c r="X36" s="1553"/>
      <c r="Y36" s="338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0"/>
      <c r="Q37" s="1558" t="str">
        <f t="shared" ref="Q37:Q42" si="14">B37</f>
        <v>宗地形状</v>
      </c>
      <c r="R37" s="1559" t="s">
        <v>8</v>
      </c>
      <c r="S37" s="1560">
        <f t="shared" si="10"/>
        <v>100</v>
      </c>
      <c r="T37" s="1559" t="s">
        <v>8</v>
      </c>
      <c r="U37" s="1560">
        <f t="shared" si="11"/>
        <v>100</v>
      </c>
      <c r="V37" s="1559" t="s">
        <v>8</v>
      </c>
      <c r="W37" s="1560">
        <f t="shared" si="12"/>
        <v>100</v>
      </c>
      <c r="X37" s="1553"/>
      <c r="Y37" s="3380"/>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0"/>
      <c r="Q38" s="1558" t="str">
        <f t="shared" si="14"/>
        <v>宗地开发程度</v>
      </c>
      <c r="R38" s="1554" t="s">
        <v>8</v>
      </c>
      <c r="S38" s="1555">
        <f t="shared" si="10"/>
        <v>100</v>
      </c>
      <c r="T38" s="1554" t="s">
        <v>8</v>
      </c>
      <c r="U38" s="1555">
        <f t="shared" si="11"/>
        <v>100</v>
      </c>
      <c r="V38" s="1554" t="s">
        <v>8</v>
      </c>
      <c r="W38" s="1555">
        <f t="shared" si="12"/>
        <v>100</v>
      </c>
      <c r="X38" s="1556"/>
      <c r="Y38" s="3380"/>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0" t="s">
        <v>601</v>
      </c>
      <c r="Q39" s="1558" t="str">
        <f t="shared" si="14"/>
        <v>工程地质条件</v>
      </c>
      <c r="R39" s="1559" t="s">
        <v>8</v>
      </c>
      <c r="S39" s="1560">
        <f t="shared" si="10"/>
        <v>100</v>
      </c>
      <c r="T39" s="1559" t="s">
        <v>8</v>
      </c>
      <c r="U39" s="1560">
        <f t="shared" si="11"/>
        <v>100</v>
      </c>
      <c r="V39" s="1559" t="s">
        <v>8</v>
      </c>
      <c r="W39" s="1560">
        <f t="shared" si="12"/>
        <v>100</v>
      </c>
      <c r="X39" s="1553"/>
      <c r="Y39" s="338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0"/>
      <c r="Q40" s="1558">
        <f t="shared" si="14"/>
        <v>111</v>
      </c>
      <c r="R40" s="1559" t="s">
        <v>8</v>
      </c>
      <c r="S40" s="1560">
        <f t="shared" si="10"/>
        <v>100</v>
      </c>
      <c r="T40" s="1559" t="s">
        <v>8</v>
      </c>
      <c r="U40" s="1560">
        <f t="shared" si="11"/>
        <v>100</v>
      </c>
      <c r="V40" s="1559" t="s">
        <v>8</v>
      </c>
      <c r="W40" s="1560">
        <f t="shared" si="12"/>
        <v>100</v>
      </c>
      <c r="X40" s="1553"/>
      <c r="Y40" s="338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0"/>
      <c r="Q41" s="1558">
        <f t="shared" si="14"/>
        <v>111</v>
      </c>
      <c r="R41" s="1559" t="s">
        <v>8</v>
      </c>
      <c r="S41" s="1560">
        <f t="shared" si="10"/>
        <v>100</v>
      </c>
      <c r="T41" s="1559" t="s">
        <v>8</v>
      </c>
      <c r="U41" s="1560">
        <f t="shared" si="11"/>
        <v>100</v>
      </c>
      <c r="V41" s="1559" t="s">
        <v>8</v>
      </c>
      <c r="W41" s="1560">
        <f t="shared" si="12"/>
        <v>100</v>
      </c>
      <c r="X41" s="1553"/>
      <c r="Y41" s="3380"/>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0"/>
      <c r="Q42" s="1558">
        <f t="shared" si="14"/>
        <v>111</v>
      </c>
      <c r="R42" s="1563" t="s">
        <v>8</v>
      </c>
      <c r="S42" s="1564">
        <f t="shared" si="10"/>
        <v>100</v>
      </c>
      <c r="T42" s="1563" t="s">
        <v>8</v>
      </c>
      <c r="U42" s="1564">
        <f t="shared" si="11"/>
        <v>100</v>
      </c>
      <c r="V42" s="1563" t="s">
        <v>8</v>
      </c>
      <c r="W42" s="1564">
        <f t="shared" si="12"/>
        <v>100</v>
      </c>
      <c r="X42" s="1565"/>
      <c r="Y42" s="3380"/>
      <c r="Z42" s="1566">
        <f t="shared" si="13"/>
        <v>111</v>
      </c>
      <c r="AA42" s="1562">
        <f t="shared" si="3"/>
        <v>1</v>
      </c>
      <c r="AB42" s="1562">
        <f t="shared" si="4"/>
        <v>1</v>
      </c>
      <c r="AC42" s="1562">
        <f t="shared" si="5"/>
        <v>1</v>
      </c>
    </row>
    <row r="43" spans="1:29" ht="15">
      <c r="A43" s="607" t="s">
        <v>556</v>
      </c>
      <c r="B43" s="608" t="s">
        <v>2931</v>
      </c>
      <c r="C43" s="609" t="s">
        <v>1</v>
      </c>
      <c r="D43" s="610"/>
      <c r="E43" s="611"/>
      <c r="F43" s="612"/>
      <c r="G43" s="613"/>
      <c r="H43" s="614"/>
      <c r="I43" s="611"/>
      <c r="J43" s="614"/>
      <c r="K43" s="1336"/>
      <c r="L43" s="2129"/>
      <c r="M43" s="2119"/>
      <c r="N43" s="2119"/>
      <c r="O43" s="2130"/>
      <c r="P43" s="3375" t="str">
        <f>A43</f>
        <v>成交单价</v>
      </c>
      <c r="Q43" s="3375"/>
      <c r="R43" s="3389">
        <f>E43</f>
        <v>0</v>
      </c>
      <c r="S43" s="3389"/>
      <c r="T43" s="3389">
        <f>G43</f>
        <v>0</v>
      </c>
      <c r="U43" s="3389"/>
      <c r="V43" s="3389">
        <f>I43</f>
        <v>0</v>
      </c>
      <c r="W43" s="3389"/>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75" t="str">
        <f>A44</f>
        <v>比较价格（元/平方米）</v>
      </c>
      <c r="Q44" s="3375"/>
      <c r="R44" s="3401" t="e">
        <f>ROUND(PRODUCT(R43,AA9:AA42),0)</f>
        <v>#DIV/0!</v>
      </c>
      <c r="S44" s="3401"/>
      <c r="T44" s="3401" t="e">
        <f>ROUND(PRODUCT(T43,AB9:AB42),0)</f>
        <v>#DIV/0!</v>
      </c>
      <c r="U44" s="3401"/>
      <c r="V44" s="3401" t="e">
        <f>ROUND(PRODUCT(V43,AC9:AC42),0)</f>
        <v>#DIV/0!</v>
      </c>
      <c r="W44" s="3401"/>
      <c r="X44" s="1545"/>
      <c r="Y44" s="1545"/>
      <c r="Z44" s="1545"/>
      <c r="AA44" s="1545"/>
      <c r="AB44" s="1545"/>
      <c r="AC44" s="1545"/>
    </row>
    <row r="45" spans="1:29" ht="15.75" thickBot="1">
      <c r="A45" s="621" t="s">
        <v>2932</v>
      </c>
      <c r="B45" s="622"/>
      <c r="C45" s="623" t="e">
        <f>R45</f>
        <v>#DIV/0!</v>
      </c>
      <c r="D45" s="623"/>
      <c r="E45" s="623"/>
      <c r="F45" s="623"/>
      <c r="G45" s="623"/>
      <c r="H45" s="623"/>
      <c r="I45" s="623"/>
      <c r="J45" s="623"/>
      <c r="K45" s="1338"/>
      <c r="L45" s="2129"/>
      <c r="M45" s="2119"/>
      <c r="N45" s="2119"/>
      <c r="O45" s="2130"/>
      <c r="P45" s="3398" t="str">
        <f>A45</f>
        <v>估价对象XX用房的比较价格（楼面单价，元/平方米）</v>
      </c>
      <c r="Q45" s="3399"/>
      <c r="R45" s="3400" t="e">
        <f>ROUND(AVERAGE(R44:V44),0)</f>
        <v>#DIV/0!</v>
      </c>
      <c r="S45" s="3400"/>
      <c r="T45" s="3400"/>
      <c r="U45" s="3400"/>
      <c r="V45" s="3400"/>
      <c r="W45" s="340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2" t="s">
        <v>2284</v>
      </c>
      <c r="H52" s="3403"/>
      <c r="I52" s="1937" t="s">
        <v>1945</v>
      </c>
      <c r="J52" s="1541" t="str">
        <f>项目基本情况!F41</f>
        <v>天津市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59430.919999999984</v>
      </c>
      <c r="F53" s="1935" t="e">
        <f t="shared" ref="F53:F62" si="15">ROUND(B53*E53/10000,0)</f>
        <v>#DIV/0!</v>
      </c>
      <c r="G53" s="3404"/>
      <c r="H53" s="340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06"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0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0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0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38830.82</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49527.1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26" sqref="C126:F13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5"/>
      <c r="L4" s="1870" t="s">
        <v>2241</v>
      </c>
      <c r="M4" s="1871">
        <f>SUMPRODUCT((区片价!B49:B75=I2)*(区片价!C3:F3=E2)*(区片价!C49:F75))</f>
        <v>0</v>
      </c>
      <c r="N4" s="1872">
        <f>SUMPRODUCT((因素修正幅度!B49:B75=I2)*(因素修正幅度!C3:F3=E2)*(因素修正幅度!C49:F75))</f>
        <v>0</v>
      </c>
      <c r="O4" s="3145"/>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69" t="e">
        <f>ROUND(C6+C16,0)</f>
        <v>#DIV/0!</v>
      </c>
      <c r="E5" s="3069"/>
      <c r="F5" s="1412"/>
      <c r="G5" s="1413"/>
      <c r="H5" s="1413"/>
      <c r="I5" s="1413"/>
      <c r="J5" s="1414"/>
      <c r="K5" s="3146"/>
      <c r="L5" s="1870" t="s">
        <v>2242</v>
      </c>
      <c r="M5" s="1871">
        <f>SUMPRODUCT((区片价!B76:B109=I2)*(区片价!C3:F3=E2)*(区片价!C76:F109))</f>
        <v>0</v>
      </c>
      <c r="N5" s="1872">
        <f>SUMPRODUCT((因素修正幅度!B76:B109=I2)*(因素修正幅度!C3:F3=E2)*(因素修正幅度!C76:F109))</f>
        <v>0</v>
      </c>
      <c r="O5" s="3146"/>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4"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7"/>
      <c r="AB7" s="2177"/>
      <c r="AC7" s="2178"/>
      <c r="AD7" s="2884"/>
      <c r="AE7" s="2884"/>
      <c r="AF7" s="2884"/>
      <c r="AG7" s="2884"/>
      <c r="AH7" s="2884"/>
      <c r="AI7" s="2884"/>
      <c r="AJ7" s="2885"/>
    </row>
    <row r="8" spans="1:39" ht="15">
      <c r="A8" s="3415"/>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5" t="s">
        <v>2783</v>
      </c>
      <c r="X8" s="3426"/>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15"/>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4" t="s">
        <v>2779</v>
      </c>
      <c r="X9" s="2886" t="s">
        <v>2780</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5"/>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5"/>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4" t="s">
        <v>2781</v>
      </c>
      <c r="X11" s="1048" t="s">
        <v>2766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4"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4"/>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6"/>
      <c r="B13" s="1440" t="s">
        <v>1696</v>
      </c>
      <c r="C13" s="1441" t="s">
        <v>1697</v>
      </c>
      <c r="D13" s="1085" t="s">
        <v>1698</v>
      </c>
      <c r="E13" s="1085" t="s">
        <v>1699</v>
      </c>
      <c r="F13" s="1442" t="s">
        <v>948</v>
      </c>
      <c r="G13" s="1443" t="s">
        <v>1642</v>
      </c>
      <c r="H13" s="1444" t="s">
        <v>1642</v>
      </c>
      <c r="I13" s="1445" t="s">
        <v>1642</v>
      </c>
      <c r="J13" s="1446" t="s">
        <v>1642</v>
      </c>
      <c r="K13" s="3161"/>
      <c r="L13" s="3161"/>
      <c r="M13" s="3161"/>
      <c r="N13" s="3161"/>
      <c r="O13" s="3161"/>
      <c r="P13" s="1397"/>
      <c r="Q13" s="2174"/>
      <c r="R13" s="2892">
        <v>12</v>
      </c>
      <c r="S13" s="2881"/>
      <c r="T13" s="2892" t="e">
        <f t="shared" si="0"/>
        <v>#DIV/0!</v>
      </c>
      <c r="U13" s="2881"/>
      <c r="V13" s="2892" t="e">
        <f t="shared" si="1"/>
        <v>#DIV/0!</v>
      </c>
      <c r="W13" s="3424"/>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6"/>
      <c r="B14" s="1447"/>
      <c r="C14" s="1448"/>
      <c r="D14" s="1449"/>
      <c r="E14" s="1449"/>
      <c r="F14" s="1450"/>
      <c r="G14" s="1451" t="s">
        <v>949</v>
      </c>
      <c r="H14" s="1452"/>
      <c r="I14" s="1453"/>
      <c r="J14" s="1454"/>
      <c r="K14" s="3147"/>
      <c r="L14" s="3147"/>
      <c r="M14" s="3147"/>
      <c r="N14" s="3147"/>
      <c r="O14" s="3147"/>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7"/>
      <c r="B15" s="3166" t="s">
        <v>1700</v>
      </c>
      <c r="C15" s="1049">
        <f>IF(C14="有",1.1,1)</f>
        <v>1</v>
      </c>
      <c r="D15" s="1049">
        <f>IF(D14="有",1.1,1)</f>
        <v>1</v>
      </c>
      <c r="E15" s="1049">
        <f>IF(E14="有",1.1,1)</f>
        <v>1</v>
      </c>
      <c r="F15" s="1049">
        <f>IF(F14="500米范围内",1.2,IF(F14="500-1000米",1.1,1))</f>
        <v>1</v>
      </c>
      <c r="G15" s="3158">
        <v>1</v>
      </c>
      <c r="H15" s="3158">
        <v>1</v>
      </c>
      <c r="I15" s="3158">
        <v>1</v>
      </c>
      <c r="J15" s="3159">
        <v>1</v>
      </c>
      <c r="K15" s="3162"/>
      <c r="L15" s="3162"/>
      <c r="M15" s="3162"/>
      <c r="N15" s="3162"/>
      <c r="O15" s="3162"/>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4" t="s">
        <v>1838</v>
      </c>
      <c r="B16" s="1423" t="s">
        <v>950</v>
      </c>
      <c r="C16" s="1052" t="e">
        <f>ROUND(IF(F17="与级别开发程度一致",0,(G17-E17)/C17),0)</f>
        <v>#DIV/0!</v>
      </c>
      <c r="D16" s="3432" t="s">
        <v>954</v>
      </c>
      <c r="E16" s="3433"/>
      <c r="F16" s="3432" t="s">
        <v>951</v>
      </c>
      <c r="G16" s="3433"/>
      <c r="H16" s="1455"/>
      <c r="I16" s="1455"/>
      <c r="J16" s="1455"/>
      <c r="K16" s="1455"/>
      <c r="L16" s="1455"/>
      <c r="M16" s="1455"/>
      <c r="N16" s="1455"/>
      <c r="O16" s="3171"/>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1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5">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7" t="s">
        <v>955</v>
      </c>
      <c r="C18" s="3168">
        <f>SUMIF(修正!C18:C39,E3,修正!E18:E39)</f>
        <v>0</v>
      </c>
      <c r="D18" s="3169"/>
      <c r="E18" s="3170"/>
      <c r="F18" s="3152"/>
      <c r="G18" s="3146"/>
      <c r="H18" s="3146"/>
      <c r="I18" s="3146"/>
      <c r="J18" s="3160"/>
      <c r="K18" s="3146"/>
      <c r="L18" s="3146"/>
      <c r="M18" s="3146"/>
      <c r="N18" s="3146"/>
      <c r="O18" s="3146"/>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ROUND(IF(H19="按公示增长率计算",SUMPRODUCT((地价!A3:A27=YEAR(G19)&amp;"-"&amp;ROUNDUP(MONTH(G19)/3,0))*(地价!X2:AB2=E2)*(地价!X3:AB27)),IF(H19="地价指数",M20/M19,(1+I19)^O19)),4)</f>
        <v>0</v>
      </c>
      <c r="D19" s="1462" t="s">
        <v>957</v>
      </c>
      <c r="E19" s="1054">
        <v>41640</v>
      </c>
      <c r="F19" s="1462" t="s">
        <v>958</v>
      </c>
      <c r="G19" s="1055">
        <f>'数据-取费表'!B2</f>
        <v>43693</v>
      </c>
      <c r="H19" s="1463" t="s">
        <v>2992</v>
      </c>
      <c r="I19" s="2740" t="str">
        <f>IF(H19="季度增幅（自定义）",SUMIF(N21:N24,E2,O21:O24),"")</f>
        <v/>
      </c>
      <c r="J19" s="1459"/>
      <c r="K19" s="3146"/>
      <c r="L19" s="2989" t="s">
        <v>2841</v>
      </c>
      <c r="M19" s="2990">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8"/>
      <c r="L20" s="2991" t="s">
        <v>2842</v>
      </c>
      <c r="M20" s="3155">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46"/>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9"/>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0"/>
      <c r="L24" s="1469"/>
      <c r="M24" s="1469"/>
      <c r="N24" s="1466" t="s">
        <v>981</v>
      </c>
      <c r="O24" s="3154"/>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6" t="s">
        <v>2648</v>
      </c>
      <c r="O25" s="3157"/>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1"/>
      <c r="L29" s="3151"/>
      <c r="M29" s="3151"/>
      <c r="N29" s="3151"/>
      <c r="O29" s="3151"/>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1" t="s">
        <v>2957</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3"/>
      <c r="L33" s="3153"/>
      <c r="M33" s="3153"/>
      <c r="N33" s="3153"/>
      <c r="O33" s="3153"/>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2"/>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3"/>
      <c r="L34" s="3153"/>
      <c r="M34" s="3153"/>
      <c r="N34" s="3153"/>
      <c r="O34" s="3153"/>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2"/>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3"/>
      <c r="L35" s="3153"/>
      <c r="M35" s="3153"/>
      <c r="N35" s="3153"/>
      <c r="O35" s="3153"/>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3"/>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3"/>
      <c r="L36" s="3153"/>
      <c r="M36" s="3153"/>
      <c r="N36" s="3153"/>
      <c r="O36" s="3153"/>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4" t="s">
        <v>2984</v>
      </c>
      <c r="C41" s="839" t="e">
        <f>ROUND(POWER(1+E41,H41-G41)*(POWER(1+E41,G41)-1)/(POWER(1+E41,H41)-1),4)</f>
        <v>#DIV/0!</v>
      </c>
      <c r="D41" s="378" t="s">
        <v>2982</v>
      </c>
      <c r="E41" s="3143">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3" t="s">
        <v>1021</v>
      </c>
      <c r="B48" s="2372" t="str">
        <f>估价对象房地状况!C18</f>
        <v>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6"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5"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3" t="s">
        <v>1030</v>
      </c>
      <c r="B58" s="2375" t="str">
        <f>估价对象房地状况!C17</f>
        <v>一般</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3" t="s">
        <v>1021</v>
      </c>
      <c r="B59" s="2372" t="str">
        <f>估价对象房地状况!C18</f>
        <v>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6"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5"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3" t="s">
        <v>1033</v>
      </c>
      <c r="B70" s="2372" t="str">
        <f>估价对象房地状况!C18</f>
        <v>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5"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5"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9" t="s">
        <v>1633</v>
      </c>
      <c r="B90" s="3419"/>
      <c r="C90" s="3419"/>
      <c r="D90" s="3419"/>
      <c r="E90" s="3419"/>
      <c r="F90" s="3419"/>
      <c r="G90" s="3419"/>
      <c r="H90" s="3419"/>
      <c r="I90" s="3419"/>
      <c r="J90" s="3419"/>
      <c r="K90" s="2414"/>
      <c r="L90" s="2414"/>
      <c r="M90" s="2414"/>
      <c r="N90" s="2414"/>
    </row>
    <row r="91" spans="1:40">
      <c r="A91" s="3420" t="s">
        <v>1443</v>
      </c>
      <c r="B91" s="3420" t="s">
        <v>1634</v>
      </c>
      <c r="C91" s="1136" t="s">
        <v>1635</v>
      </c>
      <c r="D91" s="1137"/>
      <c r="E91" s="1137"/>
      <c r="F91" s="1137"/>
      <c r="G91" s="1137"/>
      <c r="H91" s="1137"/>
      <c r="I91" s="1137"/>
      <c r="J91" s="1138"/>
      <c r="K91" s="1130"/>
      <c r="L91" s="1130"/>
      <c r="M91" s="1130"/>
      <c r="N91" s="1130"/>
    </row>
    <row r="92" spans="1:40">
      <c r="A92" s="3420"/>
      <c r="B92" s="342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7"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3" t="s">
        <v>1639</v>
      </c>
      <c r="B110" s="3413"/>
      <c r="C110" s="3413"/>
      <c r="D110" s="3413"/>
      <c r="E110" s="3413"/>
      <c r="F110" s="3413"/>
      <c r="G110" s="3413"/>
      <c r="H110" s="3413"/>
      <c r="I110" s="3413"/>
      <c r="J110" s="3413"/>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3" t="s">
        <v>2987</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0" t="s">
        <v>1007</v>
      </c>
      <c r="B18" s="1150" t="s">
        <v>1446</v>
      </c>
      <c r="C18" s="1127" t="s">
        <v>1447</v>
      </c>
      <c r="D18" s="1128"/>
      <c r="E18" s="1150">
        <v>1</v>
      </c>
      <c r="F18" s="1129" t="s">
        <v>1448</v>
      </c>
      <c r="G18" s="1130"/>
      <c r="H18" s="1101"/>
      <c r="I18" s="1101"/>
    </row>
    <row r="19" spans="1:9" s="1584" customFormat="1" ht="19.5" customHeight="1">
      <c r="A19" s="3420"/>
      <c r="B19" s="3420" t="s">
        <v>1449</v>
      </c>
      <c r="C19" s="1127" t="s">
        <v>1450</v>
      </c>
      <c r="D19" s="1128"/>
      <c r="E19" s="1150">
        <v>0.9</v>
      </c>
      <c r="F19" s="1129" t="s">
        <v>1451</v>
      </c>
      <c r="G19" s="1130"/>
      <c r="H19" s="1101"/>
      <c r="I19" s="1101"/>
    </row>
    <row r="20" spans="1:9" s="1584" customFormat="1" ht="19.5" customHeight="1">
      <c r="A20" s="3420"/>
      <c r="B20" s="3420"/>
      <c r="C20" s="1127" t="s">
        <v>1452</v>
      </c>
      <c r="D20" s="1128"/>
      <c r="E20" s="1150">
        <v>1.1000000000000001</v>
      </c>
      <c r="F20" s="1129" t="s">
        <v>1453</v>
      </c>
      <c r="G20" s="1130"/>
      <c r="H20" s="1101"/>
      <c r="I20" s="1101"/>
    </row>
    <row r="21" spans="1:9" s="1584" customFormat="1" ht="19.5" customHeight="1">
      <c r="A21" s="3420"/>
      <c r="B21" s="3420"/>
      <c r="C21" s="1127" t="s">
        <v>1454</v>
      </c>
      <c r="D21" s="1128"/>
      <c r="E21" s="1150">
        <v>0.8</v>
      </c>
      <c r="F21" s="1129" t="s">
        <v>1455</v>
      </c>
      <c r="G21" s="1130"/>
      <c r="H21" s="1101"/>
      <c r="I21" s="1101"/>
    </row>
    <row r="22" spans="1:9" s="1584" customFormat="1" ht="19.5" customHeight="1">
      <c r="A22" s="3420"/>
      <c r="B22" s="3420"/>
      <c r="C22" s="1127" t="s">
        <v>1456</v>
      </c>
      <c r="D22" s="1128"/>
      <c r="E22" s="1150">
        <v>0.5</v>
      </c>
      <c r="F22" s="1129"/>
      <c r="G22" s="1130"/>
      <c r="H22" s="1101"/>
      <c r="I22" s="1101"/>
    </row>
    <row r="23" spans="1:9" s="1584" customFormat="1" ht="19.5" customHeight="1">
      <c r="A23" s="3420" t="s">
        <v>1029</v>
      </c>
      <c r="B23" s="1150" t="s">
        <v>1446</v>
      </c>
      <c r="C23" s="1127" t="s">
        <v>1457</v>
      </c>
      <c r="D23" s="1128"/>
      <c r="E23" s="1150">
        <v>1</v>
      </c>
      <c r="F23" s="1129" t="s">
        <v>1458</v>
      </c>
      <c r="G23" s="1130"/>
      <c r="H23" s="1101"/>
      <c r="I23" s="1101"/>
    </row>
    <row r="24" spans="1:9" s="1584" customFormat="1" ht="19.5" customHeight="1">
      <c r="A24" s="3420"/>
      <c r="B24" s="3420" t="s">
        <v>1449</v>
      </c>
      <c r="C24" s="1127" t="s">
        <v>1459</v>
      </c>
      <c r="D24" s="1128"/>
      <c r="E24" s="1150">
        <v>0.5</v>
      </c>
      <c r="F24" s="1129"/>
      <c r="G24" s="1130"/>
      <c r="H24" s="1101"/>
      <c r="I24" s="1101"/>
    </row>
    <row r="25" spans="1:9" s="1584" customFormat="1" ht="19.5" customHeight="1">
      <c r="A25" s="3420"/>
      <c r="B25" s="3420"/>
      <c r="C25" s="1127" t="s">
        <v>1460</v>
      </c>
      <c r="D25" s="1128"/>
      <c r="E25" s="1150">
        <v>1.1000000000000001</v>
      </c>
      <c r="F25" s="1129"/>
      <c r="G25" s="1130"/>
      <c r="H25" s="1101"/>
      <c r="I25" s="1101"/>
    </row>
    <row r="26" spans="1:9" s="1584" customFormat="1" ht="19.5" customHeight="1">
      <c r="A26" s="3420"/>
      <c r="B26" s="3420"/>
      <c r="C26" s="1127" t="s">
        <v>1461</v>
      </c>
      <c r="D26" s="1128"/>
      <c r="E26" s="1150">
        <v>1.1000000000000001</v>
      </c>
      <c r="F26" s="1129"/>
      <c r="G26" s="1130"/>
      <c r="H26" s="1101"/>
      <c r="I26" s="1101"/>
    </row>
    <row r="27" spans="1:9" s="1584" customFormat="1" ht="19.5" customHeight="1">
      <c r="A27" s="3420"/>
      <c r="B27" s="3420"/>
      <c r="C27" s="1127" t="s">
        <v>1462</v>
      </c>
      <c r="D27" s="1128"/>
      <c r="E27" s="1150">
        <v>0.9</v>
      </c>
      <c r="F27" s="1129" t="s">
        <v>1463</v>
      </c>
      <c r="G27" s="1130"/>
      <c r="H27" s="1101"/>
      <c r="I27" s="1101"/>
    </row>
    <row r="28" spans="1:9" s="1584" customFormat="1" ht="19.5" customHeight="1">
      <c r="A28" s="3420"/>
      <c r="B28" s="3420"/>
      <c r="C28" s="1127" t="s">
        <v>1464</v>
      </c>
      <c r="D28" s="1128"/>
      <c r="E28" s="1150">
        <v>0.9</v>
      </c>
      <c r="F28" s="1129" t="s">
        <v>1465</v>
      </c>
      <c r="G28" s="1130"/>
      <c r="H28" s="1101"/>
      <c r="I28" s="1101"/>
    </row>
    <row r="29" spans="1:9" s="1584" customFormat="1" ht="19.5" customHeight="1">
      <c r="A29" s="3420"/>
      <c r="B29" s="3420"/>
      <c r="C29" s="1127" t="s">
        <v>1466</v>
      </c>
      <c r="D29" s="1128"/>
      <c r="E29" s="1150">
        <v>0.9</v>
      </c>
      <c r="F29" s="1129" t="s">
        <v>1467</v>
      </c>
      <c r="G29" s="1130"/>
      <c r="H29" s="1101"/>
      <c r="I29" s="1101"/>
    </row>
    <row r="30" spans="1:9" s="1584" customFormat="1" ht="19.5" customHeight="1">
      <c r="A30" s="3420"/>
      <c r="B30" s="3420"/>
      <c r="C30" s="1127" t="s">
        <v>1468</v>
      </c>
      <c r="D30" s="1128"/>
      <c r="E30" s="1150">
        <v>0.9</v>
      </c>
      <c r="F30" s="1129" t="s">
        <v>1469</v>
      </c>
      <c r="G30" s="1130"/>
      <c r="H30" s="1101"/>
      <c r="I30" s="1101"/>
    </row>
    <row r="31" spans="1:9" s="1584" customFormat="1" ht="19.5" customHeight="1">
      <c r="A31" s="3420"/>
      <c r="B31" s="3420"/>
      <c r="C31" s="1127" t="s">
        <v>1470</v>
      </c>
      <c r="D31" s="1128"/>
      <c r="E31" s="1150">
        <v>0.8</v>
      </c>
      <c r="F31" s="1129" t="s">
        <v>1471</v>
      </c>
      <c r="G31" s="1130"/>
      <c r="H31" s="1101"/>
      <c r="I31" s="1101"/>
    </row>
    <row r="32" spans="1:9" s="1584" customFormat="1" ht="19.5" customHeight="1">
      <c r="A32" s="3420"/>
      <c r="B32" s="3420"/>
      <c r="C32" s="1127" t="s">
        <v>1472</v>
      </c>
      <c r="D32" s="1128"/>
      <c r="E32" s="1150">
        <v>0.8</v>
      </c>
      <c r="F32" s="1129" t="s">
        <v>1473</v>
      </c>
      <c r="G32" s="1130"/>
      <c r="H32" s="1101"/>
      <c r="I32" s="1101"/>
    </row>
    <row r="33" spans="1:9" s="1584" customFormat="1" ht="19.5" customHeight="1">
      <c r="A33" s="3420" t="s">
        <v>1474</v>
      </c>
      <c r="B33" s="1150" t="s">
        <v>1446</v>
      </c>
      <c r="C33" s="1127" t="s">
        <v>1475</v>
      </c>
      <c r="D33" s="1128"/>
      <c r="E33" s="1150">
        <v>1</v>
      </c>
      <c r="F33" s="1129" t="s">
        <v>1476</v>
      </c>
      <c r="G33" s="1130"/>
      <c r="H33" s="1101"/>
      <c r="I33" s="1101"/>
    </row>
    <row r="34" spans="1:9" s="1584" customFormat="1" ht="19.5" customHeight="1">
      <c r="A34" s="3420"/>
      <c r="B34" s="1150" t="s">
        <v>1449</v>
      </c>
      <c r="C34" s="1127" t="s">
        <v>1477</v>
      </c>
      <c r="D34" s="1128"/>
      <c r="E34" s="1150">
        <v>1.5</v>
      </c>
      <c r="F34" s="1129" t="s">
        <v>1478</v>
      </c>
      <c r="G34" s="1130"/>
      <c r="H34" s="1101"/>
      <c r="I34" s="1101"/>
    </row>
    <row r="35" spans="1:9" s="1584" customFormat="1" ht="19.5" customHeight="1">
      <c r="A35" s="3420" t="s">
        <v>1432</v>
      </c>
      <c r="B35" s="1150" t="s">
        <v>1446</v>
      </c>
      <c r="C35" s="1127" t="s">
        <v>1479</v>
      </c>
      <c r="D35" s="1128"/>
      <c r="E35" s="1150">
        <v>1</v>
      </c>
      <c r="F35" s="1129" t="s">
        <v>1480</v>
      </c>
      <c r="G35" s="1130"/>
      <c r="H35" s="1101"/>
      <c r="I35" s="1101"/>
    </row>
    <row r="36" spans="1:9" s="1584" customFormat="1" ht="19.5" customHeight="1">
      <c r="A36" s="3420"/>
      <c r="B36" s="3420" t="s">
        <v>1449</v>
      </c>
      <c r="C36" s="1127" t="s">
        <v>1481</v>
      </c>
      <c r="D36" s="1128"/>
      <c r="E36" s="1150">
        <v>1</v>
      </c>
      <c r="F36" s="1129" t="s">
        <v>1482</v>
      </c>
      <c r="G36" s="1130"/>
      <c r="H36" s="1101"/>
      <c r="I36" s="1101"/>
    </row>
    <row r="37" spans="1:9" s="1584" customFormat="1" ht="19.5" customHeight="1">
      <c r="A37" s="3420"/>
      <c r="B37" s="3420"/>
      <c r="C37" s="1127" t="s">
        <v>1483</v>
      </c>
      <c r="D37" s="1128"/>
      <c r="E37" s="1150">
        <v>1.5</v>
      </c>
      <c r="F37" s="1129" t="s">
        <v>1484</v>
      </c>
      <c r="G37" s="1130"/>
      <c r="H37" s="1101"/>
      <c r="I37" s="1101"/>
    </row>
    <row r="38" spans="1:9" s="1584" customFormat="1" ht="19.5" customHeight="1">
      <c r="A38" s="3420"/>
      <c r="B38" s="3420"/>
      <c r="C38" s="1127" t="s">
        <v>1485</v>
      </c>
      <c r="D38" s="1128"/>
      <c r="E38" s="1150">
        <v>1</v>
      </c>
      <c r="F38" s="1129" t="s">
        <v>1486</v>
      </c>
      <c r="G38" s="1130"/>
      <c r="H38" s="1101"/>
      <c r="I38" s="1101"/>
    </row>
    <row r="39" spans="1:9" s="1584" customFormat="1" ht="19.5" customHeight="1">
      <c r="A39" s="3420"/>
      <c r="B39" s="3420"/>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0" t="s">
        <v>1501</v>
      </c>
      <c r="C61" s="1064" t="s">
        <v>1502</v>
      </c>
      <c r="D61" s="1064" t="s">
        <v>1503</v>
      </c>
      <c r="E61" s="1135">
        <v>0.5</v>
      </c>
      <c r="F61" s="1150">
        <v>80</v>
      </c>
      <c r="H61" s="1101">
        <f>SUMIF(C59:C119,基准地价!C8,E59:E119)</f>
        <v>0</v>
      </c>
    </row>
    <row r="62" spans="1:8" s="1101" customFormat="1" ht="24">
      <c r="A62" s="1150">
        <v>2</v>
      </c>
      <c r="B62" s="3420"/>
      <c r="C62" s="1064" t="s">
        <v>1504</v>
      </c>
      <c r="D62" s="1064" t="s">
        <v>1505</v>
      </c>
      <c r="E62" s="1135">
        <v>0.5</v>
      </c>
      <c r="F62" s="1150">
        <v>80</v>
      </c>
    </row>
    <row r="63" spans="1:8" s="1101" customFormat="1" ht="36">
      <c r="A63" s="1150">
        <v>3</v>
      </c>
      <c r="B63" s="3420"/>
      <c r="C63" s="1064" t="s">
        <v>1506</v>
      </c>
      <c r="D63" s="1064" t="s">
        <v>1507</v>
      </c>
      <c r="E63" s="1135">
        <v>0.5</v>
      </c>
      <c r="F63" s="1150">
        <v>80</v>
      </c>
    </row>
    <row r="64" spans="1:8" s="1101" customFormat="1" ht="36">
      <c r="A64" s="1150">
        <v>4</v>
      </c>
      <c r="B64" s="3420"/>
      <c r="C64" s="1064" t="s">
        <v>1508</v>
      </c>
      <c r="D64" s="1064" t="s">
        <v>1509</v>
      </c>
      <c r="E64" s="1135">
        <v>0.4</v>
      </c>
      <c r="F64" s="1150">
        <v>60</v>
      </c>
    </row>
    <row r="65" spans="1:6" s="1101" customFormat="1" ht="36">
      <c r="A65" s="1150">
        <v>5</v>
      </c>
      <c r="B65" s="3420"/>
      <c r="C65" s="1064" t="s">
        <v>1510</v>
      </c>
      <c r="D65" s="1064" t="s">
        <v>1511</v>
      </c>
      <c r="E65" s="1135">
        <v>0.2</v>
      </c>
      <c r="F65" s="1150">
        <v>30</v>
      </c>
    </row>
    <row r="66" spans="1:6" s="1101" customFormat="1" ht="36">
      <c r="A66" s="1150">
        <v>6</v>
      </c>
      <c r="B66" s="3420"/>
      <c r="C66" s="1064" t="s">
        <v>1512</v>
      </c>
      <c r="D66" s="1064" t="s">
        <v>1513</v>
      </c>
      <c r="E66" s="1135">
        <v>0.3</v>
      </c>
      <c r="F66" s="1150">
        <v>50</v>
      </c>
    </row>
    <row r="67" spans="1:6" s="1101" customFormat="1" ht="36">
      <c r="A67" s="1150">
        <v>7</v>
      </c>
      <c r="B67" s="3420"/>
      <c r="C67" s="1064" t="s">
        <v>1514</v>
      </c>
      <c r="D67" s="1064" t="s">
        <v>1515</v>
      </c>
      <c r="E67" s="1135">
        <v>0.2</v>
      </c>
      <c r="F67" s="1150">
        <v>30</v>
      </c>
    </row>
    <row r="68" spans="1:6" s="1101" customFormat="1" ht="36">
      <c r="A68" s="1150">
        <v>8</v>
      </c>
      <c r="B68" s="3420"/>
      <c r="C68" s="1064" t="s">
        <v>1516</v>
      </c>
      <c r="D68" s="1064" t="s">
        <v>1517</v>
      </c>
      <c r="E68" s="1135">
        <v>0.2</v>
      </c>
      <c r="F68" s="1150">
        <v>30</v>
      </c>
    </row>
    <row r="69" spans="1:6" s="1101" customFormat="1" ht="36">
      <c r="A69" s="1150">
        <v>9</v>
      </c>
      <c r="B69" s="3420"/>
      <c r="C69" s="1064" t="s">
        <v>1518</v>
      </c>
      <c r="D69" s="1064" t="s">
        <v>1519</v>
      </c>
      <c r="E69" s="1135">
        <v>0.2</v>
      </c>
      <c r="F69" s="1150">
        <v>30</v>
      </c>
    </row>
    <row r="70" spans="1:6" s="1101" customFormat="1" ht="48">
      <c r="A70" s="1150">
        <v>10</v>
      </c>
      <c r="B70" s="3420"/>
      <c r="C70" s="1064" t="s">
        <v>1520</v>
      </c>
      <c r="D70" s="1064" t="s">
        <v>1521</v>
      </c>
      <c r="E70" s="1135">
        <v>0.2</v>
      </c>
      <c r="F70" s="1150">
        <v>30</v>
      </c>
    </row>
    <row r="71" spans="1:6" s="1101" customFormat="1" ht="48">
      <c r="A71" s="1150">
        <v>11</v>
      </c>
      <c r="B71" s="3420"/>
      <c r="C71" s="1064" t="s">
        <v>1522</v>
      </c>
      <c r="D71" s="1064" t="s">
        <v>1523</v>
      </c>
      <c r="E71" s="1135">
        <v>0.2</v>
      </c>
      <c r="F71" s="1150">
        <v>30</v>
      </c>
    </row>
    <row r="72" spans="1:6" s="1101" customFormat="1" ht="36">
      <c r="A72" s="1150">
        <v>12</v>
      </c>
      <c r="B72" s="3420"/>
      <c r="C72" s="1064" t="s">
        <v>1524</v>
      </c>
      <c r="D72" s="1064" t="s">
        <v>1525</v>
      </c>
      <c r="E72" s="1135">
        <v>0.5</v>
      </c>
      <c r="F72" s="1150">
        <v>80</v>
      </c>
    </row>
    <row r="73" spans="1:6" s="1101" customFormat="1" ht="24">
      <c r="A73" s="1150">
        <v>13</v>
      </c>
      <c r="B73" s="3420"/>
      <c r="C73" s="1064" t="s">
        <v>1526</v>
      </c>
      <c r="D73" s="1064" t="s">
        <v>1527</v>
      </c>
      <c r="E73" s="1135">
        <v>0.4</v>
      </c>
      <c r="F73" s="1150">
        <v>60</v>
      </c>
    </row>
    <row r="74" spans="1:6" s="1101" customFormat="1" ht="24">
      <c r="A74" s="1150">
        <v>14</v>
      </c>
      <c r="B74" s="3420"/>
      <c r="C74" s="1064" t="s">
        <v>1528</v>
      </c>
      <c r="D74" s="1064" t="s">
        <v>1529</v>
      </c>
      <c r="E74" s="1135">
        <v>0.2</v>
      </c>
      <c r="F74" s="1150">
        <v>30</v>
      </c>
    </row>
    <row r="75" spans="1:6" s="1101" customFormat="1" ht="24">
      <c r="A75" s="1150">
        <v>15</v>
      </c>
      <c r="B75" s="3420"/>
      <c r="C75" s="1064" t="s">
        <v>1530</v>
      </c>
      <c r="D75" s="1064" t="s">
        <v>1531</v>
      </c>
      <c r="E75" s="1135">
        <v>0.2</v>
      </c>
      <c r="F75" s="1150">
        <v>30</v>
      </c>
    </row>
    <row r="76" spans="1:6" s="1101" customFormat="1" ht="24">
      <c r="A76" s="1150">
        <v>16</v>
      </c>
      <c r="B76" s="3420" t="s">
        <v>1532</v>
      </c>
      <c r="C76" s="1064" t="s">
        <v>1533</v>
      </c>
      <c r="D76" s="1064" t="s">
        <v>1534</v>
      </c>
      <c r="E76" s="1135">
        <v>0.5</v>
      </c>
      <c r="F76" s="1150">
        <v>80</v>
      </c>
    </row>
    <row r="77" spans="1:6" s="1101" customFormat="1" ht="24">
      <c r="A77" s="1150">
        <v>17</v>
      </c>
      <c r="B77" s="3420"/>
      <c r="C77" s="1064" t="s">
        <v>1535</v>
      </c>
      <c r="D77" s="1064" t="s">
        <v>1536</v>
      </c>
      <c r="E77" s="1135">
        <v>0.5</v>
      </c>
      <c r="F77" s="1150">
        <v>80</v>
      </c>
    </row>
    <row r="78" spans="1:6" s="1101" customFormat="1" ht="24">
      <c r="A78" s="1150">
        <v>18</v>
      </c>
      <c r="B78" s="3420"/>
      <c r="C78" s="1064" t="s">
        <v>1537</v>
      </c>
      <c r="D78" s="1064" t="s">
        <v>1538</v>
      </c>
      <c r="E78" s="1135">
        <v>0.2</v>
      </c>
      <c r="F78" s="1150">
        <v>30</v>
      </c>
    </row>
    <row r="79" spans="1:6" s="1101" customFormat="1" ht="24">
      <c r="A79" s="1150">
        <v>19</v>
      </c>
      <c r="B79" s="3420"/>
      <c r="C79" s="1064" t="s">
        <v>1539</v>
      </c>
      <c r="D79" s="1064" t="s">
        <v>1540</v>
      </c>
      <c r="E79" s="1135">
        <v>0.5</v>
      </c>
      <c r="F79" s="1150">
        <v>80</v>
      </c>
    </row>
    <row r="80" spans="1:6" s="1101" customFormat="1" ht="36">
      <c r="A80" s="1150">
        <v>20</v>
      </c>
      <c r="B80" s="3420"/>
      <c r="C80" s="1064" t="s">
        <v>1541</v>
      </c>
      <c r="D80" s="1064" t="s">
        <v>1542</v>
      </c>
      <c r="E80" s="1135">
        <v>0.2</v>
      </c>
      <c r="F80" s="1150">
        <v>30</v>
      </c>
    </row>
    <row r="81" spans="1:6" s="1101" customFormat="1" ht="36">
      <c r="A81" s="1150">
        <v>21</v>
      </c>
      <c r="B81" s="3420"/>
      <c r="C81" s="1064" t="s">
        <v>1543</v>
      </c>
      <c r="D81" s="1064" t="s">
        <v>1544</v>
      </c>
      <c r="E81" s="1135">
        <v>0.2</v>
      </c>
      <c r="F81" s="1150">
        <v>30</v>
      </c>
    </row>
    <row r="82" spans="1:6" s="1101" customFormat="1" ht="48">
      <c r="A82" s="1150">
        <v>22</v>
      </c>
      <c r="B82" s="3420"/>
      <c r="C82" s="1064" t="s">
        <v>1545</v>
      </c>
      <c r="D82" s="1064" t="s">
        <v>1546</v>
      </c>
      <c r="E82" s="1135">
        <v>0.2</v>
      </c>
      <c r="F82" s="1150">
        <v>30</v>
      </c>
    </row>
    <row r="83" spans="1:6" s="1101" customFormat="1" ht="48">
      <c r="A83" s="1150">
        <v>23</v>
      </c>
      <c r="B83" s="3420"/>
      <c r="C83" s="1064" t="s">
        <v>1547</v>
      </c>
      <c r="D83" s="1064" t="s">
        <v>1548</v>
      </c>
      <c r="E83" s="1135">
        <v>0.2</v>
      </c>
      <c r="F83" s="1150">
        <v>30</v>
      </c>
    </row>
    <row r="84" spans="1:6" s="1101" customFormat="1" ht="36">
      <c r="A84" s="1150">
        <v>24</v>
      </c>
      <c r="B84" s="3420"/>
      <c r="C84" s="1064" t="s">
        <v>1549</v>
      </c>
      <c r="D84" s="1064" t="s">
        <v>1550</v>
      </c>
      <c r="E84" s="1135">
        <v>0.2</v>
      </c>
      <c r="F84" s="1150">
        <v>30</v>
      </c>
    </row>
    <row r="85" spans="1:6" s="1101" customFormat="1" ht="36">
      <c r="A85" s="1150">
        <v>25</v>
      </c>
      <c r="B85" s="3420"/>
      <c r="C85" s="1064" t="s">
        <v>1551</v>
      </c>
      <c r="D85" s="1064" t="s">
        <v>1552</v>
      </c>
      <c r="E85" s="1135">
        <v>0.5</v>
      </c>
      <c r="F85" s="1150">
        <v>80</v>
      </c>
    </row>
    <row r="86" spans="1:6" s="1101" customFormat="1" ht="36">
      <c r="A86" s="1150">
        <v>26</v>
      </c>
      <c r="B86" s="3420"/>
      <c r="C86" s="1064" t="s">
        <v>1553</v>
      </c>
      <c r="D86" s="1064" t="s">
        <v>1554</v>
      </c>
      <c r="E86" s="1135">
        <v>0.2</v>
      </c>
      <c r="F86" s="1150">
        <v>30</v>
      </c>
    </row>
    <row r="87" spans="1:6" s="1101" customFormat="1" ht="36">
      <c r="A87" s="1150">
        <v>27</v>
      </c>
      <c r="B87" s="3420"/>
      <c r="C87" s="1064" t="s">
        <v>1555</v>
      </c>
      <c r="D87" s="1064" t="s">
        <v>1556</v>
      </c>
      <c r="E87" s="1135">
        <v>0.2</v>
      </c>
      <c r="F87" s="1150">
        <v>30</v>
      </c>
    </row>
    <row r="88" spans="1:6" s="1101" customFormat="1" ht="36">
      <c r="A88" s="1150">
        <v>28</v>
      </c>
      <c r="B88" s="3420"/>
      <c r="C88" s="1064" t="s">
        <v>1557</v>
      </c>
      <c r="D88" s="1064" t="s">
        <v>1558</v>
      </c>
      <c r="E88" s="1135">
        <v>0.2</v>
      </c>
      <c r="F88" s="1150">
        <v>30</v>
      </c>
    </row>
    <row r="89" spans="1:6" s="1101" customFormat="1" ht="24">
      <c r="A89" s="1150">
        <v>29</v>
      </c>
      <c r="B89" s="3420"/>
      <c r="C89" s="1064" t="s">
        <v>1559</v>
      </c>
      <c r="D89" s="1064" t="s">
        <v>1560</v>
      </c>
      <c r="E89" s="1135">
        <v>0.2</v>
      </c>
      <c r="F89" s="1150">
        <v>30</v>
      </c>
    </row>
    <row r="90" spans="1:6" s="1101" customFormat="1" ht="24">
      <c r="A90" s="1150">
        <v>30</v>
      </c>
      <c r="B90" s="3420"/>
      <c r="C90" s="1064" t="s">
        <v>1561</v>
      </c>
      <c r="D90" s="1064" t="s">
        <v>1562</v>
      </c>
      <c r="E90" s="1135">
        <v>0.2</v>
      </c>
      <c r="F90" s="1150">
        <v>30</v>
      </c>
    </row>
    <row r="91" spans="1:6" s="1101" customFormat="1" ht="36">
      <c r="A91" s="1150">
        <v>31</v>
      </c>
      <c r="B91" s="3420"/>
      <c r="C91" s="1064" t="s">
        <v>1563</v>
      </c>
      <c r="D91" s="1064" t="s">
        <v>1564</v>
      </c>
      <c r="E91" s="1135">
        <v>0.2</v>
      </c>
      <c r="F91" s="1150">
        <v>30</v>
      </c>
    </row>
    <row r="92" spans="1:6" s="1101" customFormat="1" ht="24">
      <c r="A92" s="1150">
        <v>32</v>
      </c>
      <c r="B92" s="3420" t="s">
        <v>1565</v>
      </c>
      <c r="C92" s="1150" t="s">
        <v>1566</v>
      </c>
      <c r="D92" s="1064" t="s">
        <v>1567</v>
      </c>
      <c r="E92" s="1135">
        <v>0.2</v>
      </c>
      <c r="F92" s="1150">
        <v>30</v>
      </c>
    </row>
    <row r="93" spans="1:6" s="1101" customFormat="1" ht="36">
      <c r="A93" s="1150">
        <v>33</v>
      </c>
      <c r="B93" s="3420"/>
      <c r="C93" s="1150" t="s">
        <v>1568</v>
      </c>
      <c r="D93" s="1064" t="s">
        <v>1569</v>
      </c>
      <c r="E93" s="1135">
        <v>0.2</v>
      </c>
      <c r="F93" s="1150">
        <v>30</v>
      </c>
    </row>
    <row r="94" spans="1:6" s="1101" customFormat="1" ht="48">
      <c r="A94" s="1150">
        <v>34</v>
      </c>
      <c r="B94" s="3420"/>
      <c r="C94" s="1150" t="s">
        <v>1570</v>
      </c>
      <c r="D94" s="1064" t="s">
        <v>1571</v>
      </c>
      <c r="E94" s="1135">
        <v>0.2</v>
      </c>
      <c r="F94" s="1150">
        <v>30</v>
      </c>
    </row>
    <row r="95" spans="1:6" s="1101" customFormat="1" ht="36">
      <c r="A95" s="1150">
        <v>35</v>
      </c>
      <c r="B95" s="3420"/>
      <c r="C95" s="1150" t="s">
        <v>1572</v>
      </c>
      <c r="D95" s="1064" t="s">
        <v>1573</v>
      </c>
      <c r="E95" s="1135">
        <v>0.2</v>
      </c>
      <c r="F95" s="1150">
        <v>30</v>
      </c>
    </row>
    <row r="96" spans="1:6" s="1101" customFormat="1" ht="48">
      <c r="A96" s="1150">
        <v>36</v>
      </c>
      <c r="B96" s="3420"/>
      <c r="C96" s="1064" t="s">
        <v>1574</v>
      </c>
      <c r="D96" s="1064" t="s">
        <v>1575</v>
      </c>
      <c r="E96" s="1135">
        <v>0.2</v>
      </c>
      <c r="F96" s="1150">
        <v>30</v>
      </c>
    </row>
    <row r="97" spans="1:6" s="1101" customFormat="1" ht="36">
      <c r="A97" s="1150">
        <v>37</v>
      </c>
      <c r="B97" s="3420"/>
      <c r="C97" s="1150" t="s">
        <v>1576</v>
      </c>
      <c r="D97" s="1064" t="s">
        <v>1577</v>
      </c>
      <c r="E97" s="1135">
        <v>0.2</v>
      </c>
      <c r="F97" s="1150">
        <v>30</v>
      </c>
    </row>
    <row r="98" spans="1:6" s="1101" customFormat="1" ht="36">
      <c r="A98" s="1150">
        <v>38</v>
      </c>
      <c r="B98" s="3420"/>
      <c r="C98" s="1150" t="s">
        <v>1578</v>
      </c>
      <c r="D98" s="1064" t="s">
        <v>1579</v>
      </c>
      <c r="E98" s="1135">
        <v>0.2</v>
      </c>
      <c r="F98" s="1150">
        <v>30</v>
      </c>
    </row>
    <row r="99" spans="1:6" s="1101" customFormat="1" ht="36">
      <c r="A99" s="1150">
        <v>39</v>
      </c>
      <c r="B99" s="3420" t="s">
        <v>1580</v>
      </c>
      <c r="C99" s="1150" t="s">
        <v>1581</v>
      </c>
      <c r="D99" s="1064" t="s">
        <v>1582</v>
      </c>
      <c r="E99" s="1135">
        <v>0.3</v>
      </c>
      <c r="F99" s="1150">
        <v>50</v>
      </c>
    </row>
    <row r="100" spans="1:6" s="1101" customFormat="1" ht="24">
      <c r="A100" s="1150">
        <v>40</v>
      </c>
      <c r="B100" s="3420"/>
      <c r="C100" s="1150" t="s">
        <v>1583</v>
      </c>
      <c r="D100" s="1064" t="s">
        <v>1584</v>
      </c>
      <c r="E100" s="1135">
        <v>0.2</v>
      </c>
      <c r="F100" s="1150">
        <v>30</v>
      </c>
    </row>
    <row r="101" spans="1:6" s="1101" customFormat="1" ht="36">
      <c r="A101" s="1150">
        <v>41</v>
      </c>
      <c r="B101" s="342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0" t="s">
        <v>1595</v>
      </c>
      <c r="C105" s="1150" t="s">
        <v>1596</v>
      </c>
      <c r="D105" s="1064" t="s">
        <v>1597</v>
      </c>
      <c r="E105" s="1135">
        <v>0.2</v>
      </c>
      <c r="F105" s="1150">
        <v>30</v>
      </c>
    </row>
    <row r="106" spans="1:6" s="1101" customFormat="1" ht="36">
      <c r="A106" s="1150">
        <v>46</v>
      </c>
      <c r="B106" s="3420"/>
      <c r="C106" s="1150" t="s">
        <v>1598</v>
      </c>
      <c r="D106" s="1064" t="s">
        <v>1599</v>
      </c>
      <c r="E106" s="1135">
        <v>0.2</v>
      </c>
      <c r="F106" s="1150">
        <v>30</v>
      </c>
    </row>
    <row r="107" spans="1:6" s="1101" customFormat="1" ht="36">
      <c r="A107" s="1150">
        <v>47</v>
      </c>
      <c r="B107" s="3420" t="s">
        <v>1600</v>
      </c>
      <c r="C107" s="1150" t="s">
        <v>1601</v>
      </c>
      <c r="D107" s="1064" t="s">
        <v>1602</v>
      </c>
      <c r="E107" s="1135">
        <v>0.3</v>
      </c>
      <c r="F107" s="1150">
        <v>50</v>
      </c>
    </row>
    <row r="108" spans="1:6" s="1101" customFormat="1" ht="36">
      <c r="A108" s="1150">
        <v>48</v>
      </c>
      <c r="B108" s="342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0" t="s">
        <v>1611</v>
      </c>
      <c r="C111" s="1150" t="s">
        <v>1612</v>
      </c>
      <c r="D111" s="1064" t="s">
        <v>1613</v>
      </c>
      <c r="E111" s="1135">
        <v>0.2</v>
      </c>
      <c r="F111" s="1150">
        <v>30</v>
      </c>
    </row>
    <row r="112" spans="1:6" s="1101" customFormat="1" ht="24">
      <c r="A112" s="1150">
        <v>52</v>
      </c>
      <c r="B112" s="3420"/>
      <c r="C112" s="1150" t="s">
        <v>1614</v>
      </c>
      <c r="D112" s="1064" t="s">
        <v>1615</v>
      </c>
      <c r="E112" s="1135">
        <v>0.2</v>
      </c>
      <c r="F112" s="1150">
        <v>30</v>
      </c>
    </row>
    <row r="113" spans="1:14" s="1101" customFormat="1" ht="24">
      <c r="A113" s="1150">
        <v>53</v>
      </c>
      <c r="B113" s="342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0" t="s">
        <v>1624</v>
      </c>
      <c r="C116" s="1150" t="s">
        <v>1625</v>
      </c>
      <c r="D116" s="1064" t="s">
        <v>1626</v>
      </c>
      <c r="E116" s="1135">
        <v>0.2</v>
      </c>
      <c r="F116" s="1150">
        <v>30</v>
      </c>
    </row>
    <row r="117" spans="1:14" ht="36">
      <c r="A117" s="1150">
        <v>57</v>
      </c>
      <c r="B117" s="342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9" t="s">
        <v>1633</v>
      </c>
      <c r="B121" s="3419"/>
      <c r="C121" s="3419"/>
      <c r="D121" s="3419"/>
      <c r="E121" s="3419"/>
      <c r="F121" s="3419"/>
      <c r="G121" s="3419"/>
      <c r="H121" s="3419"/>
      <c r="I121" s="3419"/>
      <c r="J121" s="341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8" t="s">
        <v>2079</v>
      </c>
      <c r="B1" s="3438"/>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26" sqref="C126:F131"/>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1" t="s">
        <v>2576</v>
      </c>
      <c r="C1" s="3441"/>
      <c r="D1" s="3441"/>
      <c r="E1" s="3441"/>
      <c r="F1" s="3441"/>
      <c r="G1" s="3440" t="s">
        <v>2577</v>
      </c>
      <c r="H1" s="3440"/>
      <c r="I1" s="3440"/>
      <c r="J1" s="3440"/>
      <c r="K1" s="3440"/>
      <c r="L1" s="3440"/>
      <c r="N1" s="3440" t="s">
        <v>2578</v>
      </c>
      <c r="O1" s="3440"/>
      <c r="P1" s="3440"/>
      <c r="Q1" s="3440"/>
      <c r="R1" s="2618"/>
      <c r="S1" s="3440" t="s">
        <v>2579</v>
      </c>
      <c r="T1" s="3440"/>
      <c r="U1" s="3440"/>
      <c r="V1" s="3440"/>
      <c r="X1" s="3439" t="s">
        <v>2639</v>
      </c>
      <c r="Y1" s="3440"/>
      <c r="Z1" s="3440"/>
      <c r="AA1" s="3440"/>
      <c r="AB1" s="3440"/>
      <c r="AD1" s="3439" t="s">
        <v>2643</v>
      </c>
      <c r="AE1" s="3440"/>
      <c r="AF1" s="3440"/>
      <c r="AG1" s="3440"/>
      <c r="AH1" s="3440"/>
    </row>
    <row r="2" spans="1:34" s="2719" customFormat="1" ht="14.25" thickBot="1">
      <c r="B2" s="2727" t="s">
        <v>2580</v>
      </c>
      <c r="C2" s="2727" t="s">
        <v>2641</v>
      </c>
      <c r="D2" s="2720" t="s">
        <v>1644</v>
      </c>
      <c r="E2" s="2720" t="s">
        <v>1949</v>
      </c>
      <c r="F2" s="2727" t="s">
        <v>2642</v>
      </c>
      <c r="G2" s="2723"/>
      <c r="H2" s="2722"/>
      <c r="I2" s="2727" t="s">
        <v>2952</v>
      </c>
      <c r="J2" s="2720" t="s">
        <v>2954</v>
      </c>
      <c r="K2" s="2720" t="s">
        <v>2955</v>
      </c>
      <c r="L2" s="2727" t="s">
        <v>2956</v>
      </c>
      <c r="N2" s="2727" t="s">
        <v>2580</v>
      </c>
      <c r="O2" s="2720" t="s">
        <v>2953</v>
      </c>
      <c r="P2" s="2720" t="s">
        <v>1949</v>
      </c>
      <c r="Q2" s="2727" t="s">
        <v>2642</v>
      </c>
      <c r="R2" s="2721"/>
      <c r="S2" s="2727" t="s">
        <v>2580</v>
      </c>
      <c r="T2" s="2720" t="s">
        <v>2953</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0" customFormat="1" ht="14.25">
      <c r="A3" s="3092" t="s">
        <v>2965</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3">
        <v>3</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2966</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79">
        <v>1.53</v>
      </c>
      <c r="J6" s="3179">
        <v>1.01</v>
      </c>
      <c r="K6" s="3179">
        <v>1.62</v>
      </c>
      <c r="L6" s="3180">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43">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3"/>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3"/>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9"/>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4">
        <v>439</v>
      </c>
      <c r="C12" s="3094">
        <v>327</v>
      </c>
      <c r="D12" s="3094">
        <f t="shared" si="65"/>
        <v>327</v>
      </c>
      <c r="E12" s="3094">
        <v>627</v>
      </c>
      <c r="F12" s="3095">
        <v>283</v>
      </c>
      <c r="G12" s="3448">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3"/>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443"/>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449"/>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448">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3"/>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443"/>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444"/>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3442">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3"/>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443"/>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444"/>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3442">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3"/>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443"/>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444"/>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2583</v>
      </c>
      <c r="B28" s="2624">
        <v>299</v>
      </c>
      <c r="C28" s="2624">
        <v>252</v>
      </c>
      <c r="D28" s="2624">
        <f t="shared" si="87"/>
        <v>252</v>
      </c>
      <c r="E28" s="2624">
        <v>409</v>
      </c>
      <c r="F28" s="2625">
        <v>227</v>
      </c>
      <c r="G28" s="3445">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6"/>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446"/>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447"/>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2587</v>
      </c>
      <c r="B32" s="2662">
        <v>278</v>
      </c>
      <c r="C32" s="2662">
        <v>234</v>
      </c>
      <c r="D32" s="2662">
        <f t="shared" si="87"/>
        <v>234</v>
      </c>
      <c r="E32" s="2662">
        <v>379</v>
      </c>
      <c r="F32" s="2663">
        <v>220</v>
      </c>
      <c r="G32" s="3442">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443"/>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443"/>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2590</v>
      </c>
      <c r="B35" s="2632">
        <f>B34/(1+N34)</f>
        <v>275.19025476197027</v>
      </c>
      <c r="C35" s="2664">
        <v>232</v>
      </c>
      <c r="D35" s="2664">
        <f t="shared" si="87"/>
        <v>232</v>
      </c>
      <c r="E35" s="2632">
        <f t="shared" si="98"/>
        <v>375.65990977608692</v>
      </c>
      <c r="F35" s="2632">
        <f t="shared" si="98"/>
        <v>214.12518283971252</v>
      </c>
      <c r="G35" s="3444"/>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2591</v>
      </c>
      <c r="B36" s="2624">
        <v>275</v>
      </c>
      <c r="C36" s="2624">
        <v>232</v>
      </c>
      <c r="D36" s="2624">
        <f t="shared" si="87"/>
        <v>232</v>
      </c>
      <c r="E36" s="2624">
        <v>376</v>
      </c>
      <c r="F36" s="2625">
        <v>213</v>
      </c>
      <c r="G36" s="3442">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3">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443">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444">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2595</v>
      </c>
      <c r="B40" s="2624">
        <v>269</v>
      </c>
      <c r="C40" s="2624">
        <v>221</v>
      </c>
      <c r="D40" s="2624">
        <f t="shared" si="87"/>
        <v>221</v>
      </c>
      <c r="E40" s="2624">
        <v>373</v>
      </c>
      <c r="F40" s="2625">
        <v>196</v>
      </c>
      <c r="G40" s="3442">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3">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443">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444">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2599</v>
      </c>
      <c r="B44" s="2624">
        <v>220</v>
      </c>
      <c r="C44" s="2624">
        <v>187</v>
      </c>
      <c r="D44" s="2624">
        <f t="shared" si="87"/>
        <v>187</v>
      </c>
      <c r="E44" s="2624">
        <v>301</v>
      </c>
      <c r="F44" s="2625">
        <v>168</v>
      </c>
      <c r="G44" s="3442">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3">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443">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444">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2603</v>
      </c>
      <c r="B48" s="2662">
        <v>214</v>
      </c>
      <c r="C48" s="2662">
        <v>188</v>
      </c>
      <c r="D48" s="2662">
        <f t="shared" si="87"/>
        <v>188</v>
      </c>
      <c r="E48" s="2662">
        <v>289</v>
      </c>
      <c r="F48" s="2663">
        <v>166</v>
      </c>
      <c r="G48" s="3442">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3">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443">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444">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2607</v>
      </c>
      <c r="B52" s="2624">
        <v>188</v>
      </c>
      <c r="C52" s="2624">
        <v>165</v>
      </c>
      <c r="D52" s="2624">
        <f t="shared" si="87"/>
        <v>165</v>
      </c>
      <c r="E52" s="2624">
        <v>254</v>
      </c>
      <c r="F52" s="2625">
        <v>148</v>
      </c>
      <c r="G52" s="3442">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3">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443">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444">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2611</v>
      </c>
      <c r="B56" s="2646">
        <v>159</v>
      </c>
      <c r="C56" s="2646">
        <v>141</v>
      </c>
      <c r="D56" s="2646">
        <f t="shared" si="87"/>
        <v>141</v>
      </c>
      <c r="E56" s="2646">
        <v>195</v>
      </c>
      <c r="F56" s="2647">
        <v>122</v>
      </c>
      <c r="G56" s="3442">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3">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443">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444">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2615</v>
      </c>
      <c r="B60" s="2646">
        <v>138</v>
      </c>
      <c r="C60" s="2646">
        <v>131</v>
      </c>
      <c r="D60" s="2646">
        <f t="shared" si="87"/>
        <v>131</v>
      </c>
      <c r="E60" s="2646">
        <v>155</v>
      </c>
      <c r="F60" s="2647">
        <v>114</v>
      </c>
      <c r="G60" s="3442">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3">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443">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444">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2619</v>
      </c>
      <c r="B64" s="2662">
        <v>121</v>
      </c>
      <c r="C64" s="2662">
        <v>122</v>
      </c>
      <c r="D64" s="2662">
        <f t="shared" si="87"/>
        <v>122</v>
      </c>
      <c r="E64" s="2662">
        <v>124</v>
      </c>
      <c r="F64" s="2663">
        <v>107</v>
      </c>
      <c r="G64" s="3442">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3">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443">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444">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2623</v>
      </c>
      <c r="B68" s="2683">
        <v>111</v>
      </c>
      <c r="C68" s="2683">
        <v>114</v>
      </c>
      <c r="D68" s="2683">
        <f t="shared" si="87"/>
        <v>114</v>
      </c>
      <c r="E68" s="2683">
        <v>108</v>
      </c>
      <c r="F68" s="2684">
        <v>104</v>
      </c>
      <c r="G68" s="3442">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443">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443">
        <v>2003</v>
      </c>
      <c r="H70" s="2623">
        <v>2</v>
      </c>
      <c r="I70" s="2685"/>
      <c r="J70" s="2685"/>
      <c r="K70" s="2685"/>
      <c r="L70" s="2685"/>
      <c r="X70" s="2677"/>
      <c r="Y70" s="2677"/>
      <c r="Z70" s="2677"/>
    </row>
    <row r="71" spans="1:26" ht="13.5" thickBot="1">
      <c r="A71" s="2619" t="s">
        <v>2626</v>
      </c>
      <c r="B71" s="2687">
        <f t="shared" si="123"/>
        <v>107.25</v>
      </c>
      <c r="C71" s="2687">
        <f t="shared" si="123"/>
        <v>108.75</v>
      </c>
      <c r="D71" s="2687">
        <f t="shared" si="87"/>
        <v>108.75</v>
      </c>
      <c r="E71" s="2687">
        <f t="shared" si="124"/>
        <v>105.75</v>
      </c>
      <c r="F71" s="2687">
        <f t="shared" si="124"/>
        <v>102.5</v>
      </c>
      <c r="G71" s="3444">
        <v>2003</v>
      </c>
      <c r="H71" s="2688">
        <v>1</v>
      </c>
      <c r="I71" s="2685"/>
      <c r="J71" s="2685"/>
      <c r="K71" s="2685"/>
      <c r="L71" s="2685"/>
      <c r="S71" s="2627"/>
      <c r="T71" s="2628"/>
      <c r="U71" s="2628"/>
      <c r="X71" s="2677"/>
      <c r="Y71" s="2677"/>
      <c r="Z71" s="2677"/>
    </row>
    <row r="72" spans="1:26" ht="13.5" thickBot="1">
      <c r="A72" s="2619" t="s">
        <v>2627</v>
      </c>
      <c r="B72" s="2689">
        <v>106</v>
      </c>
      <c r="C72" s="2689">
        <v>107</v>
      </c>
      <c r="D72" s="2689">
        <f t="shared" si="87"/>
        <v>107</v>
      </c>
      <c r="E72" s="2689">
        <v>105</v>
      </c>
      <c r="F72" s="2690">
        <v>102</v>
      </c>
      <c r="G72" s="3442">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443">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443">
        <v>2002</v>
      </c>
      <c r="H74" s="2623">
        <v>2</v>
      </c>
      <c r="I74" s="2685"/>
      <c r="J74" s="2685"/>
      <c r="K74" s="2685"/>
      <c r="L74" s="2685"/>
      <c r="X74" s="2677"/>
      <c r="Y74" s="2677"/>
      <c r="Z74" s="2677"/>
    </row>
    <row r="75" spans="1:26" s="2654" customFormat="1" ht="13.5" thickBot="1">
      <c r="A75" s="2650" t="s">
        <v>2630</v>
      </c>
      <c r="B75" s="2691">
        <f t="shared" si="125"/>
        <v>103</v>
      </c>
      <c r="C75" s="2691">
        <f t="shared" si="125"/>
        <v>104</v>
      </c>
      <c r="D75" s="2691">
        <f t="shared" si="87"/>
        <v>104</v>
      </c>
      <c r="E75" s="2691">
        <f t="shared" si="126"/>
        <v>103.5</v>
      </c>
      <c r="F75" s="2691">
        <f t="shared" si="126"/>
        <v>100.5</v>
      </c>
      <c r="G75" s="3444">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5"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t="e">
        <f ca="1">SUMIF(B7:B14,"&lt;&gt;#ref!",B7:B14)</f>
        <v>#DIV/0!</v>
      </c>
      <c r="C2" s="3055" t="s">
        <v>2941</v>
      </c>
      <c r="D2" s="3054"/>
      <c r="E2" s="3054"/>
      <c r="F2" s="3054"/>
    </row>
    <row r="3" spans="1:6" ht="14.25">
      <c r="A3" s="3055" t="s">
        <v>2973</v>
      </c>
      <c r="B3" s="3056" t="e">
        <f ca="1">ROUND(B2*10000/E3,0)</f>
        <v>#DIV/0!</v>
      </c>
      <c r="C3" s="3055" t="s">
        <v>2078</v>
      </c>
      <c r="D3" s="3055" t="s">
        <v>2942</v>
      </c>
      <c r="E3" s="3056">
        <f ca="1">SUMIF(E7:E14,"&lt;&gt;#ref!",E7:E14)</f>
        <v>0</v>
      </c>
      <c r="F3" s="3054"/>
    </row>
    <row r="4" spans="1:6" ht="14.25">
      <c r="A4" s="3055" t="s">
        <v>2949</v>
      </c>
      <c r="B4" s="3056" t="e">
        <f ca="1">ROUND(B2*10000/E4,0)</f>
        <v>#DIV/0!</v>
      </c>
      <c r="C4" s="3055" t="s">
        <v>2078</v>
      </c>
      <c r="D4" s="3055" t="s">
        <v>2950</v>
      </c>
      <c r="E4" s="3056">
        <f ca="1">SUMIF(F7:F14,"&lt;&gt;#ref!",F7:F14)</f>
        <v>0</v>
      </c>
      <c r="F4" s="3054"/>
    </row>
    <row r="5" spans="1:6" ht="14.25">
      <c r="A5" s="3057"/>
      <c r="B5" s="1866"/>
      <c r="C5" s="1866"/>
      <c r="D5" s="1866"/>
      <c r="E5" s="1866"/>
      <c r="F5" s="3054"/>
    </row>
    <row r="6" spans="1:6" ht="28.5">
      <c r="A6" s="3058" t="s">
        <v>2946</v>
      </c>
      <c r="B6" s="3055" t="s">
        <v>2943</v>
      </c>
      <c r="C6" s="3056"/>
      <c r="D6" s="1866"/>
      <c r="E6" s="3055" t="s">
        <v>2944</v>
      </c>
      <c r="F6" s="3055" t="s">
        <v>2948</v>
      </c>
    </row>
    <row r="7" spans="1:6" ht="14.25">
      <c r="A7" s="260" t="s">
        <v>2947</v>
      </c>
      <c r="B7" s="3059" t="e">
        <f ca="1">SUMIF(INDIRECT("'"&amp;A7&amp;"'"&amp;"!A:A"),"总价",INDIRECT("'"&amp;A7&amp;"'"&amp;"!B:B"))</f>
        <v>#DIV/0!</v>
      </c>
      <c r="C7" s="3055" t="s">
        <v>2941</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2941</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2941</v>
      </c>
      <c r="D9" s="1866"/>
      <c r="E9" s="3060" t="e">
        <f t="shared" ca="1" si="1"/>
        <v>#REF!</v>
      </c>
      <c r="F9" s="3060" t="e">
        <f t="shared" ca="1" si="2"/>
        <v>#REF!</v>
      </c>
    </row>
    <row r="10" spans="1:6" ht="14.25">
      <c r="A10" s="260"/>
      <c r="B10" s="3059" t="e">
        <f t="shared" ca="1" si="0"/>
        <v>#REF!</v>
      </c>
      <c r="C10" s="3055" t="s">
        <v>2941</v>
      </c>
      <c r="D10" s="1866"/>
      <c r="E10" s="3060" t="e">
        <f t="shared" ca="1" si="1"/>
        <v>#REF!</v>
      </c>
      <c r="F10" s="3060" t="e">
        <f t="shared" ca="1" si="2"/>
        <v>#REF!</v>
      </c>
    </row>
    <row r="11" spans="1:6" ht="14.25">
      <c r="A11" s="260"/>
      <c r="B11" s="3059" t="e">
        <f t="shared" ca="1" si="0"/>
        <v>#REF!</v>
      </c>
      <c r="C11" s="3055" t="s">
        <v>2941</v>
      </c>
      <c r="D11" s="1866"/>
      <c r="E11" s="3060" t="e">
        <f t="shared" ca="1" si="1"/>
        <v>#REF!</v>
      </c>
      <c r="F11" s="3060" t="e">
        <f t="shared" ca="1" si="2"/>
        <v>#REF!</v>
      </c>
    </row>
    <row r="12" spans="1:6" ht="14.25">
      <c r="A12" s="260"/>
      <c r="B12" s="3059" t="e">
        <f t="shared" ca="1" si="0"/>
        <v>#REF!</v>
      </c>
      <c r="C12" s="3055" t="s">
        <v>2941</v>
      </c>
      <c r="D12" s="1866"/>
      <c r="E12" s="3060" t="e">
        <f t="shared" ca="1" si="1"/>
        <v>#REF!</v>
      </c>
      <c r="F12" s="3060" t="e">
        <f t="shared" ca="1" si="2"/>
        <v>#REF!</v>
      </c>
    </row>
    <row r="13" spans="1:6" ht="14.25">
      <c r="A13" s="260"/>
      <c r="B13" s="3059" t="e">
        <f t="shared" ca="1" si="0"/>
        <v>#REF!</v>
      </c>
      <c r="C13" s="3055" t="s">
        <v>2941</v>
      </c>
      <c r="D13" s="1866"/>
      <c r="E13" s="3060" t="e">
        <f t="shared" ca="1" si="1"/>
        <v>#REF!</v>
      </c>
      <c r="F13" s="3060" t="e">
        <f t="shared" ca="1" si="2"/>
        <v>#REF!</v>
      </c>
    </row>
    <row r="14" spans="1:6" ht="14.25">
      <c r="A14" s="3053"/>
      <c r="B14" s="3059" t="e">
        <f t="shared" ca="1" si="0"/>
        <v>#REF!</v>
      </c>
      <c r="C14" s="3055" t="s">
        <v>2941</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6" sqref="C126:F131"/>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1" t="s">
        <v>2463</v>
      </c>
      <c r="C8" s="1810">
        <f ca="1">ROUND(F8*F10*F9*(1-F11)/10000,0)</f>
        <v>0</v>
      </c>
      <c r="D8" s="1807" t="s">
        <v>2534</v>
      </c>
      <c r="E8" s="61" t="s">
        <v>637</v>
      </c>
      <c r="F8" s="785">
        <f ca="1">INDIRECT("'数据-取费表'!u"&amp;$G$1)</f>
        <v>0</v>
      </c>
      <c r="G8" s="1578"/>
      <c r="H8" s="2468" t="s">
        <v>1824</v>
      </c>
      <c r="I8" s="3451" t="s">
        <v>2463</v>
      </c>
      <c r="J8" s="783">
        <f ca="1">ROUND(M8*M10*M9*(1-M11)/10000,0)</f>
        <v>0</v>
      </c>
      <c r="K8" s="341" t="s">
        <v>2534</v>
      </c>
      <c r="L8" s="784" t="s">
        <v>1738</v>
      </c>
      <c r="M8" s="785">
        <f ca="1">INDIRECT("'数据-取费表'!z"&amp;$G$1)</f>
        <v>0</v>
      </c>
    </row>
    <row r="9" spans="1:25" ht="18" customHeight="1">
      <c r="A9" s="2464"/>
      <c r="B9" s="3452"/>
      <c r="C9" s="1811"/>
      <c r="D9" s="1808"/>
      <c r="E9" s="61" t="s">
        <v>638</v>
      </c>
      <c r="F9" s="785">
        <f ca="1">IF(INDIRECT("'数据-取费表'!ah"&amp;$G$1)="",INDIRECT("'数据-取费表'!k"&amp;$G$1),INDIRECT("'数据-取费表'!ah"&amp;$G$1))</f>
        <v>0</v>
      </c>
      <c r="G9" s="1578"/>
      <c r="H9" s="2453"/>
      <c r="I9" s="3452"/>
      <c r="J9" s="788"/>
      <c r="K9" s="789"/>
      <c r="L9" s="784" t="s">
        <v>1739</v>
      </c>
      <c r="M9" s="785">
        <f ca="1">F9</f>
        <v>0</v>
      </c>
    </row>
    <row r="10" spans="1:25" ht="18" customHeight="1">
      <c r="A10" s="2457"/>
      <c r="B10" s="3453"/>
      <c r="C10" s="1811"/>
      <c r="D10" s="1808"/>
      <c r="E10" s="61" t="s">
        <v>639</v>
      </c>
      <c r="F10" s="785">
        <f ca="1">INDIRECT("'数据-取费表'!ai"&amp;$G$1)</f>
        <v>0</v>
      </c>
      <c r="G10" s="1578"/>
      <c r="H10" s="2453"/>
      <c r="I10" s="3453"/>
      <c r="J10" s="788"/>
      <c r="K10" s="789"/>
      <c r="L10" s="784" t="s">
        <v>1740</v>
      </c>
      <c r="M10" s="785">
        <f ca="1">INDIRECT("'数据-取费表'!ai"&amp;$G$1)</f>
        <v>0</v>
      </c>
    </row>
    <row r="11" spans="1:25" ht="18" customHeight="1">
      <c r="A11" s="786"/>
      <c r="B11" s="3454"/>
      <c r="C11" s="1811"/>
      <c r="D11" s="1808"/>
      <c r="E11" s="61" t="s">
        <v>640</v>
      </c>
      <c r="F11" s="794">
        <f ca="1">INDIRECT("'数据-取费表'!w"&amp;$G$1)</f>
        <v>0</v>
      </c>
      <c r="G11" s="1578"/>
      <c r="H11" s="2469"/>
      <c r="I11" s="3453"/>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2970</v>
      </c>
      <c r="E12" s="2462" t="s">
        <v>2464</v>
      </c>
      <c r="F12" s="2585"/>
      <c r="G12" s="1578"/>
      <c r="H12" s="2525" t="s">
        <v>1825</v>
      </c>
      <c r="I12" s="2530" t="s">
        <v>2459</v>
      </c>
      <c r="J12" s="783">
        <f ca="1">ROUND(IF(M12="押一",J8/12*M13,IF(M12="押二",J8/12*2*M13,IF(M12="押三",J8/12*3*M13,J13*M13))),0)</f>
        <v>0</v>
      </c>
      <c r="K12" s="2465" t="s">
        <v>2970</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10</v>
      </c>
      <c r="G36" s="2047"/>
      <c r="H36" s="2050"/>
      <c r="I36" s="3450"/>
      <c r="J36" s="2064"/>
      <c r="K36" s="2065"/>
      <c r="L36" s="2064"/>
      <c r="M36" s="2064"/>
    </row>
    <row r="37" spans="1:18" ht="18" customHeight="1">
      <c r="A37" s="815"/>
      <c r="B37" s="793"/>
      <c r="C37" s="69"/>
      <c r="D37" s="816"/>
      <c r="E37" s="784" t="s">
        <v>674</v>
      </c>
      <c r="F37" s="785">
        <f ca="1">INDIRECT("'数据-取费表'!r"&amp;$G$1)</f>
        <v>0</v>
      </c>
      <c r="G37" s="2047"/>
      <c r="H37" s="2050"/>
      <c r="I37" s="345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2958</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7">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5" t="str">
        <f ca="1">IF(M48="住宅",0,IF(L49&gt;J52,L61,J61))</f>
        <v>0</v>
      </c>
      <c r="O47" s="2358" t="s">
        <v>2410</v>
      </c>
      <c r="P47" s="1578"/>
      <c r="Q47" s="1589"/>
      <c r="R47" s="1578"/>
    </row>
    <row r="48" spans="1:18" s="2044" customFormat="1" ht="18" customHeight="1" thickBot="1">
      <c r="A48" s="2069"/>
      <c r="C48" s="2072"/>
      <c r="D48" s="2073"/>
      <c r="E48" s="2073"/>
      <c r="F48" s="2074"/>
      <c r="G48" s="2075"/>
      <c r="I48" s="3096" t="s">
        <v>2344</v>
      </c>
      <c r="J48" s="2345"/>
      <c r="K48" s="3102" t="s">
        <v>2349</v>
      </c>
      <c r="L48" s="3106">
        <f ca="1">INDIRECT("'数据-取费表'!d"&amp;$G$1)</f>
        <v>0</v>
      </c>
      <c r="M48" s="3070"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5" t="s">
        <v>2345</v>
      </c>
      <c r="J49" s="2346"/>
      <c r="K49" s="3103"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5" t="s">
        <v>2346</v>
      </c>
      <c r="J50" s="2347"/>
      <c r="K50" s="3104"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5" t="s">
        <v>2347</v>
      </c>
      <c r="J51" s="3100">
        <f>SUMPRODUCT((I64:I66=J48)*(J63:L63=J49)*(J64:L66))</f>
        <v>0</v>
      </c>
      <c r="K51" s="3104" t="s">
        <v>2353</v>
      </c>
      <c r="L51" s="2348"/>
      <c r="O51" s="2365" t="s">
        <v>2383</v>
      </c>
      <c r="P51" s="2363" t="s">
        <v>2407</v>
      </c>
      <c r="Q51" s="2364">
        <f ca="1">C31</f>
        <v>0</v>
      </c>
      <c r="R51" s="2363" t="s">
        <v>2380</v>
      </c>
    </row>
    <row r="52" spans="1:18" s="2044" customFormat="1" ht="18" customHeight="1" thickBot="1">
      <c r="A52" s="2081"/>
      <c r="F52" s="2070"/>
      <c r="I52" s="3097" t="s">
        <v>2348</v>
      </c>
      <c r="J52" s="3101">
        <f>IF(J50="",J51,J50+J51-YEAR('数据-取费表'!B3))</f>
        <v>0</v>
      </c>
      <c r="K52" s="3075" t="s">
        <v>2354</v>
      </c>
      <c r="L52" s="3107">
        <f ca="1">ROUND(-PV(INDIRECT("'数据-取费表'!h"&amp;$G$1),L49,(C40-C14*J36),0),0)</f>
        <v>0</v>
      </c>
      <c r="O52" s="2365" t="s">
        <v>2384</v>
      </c>
      <c r="P52" s="2363" t="s">
        <v>2385</v>
      </c>
      <c r="Q52" s="2366" t="e">
        <f ca="1">J59</f>
        <v>#VALUE!</v>
      </c>
      <c r="R52" s="2367"/>
    </row>
    <row r="53" spans="1:18" s="2044" customFormat="1" ht="18" customHeight="1" thickBot="1">
      <c r="A53" s="2081"/>
      <c r="F53" s="2070"/>
      <c r="I53" s="3098" t="s">
        <v>2421</v>
      </c>
      <c r="J53" s="2349"/>
      <c r="K53" s="3098" t="s">
        <v>2420</v>
      </c>
      <c r="L53" s="2349"/>
      <c r="O53" s="2365" t="s">
        <v>2386</v>
      </c>
      <c r="P53" s="2363" t="s">
        <v>2387</v>
      </c>
      <c r="Q53" s="2366">
        <f>J53</f>
        <v>0</v>
      </c>
      <c r="R53" s="2367"/>
    </row>
    <row r="54" spans="1:18" s="2044" customFormat="1" ht="29.25" thickBot="1">
      <c r="A54" s="2081"/>
      <c r="I54" s="3099" t="s">
        <v>2974</v>
      </c>
      <c r="J54" s="3178">
        <f ca="1">IF(M48="住宅",MAX(J52,L49-'数据-取费表'!B20),MIN(J52,L49-'数据-取费表'!B20))</f>
        <v>-2</v>
      </c>
      <c r="K54" s="3455"/>
      <c r="L54" s="3456"/>
      <c r="O54" s="2365" t="s">
        <v>2388</v>
      </c>
      <c r="P54" s="2363" t="s">
        <v>2389</v>
      </c>
      <c r="Q54" s="2364">
        <f ca="1">J54</f>
        <v>-2</v>
      </c>
      <c r="R54" s="2363" t="s">
        <v>2390</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2" t="s">
        <v>2391</v>
      </c>
      <c r="P55" s="2363" t="s">
        <v>2408</v>
      </c>
      <c r="Q55" s="2364">
        <f ca="1">Q49+Q50</f>
        <v>0</v>
      </c>
      <c r="R55" s="2367" t="s">
        <v>2392</v>
      </c>
    </row>
    <row r="56" spans="1:18" s="2044" customFormat="1" ht="16.5" thickBot="1">
      <c r="A56" s="2081"/>
      <c r="B56" s="2082"/>
      <c r="C56" s="2082"/>
      <c r="I56" s="3110" t="s">
        <v>2355</v>
      </c>
      <c r="J56" s="3050" t="e">
        <f ca="1">ROUND(IF(J48="钢混",J58/J51,1-(1-2%)*(J51-J58)/J51),3)</f>
        <v>#VALUE!</v>
      </c>
      <c r="K56" s="3111" t="s">
        <v>2356</v>
      </c>
      <c r="L56" s="2350"/>
      <c r="O56" s="2368" t="s">
        <v>2411</v>
      </c>
      <c r="P56" s="1578"/>
      <c r="Q56" s="1589"/>
      <c r="R56" s="1578"/>
    </row>
    <row r="57" spans="1:18" s="2044" customFormat="1" ht="43.5" thickBot="1">
      <c r="A57" s="2081"/>
      <c r="B57" s="2082"/>
      <c r="C57" s="2082"/>
      <c r="I57" s="3112" t="s">
        <v>2357</v>
      </c>
      <c r="J57" s="3122" t="s">
        <v>1678</v>
      </c>
      <c r="K57" s="3075" t="s">
        <v>2362</v>
      </c>
      <c r="L57" s="1893">
        <f ca="1">IF(L49&lt;J52,"——",L49-J52)</f>
        <v>0</v>
      </c>
      <c r="O57" s="2359" t="s">
        <v>2375</v>
      </c>
      <c r="P57" s="2360" t="s">
        <v>2376</v>
      </c>
      <c r="Q57" s="2361" t="s">
        <v>2377</v>
      </c>
      <c r="R57" s="2360" t="s">
        <v>2378</v>
      </c>
    </row>
    <row r="58" spans="1:18" s="2044" customFormat="1" ht="29.25" thickBot="1">
      <c r="A58" s="2081"/>
      <c r="B58" s="2082"/>
      <c r="C58" s="2082"/>
      <c r="I58" s="3113" t="s">
        <v>2358</v>
      </c>
      <c r="J58" s="3114" t="str">
        <f ca="1">IF(OR(M48="住宅",J52&lt;L49,J57="是"),"——",J52-L49)</f>
        <v>——</v>
      </c>
      <c r="K58" s="3075"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3" t="s">
        <v>2359</v>
      </c>
      <c r="J59" s="3051" t="e">
        <f ca="1">IF(J56&lt;0.4,0.4,J56)</f>
        <v>#VALUE!</v>
      </c>
      <c r="K59" s="3075"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3" t="s">
        <v>2360</v>
      </c>
      <c r="J60" s="3114" t="str">
        <f ca="1">IF(OR(M48="住宅",J52&lt;L49,J57="是"),"——",ROUND(C30*J59,0))</f>
        <v>——</v>
      </c>
      <c r="K60" s="3075"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5" t="s">
        <v>2361</v>
      </c>
      <c r="J61" s="3116" t="str">
        <f ca="1">IF(OR(M48="住宅",J52&lt;L49,J57="是"),"0",ROUND(J60/(1+J53)^J54,0))</f>
        <v>0</v>
      </c>
      <c r="K61" s="3117" t="s">
        <v>2366</v>
      </c>
      <c r="L61" s="3116"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18" t="s">
        <v>2367</v>
      </c>
      <c r="J63" s="3119" t="s">
        <v>2368</v>
      </c>
      <c r="K63" s="3119" t="s">
        <v>2369</v>
      </c>
      <c r="L63" s="3119" t="s">
        <v>2350</v>
      </c>
      <c r="M63" s="3120" t="s">
        <v>2939</v>
      </c>
      <c r="O63" s="2365" t="s">
        <v>2388</v>
      </c>
      <c r="P63" s="2363" t="s">
        <v>2396</v>
      </c>
      <c r="Q63" s="2364">
        <f ca="1">L60</f>
        <v>0</v>
      </c>
      <c r="R63" s="2367" t="s">
        <v>2397</v>
      </c>
    </row>
    <row r="64" spans="1:18" s="2044" customFormat="1" ht="15.75" thickBot="1">
      <c r="A64" s="2081"/>
      <c r="B64" s="2082"/>
      <c r="C64" s="2082"/>
      <c r="I64" s="3118" t="s">
        <v>2370</v>
      </c>
      <c r="J64" s="3119">
        <v>70</v>
      </c>
      <c r="K64" s="3119">
        <v>50</v>
      </c>
      <c r="L64" s="3119">
        <v>80</v>
      </c>
      <c r="M64" s="3121">
        <v>0.02</v>
      </c>
      <c r="O64" s="2362" t="s">
        <v>2391</v>
      </c>
      <c r="P64" s="2363" t="s">
        <v>2408</v>
      </c>
      <c r="Q64" s="2364" t="e">
        <f ca="1">Q58+Q59</f>
        <v>#DIV/0!</v>
      </c>
      <c r="R64" s="2367" t="s">
        <v>2392</v>
      </c>
    </row>
    <row r="65" spans="1:18" s="2044" customFormat="1" ht="16.5" thickBot="1">
      <c r="A65" s="2081"/>
      <c r="B65" s="2082"/>
      <c r="C65" s="2082"/>
      <c r="I65" s="3118" t="s">
        <v>2371</v>
      </c>
      <c r="J65" s="3119">
        <v>50</v>
      </c>
      <c r="K65" s="3119">
        <v>35</v>
      </c>
      <c r="L65" s="3119">
        <v>60</v>
      </c>
      <c r="M65" s="846">
        <v>0</v>
      </c>
      <c r="O65" s="2368" t="s">
        <v>2415</v>
      </c>
      <c r="P65" s="1578"/>
      <c r="Q65" s="1589"/>
      <c r="R65" s="1578"/>
    </row>
    <row r="66" spans="1:18" s="2044" customFormat="1" ht="15.75" thickBot="1">
      <c r="A66" s="2081"/>
      <c r="B66" s="2082"/>
      <c r="C66" s="2082"/>
      <c r="I66" s="3118" t="s">
        <v>2372</v>
      </c>
      <c r="J66" s="3119">
        <v>40</v>
      </c>
      <c r="K66" s="3119">
        <v>30</v>
      </c>
      <c r="L66" s="3119">
        <v>50</v>
      </c>
      <c r="M66" s="3121">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56.25">
      <c r="A7" s="1780" t="s">
        <v>2747</v>
      </c>
    </row>
    <row r="8" spans="1:4" ht="18.75">
      <c r="A8" s="1779" t="s">
        <v>1906</v>
      </c>
    </row>
    <row r="9" spans="1:4" ht="75">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2019年8月16日（评估专业人员勘察现场之日）</v>
      </c>
    </row>
    <row r="12" spans="1:4" ht="18.75">
      <c r="A12" s="1782" t="s">
        <v>2025</v>
      </c>
    </row>
    <row r="13" spans="1:4" ht="18.75">
      <c r="A13" s="1776" t="s">
        <v>2938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本次估价对象为出让国有建设用地使用权，《国有土地使用证》[]证载土地终止日期为商业2057年2月20日、办公2057年2月20日。截至估价期日，出让国有建设用地使用权剩余土地使用年限为。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0" sqref="C3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3248</v>
      </c>
      <c r="D1" s="3074" t="s">
        <v>3251</v>
      </c>
      <c r="E1" s="2351" t="s">
        <v>2374</v>
      </c>
      <c r="F1" s="2352">
        <f ca="1">J53</f>
        <v>35.54</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3301</v>
      </c>
      <c r="C2" s="2042"/>
      <c r="D2" s="2040"/>
      <c r="E2" s="2041"/>
      <c r="F2" s="2041"/>
      <c r="G2" s="1576"/>
      <c r="H2" s="2042"/>
      <c r="I2" s="2042"/>
      <c r="J2" s="2042"/>
      <c r="K2" s="2043"/>
      <c r="L2" s="2042"/>
      <c r="M2" s="2042"/>
    </row>
    <row r="3" spans="1:33" ht="18" customHeight="1" thickBot="1">
      <c r="A3" s="833" t="s">
        <v>1727</v>
      </c>
      <c r="B3" s="834">
        <f ca="1">IF(ISERROR(B2*10000/F43),0,ROUND(B2*10000/F43,0))</f>
        <v>850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440</v>
      </c>
      <c r="D5" s="2460" t="s">
        <v>2461</v>
      </c>
      <c r="E5" s="2454"/>
      <c r="F5" s="2455"/>
      <c r="G5" s="1578"/>
      <c r="H5" s="781">
        <v>1</v>
      </c>
      <c r="I5" s="782" t="s">
        <v>2458</v>
      </c>
      <c r="J5" s="55">
        <f ca="1">J6+J10+J12</f>
        <v>0</v>
      </c>
      <c r="K5" s="2460" t="s">
        <v>2461</v>
      </c>
      <c r="L5" s="2454"/>
      <c r="M5" s="2455"/>
    </row>
    <row r="6" spans="1:33" ht="18" customHeight="1">
      <c r="A6" s="1815" t="s">
        <v>1824</v>
      </c>
      <c r="B6" s="3451" t="s">
        <v>2463</v>
      </c>
      <c r="C6" s="783">
        <f ca="1">ROUND(F6*F8*F7*(1-F9)/10000,0)</f>
        <v>440</v>
      </c>
      <c r="D6" s="2461" t="s">
        <v>2462</v>
      </c>
      <c r="E6" s="784" t="s">
        <v>1738</v>
      </c>
      <c r="F6" s="785">
        <f ca="1">INDIRECT("'数据-取费表'!u"&amp;$G$1)</f>
        <v>500</v>
      </c>
      <c r="G6" s="1578"/>
      <c r="H6" s="2468" t="s">
        <v>2468</v>
      </c>
      <c r="I6" s="3451" t="s">
        <v>2463</v>
      </c>
      <c r="J6" s="783">
        <f ca="1">ROUND(M6*M8*M7*(1-M9)/10000,0)</f>
        <v>0</v>
      </c>
      <c r="K6" s="341" t="s">
        <v>1737</v>
      </c>
      <c r="L6" s="784" t="s">
        <v>1738</v>
      </c>
      <c r="M6" s="785">
        <f ca="1">INDIRECT("'数据-取费表'!z"&amp;$G$1)</f>
        <v>0</v>
      </c>
    </row>
    <row r="7" spans="1:33" ht="18" customHeight="1">
      <c r="A7" s="2464"/>
      <c r="B7" s="3452"/>
      <c r="C7" s="788"/>
      <c r="D7" s="789"/>
      <c r="E7" s="784" t="s">
        <v>1739</v>
      </c>
      <c r="F7" s="785">
        <f ca="1">IF(INDIRECT("'数据-取费表'!ah"&amp;$G$1)="",INDIRECT("'数据-取费表'!k"&amp;$G$1),INDIRECT("'数据-取费表'!ah"&amp;$G$1))</f>
        <v>862</v>
      </c>
      <c r="G7" s="1578"/>
      <c r="H7" s="2453"/>
      <c r="I7" s="3452"/>
      <c r="J7" s="788"/>
      <c r="K7" s="789"/>
      <c r="L7" s="784" t="s">
        <v>1739</v>
      </c>
      <c r="M7" s="785">
        <f ca="1">F7</f>
        <v>862</v>
      </c>
    </row>
    <row r="8" spans="1:33" ht="18" customHeight="1">
      <c r="A8" s="2457"/>
      <c r="B8" s="3453"/>
      <c r="C8" s="788"/>
      <c r="D8" s="789"/>
      <c r="E8" s="784" t="s">
        <v>1740</v>
      </c>
      <c r="F8" s="785">
        <f ca="1">INDIRECT("'数据-取费表'!ai"&amp;$G$1)</f>
        <v>12</v>
      </c>
      <c r="G8" s="1578"/>
      <c r="H8" s="2453"/>
      <c r="I8" s="3453"/>
      <c r="J8" s="788"/>
      <c r="K8" s="789"/>
      <c r="L8" s="784" t="s">
        <v>1740</v>
      </c>
      <c r="M8" s="785">
        <f ca="1">INDIRECT("'数据-取费表'!ai"&amp;$G$1)</f>
        <v>12</v>
      </c>
    </row>
    <row r="9" spans="1:33" ht="18" customHeight="1">
      <c r="A9" s="786"/>
      <c r="B9" s="3454"/>
      <c r="C9" s="788"/>
      <c r="D9" s="789"/>
      <c r="E9" s="784" t="s">
        <v>1741</v>
      </c>
      <c r="F9" s="794">
        <f ca="1">INDIRECT("'数据-取费表'!w"&amp;$G$1)</f>
        <v>0.15</v>
      </c>
      <c r="G9" s="1578"/>
      <c r="H9" s="2469"/>
      <c r="I9" s="3453"/>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2970</v>
      </c>
      <c r="E10" s="2462" t="s">
        <v>2464</v>
      </c>
      <c r="F10" s="2585" t="s">
        <v>3252</v>
      </c>
      <c r="G10" s="1578"/>
      <c r="H10" s="2525" t="s">
        <v>2469</v>
      </c>
      <c r="I10" s="2530" t="s">
        <v>2459</v>
      </c>
      <c r="J10" s="783">
        <f ca="1">ROUND(IF(M10="押一",J6/12*M11,IF(M10="押二",J6/12*2*M11,IF(M10="押三",J6/12*3*M11,J11*M11))),0)</f>
        <v>0</v>
      </c>
      <c r="K10" s="2465" t="s">
        <v>2970</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11410</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8228</v>
      </c>
      <c r="D14" s="1964" t="s">
        <v>1745</v>
      </c>
      <c r="E14" s="1965"/>
      <c r="F14" s="805"/>
      <c r="G14" s="1578"/>
      <c r="H14" s="1634" t="s">
        <v>1830</v>
      </c>
      <c r="I14" s="2216" t="s">
        <v>2826</v>
      </c>
      <c r="J14" s="53">
        <f ca="1">C29</f>
        <v>11410</v>
      </c>
      <c r="K14" s="26"/>
      <c r="L14" s="801"/>
      <c r="M14" s="802"/>
    </row>
    <row r="15" spans="1:33" s="2049" customFormat="1" ht="18" customHeight="1" thickBot="1">
      <c r="A15" s="1633" t="s">
        <v>1885</v>
      </c>
      <c r="B15" s="784" t="s">
        <v>647</v>
      </c>
      <c r="C15" s="53">
        <f ca="1">ROUND(C14*F15,0)</f>
        <v>247</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1149</v>
      </c>
      <c r="K16" s="1806" t="s">
        <v>1750</v>
      </c>
      <c r="L16" s="2450"/>
      <c r="M16" s="2455"/>
    </row>
    <row r="17" spans="1:33" s="2049" customFormat="1" ht="18" customHeight="1">
      <c r="A17" s="1633" t="s">
        <v>1887</v>
      </c>
      <c r="B17" s="784" t="s">
        <v>653</v>
      </c>
      <c r="C17" s="53">
        <f ca="1">ROUND(F17*(F43+INDIRECT("'数据-取费表'!S"&amp;$G$1))/10000,0)</f>
        <v>823</v>
      </c>
      <c r="D17" s="784" t="s">
        <v>1751</v>
      </c>
      <c r="E17" s="784" t="s">
        <v>1752</v>
      </c>
      <c r="F17" s="56">
        <f>'数据-取费表'!B35</f>
        <v>200</v>
      </c>
      <c r="G17" s="1579"/>
      <c r="H17" s="1634" t="s">
        <v>1830</v>
      </c>
      <c r="I17" s="784" t="s">
        <v>656</v>
      </c>
      <c r="J17" s="53">
        <f ca="1">ROUND(IF(项目基本情况!B11="自然人",J6*M17/(1+'数据-取费表'!C42),J18+J19+J20),0)</f>
        <v>978</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123</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9421</v>
      </c>
      <c r="D19" s="261" t="s">
        <v>1757</v>
      </c>
      <c r="E19" s="1967"/>
      <c r="F19" s="56"/>
      <c r="G19" s="1578"/>
      <c r="H19" s="1633" t="s">
        <v>1885</v>
      </c>
      <c r="I19" s="784" t="s">
        <v>1758</v>
      </c>
      <c r="J19" s="53">
        <f ca="1">IF(K19="按租金收入计税",ROUND(J6*M19/(1+'数据-取费表'!C42),1),ROUND(C29*F33*0.7,1))</f>
        <v>958.4</v>
      </c>
      <c r="K19" s="811" t="s">
        <v>665</v>
      </c>
      <c r="L19" s="784" t="s">
        <v>1747</v>
      </c>
      <c r="M19" s="809">
        <f>IF(K19="按租金收入计税",'数据-取费表'!B51,'数据-取费表'!B50)</f>
        <v>1.2E-2</v>
      </c>
    </row>
    <row r="20" spans="1:33" s="2049" customFormat="1" ht="18" customHeight="1">
      <c r="A20" s="1634" t="s">
        <v>1889</v>
      </c>
      <c r="B20" s="784" t="s">
        <v>666</v>
      </c>
      <c r="C20" s="53">
        <f ca="1">ROUND(C19*F20,0)</f>
        <v>188</v>
      </c>
      <c r="D20" s="812" t="s">
        <v>1759</v>
      </c>
      <c r="E20" s="784" t="s">
        <v>1747</v>
      </c>
      <c r="F20" s="809">
        <f>'数据-取费表'!B37</f>
        <v>0.02</v>
      </c>
      <c r="G20" s="1579"/>
      <c r="H20" s="1636" t="s">
        <v>1880</v>
      </c>
      <c r="I20" s="341" t="s">
        <v>1760</v>
      </c>
      <c r="J20" s="54">
        <f ca="1">ROUND(M20*M21/10000,0)</f>
        <v>20</v>
      </c>
      <c r="K20" s="814" t="s">
        <v>1761</v>
      </c>
      <c r="L20" s="784" t="s">
        <v>1762</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19572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171</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456</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-1149</v>
      </c>
      <c r="K25" s="2512" t="s">
        <v>1777</v>
      </c>
      <c r="L25" s="2513"/>
      <c r="M25" s="2514"/>
    </row>
    <row r="26" spans="1:33" ht="18" customHeight="1">
      <c r="A26" s="1633" t="s">
        <v>1831</v>
      </c>
      <c r="B26" s="784" t="s">
        <v>2438</v>
      </c>
      <c r="C26" s="53">
        <f ca="1">ROUND((C19+C20)*F26,0)</f>
        <v>480</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2299</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11410</v>
      </c>
      <c r="D29" s="2509"/>
      <c r="E29" s="2510"/>
      <c r="F29" s="2511"/>
      <c r="G29" s="1579"/>
      <c r="H29" s="823" t="s">
        <v>1787</v>
      </c>
      <c r="I29" s="824" t="s">
        <v>1788</v>
      </c>
      <c r="J29" s="825">
        <f ca="1">ROUND(J26/(1+F40)^F41,0)</f>
        <v>0</v>
      </c>
      <c r="K29" s="826" t="s">
        <v>1789</v>
      </c>
      <c r="L29" s="827"/>
      <c r="M29" s="828">
        <f ca="1">INDIRECT("'数据-取费表'!k"&amp;$G$1)</f>
        <v>38830.82</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286</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93.6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23.7</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50.3</v>
      </c>
      <c r="D33" s="811" t="s">
        <v>3253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19.600000000000001</v>
      </c>
      <c r="D34" s="814" t="s">
        <v>1799</v>
      </c>
      <c r="E34" s="784" t="s">
        <v>1800</v>
      </c>
      <c r="F34" s="640">
        <f>'数据-取费表'!B52</f>
        <v>10</v>
      </c>
      <c r="G34" s="2047"/>
      <c r="H34" s="2050"/>
      <c r="I34" s="835" t="s">
        <v>1813</v>
      </c>
      <c r="J34" s="836"/>
      <c r="K34" s="2065"/>
      <c r="L34" s="2064"/>
      <c r="M34" s="2064"/>
    </row>
    <row r="35" spans="1:18" ht="18" customHeight="1">
      <c r="A35" s="815"/>
      <c r="B35" s="793"/>
      <c r="C35" s="69"/>
      <c r="D35" s="816"/>
      <c r="E35" s="784" t="s">
        <v>1801</v>
      </c>
      <c r="F35" s="785">
        <f ca="1">INDIRECT("'数据-取费表'!r"&amp;$G$1)</f>
        <v>19572</v>
      </c>
      <c r="G35" s="2047"/>
      <c r="H35" s="2050"/>
      <c r="I35" s="837" t="s">
        <v>1814</v>
      </c>
      <c r="J35" s="838">
        <f ca="1">ROUND(C13*J36,0)</f>
        <v>970</v>
      </c>
      <c r="K35" s="2063"/>
      <c r="L35" s="2062"/>
      <c r="M35" s="2062"/>
    </row>
    <row r="36" spans="1:18" ht="18" customHeight="1">
      <c r="A36" s="1634" t="s">
        <v>1889</v>
      </c>
      <c r="B36" s="784" t="s">
        <v>1802</v>
      </c>
      <c r="C36" s="53">
        <f ca="1">ROUND(C29*F36,1)</f>
        <v>171.2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17.100000000000001</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4.4000000000000004</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154</v>
      </c>
      <c r="D39" s="2512" t="s">
        <v>1806</v>
      </c>
      <c r="E39" s="2513"/>
      <c r="F39" s="2514"/>
      <c r="G39" s="2047"/>
      <c r="H39" s="2062"/>
      <c r="I39" s="837" t="s">
        <v>1818</v>
      </c>
      <c r="J39" s="845">
        <f ca="1">ROUND(J35/C39,3)</f>
        <v>6.2990000000000004</v>
      </c>
      <c r="K39" s="2068"/>
      <c r="L39" s="2062"/>
      <c r="M39" s="2062"/>
    </row>
    <row r="40" spans="1:18" ht="18" customHeight="1">
      <c r="A40" s="781" t="s">
        <v>1895</v>
      </c>
      <c r="B40" s="2217" t="s">
        <v>2301</v>
      </c>
      <c r="C40" s="783">
        <f ca="1">ROUND(C39*(1-((1+F42)/(1+F40))^F41)/(F40-F42),0)</f>
        <v>3301</v>
      </c>
      <c r="D40" s="814" t="s">
        <v>1807</v>
      </c>
      <c r="E40" s="784" t="s">
        <v>2419</v>
      </c>
      <c r="F40" s="794">
        <f ca="1">INDIRECT("'数据-取费表'!I"&amp;$G$1)</f>
        <v>0.05</v>
      </c>
      <c r="G40" s="2047"/>
      <c r="H40" s="2047"/>
      <c r="I40" s="837" t="s">
        <v>1819</v>
      </c>
      <c r="J40" s="845">
        <f ca="1">1-J39</f>
        <v>-5.2990000000000004</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35.54</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3.4569999999999999</v>
      </c>
      <c r="K42" s="2067"/>
      <c r="L42" s="1973"/>
      <c r="M42" s="1973"/>
    </row>
    <row r="43" spans="1:18" ht="18" customHeight="1" thickBot="1">
      <c r="A43" s="823" t="s">
        <v>1787</v>
      </c>
      <c r="B43" s="824" t="s">
        <v>1810</v>
      </c>
      <c r="C43" s="825">
        <f ca="1">ROUND(C40*10000/F43,0)</f>
        <v>850</v>
      </c>
      <c r="D43" s="826" t="s">
        <v>1811</v>
      </c>
      <c r="E43" s="827" t="s">
        <v>1812</v>
      </c>
      <c r="F43" s="828">
        <f ca="1">INDIRECT("'数据-取费表'!k"&amp;$G$1)</f>
        <v>38830.82</v>
      </c>
      <c r="G43" s="2047"/>
      <c r="H43" s="1973"/>
      <c r="I43" s="847" t="s">
        <v>1822</v>
      </c>
      <c r="J43" s="848">
        <f ca="1">1-J42</f>
        <v>-2.4569999999999999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-6726</v>
      </c>
      <c r="D46" s="2070"/>
      <c r="E46" s="2070"/>
      <c r="F46" s="2070"/>
      <c r="I46" s="2342" t="s">
        <v>2343</v>
      </c>
      <c r="J46" s="2343"/>
      <c r="K46" s="2344"/>
      <c r="L46" s="3105">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6" t="s">
        <v>2344</v>
      </c>
      <c r="J47" s="2345" t="s">
        <v>3054</v>
      </c>
      <c r="K47" s="3102" t="s">
        <v>2349</v>
      </c>
      <c r="L47" s="3106">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5" t="s">
        <v>2345</v>
      </c>
      <c r="J48" s="2346" t="s">
        <v>2350</v>
      </c>
      <c r="K48" s="3103" t="s">
        <v>2351</v>
      </c>
      <c r="L48" s="1893">
        <f ca="1">INDIRECT("'数据-取费表'!f"&amp;$G$1)</f>
        <v>37.54</v>
      </c>
      <c r="O48" s="2362" t="s">
        <v>2379</v>
      </c>
      <c r="P48" s="2363" t="s">
        <v>2405</v>
      </c>
      <c r="Q48" s="2364">
        <f ca="1">C40+J29</f>
        <v>3301</v>
      </c>
      <c r="R48" s="2363" t="s">
        <v>2380</v>
      </c>
    </row>
    <row r="49" spans="1:18" s="2044" customFormat="1" ht="18" customHeight="1" thickBot="1">
      <c r="A49" s="786"/>
      <c r="B49" s="787"/>
      <c r="C49" s="788"/>
      <c r="D49" s="789"/>
      <c r="E49" s="784" t="s">
        <v>1739</v>
      </c>
      <c r="F49" s="785">
        <f ca="1">F7</f>
        <v>862</v>
      </c>
      <c r="G49" s="2075"/>
      <c r="H49" s="2078"/>
      <c r="I49" s="3075" t="s">
        <v>2346</v>
      </c>
      <c r="J49" s="2347">
        <v>2021</v>
      </c>
      <c r="K49" s="3104"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12</v>
      </c>
      <c r="G50" s="2080"/>
      <c r="H50" s="2078"/>
      <c r="I50" s="3075" t="s">
        <v>2347</v>
      </c>
      <c r="J50" s="3100">
        <f>SUMPRODUCT((I63:I65=J47)*(J62:L62=J48)*(J63:L65))</f>
        <v>60</v>
      </c>
      <c r="K50" s="3104" t="s">
        <v>2353</v>
      </c>
      <c r="L50" s="2348"/>
      <c r="O50" s="2365" t="s">
        <v>2383</v>
      </c>
      <c r="P50" s="2363" t="s">
        <v>2407</v>
      </c>
      <c r="Q50" s="2364">
        <f ca="1">C29</f>
        <v>11410</v>
      </c>
      <c r="R50" s="2363" t="s">
        <v>2380</v>
      </c>
    </row>
    <row r="51" spans="1:18" s="2044" customFormat="1" ht="18" customHeight="1" thickBot="1">
      <c r="A51" s="786"/>
      <c r="B51" s="787"/>
      <c r="C51" s="788"/>
      <c r="D51" s="789"/>
      <c r="E51" s="784" t="s">
        <v>640</v>
      </c>
      <c r="F51" s="2335"/>
      <c r="H51" s="2078"/>
      <c r="I51" s="3097" t="s">
        <v>2348</v>
      </c>
      <c r="J51" s="3101">
        <f>IF(J49="",J50,J49+J50-YEAR('数据-取费表'!B2))</f>
        <v>62</v>
      </c>
      <c r="K51" s="3075" t="s">
        <v>2354</v>
      </c>
      <c r="L51" s="3107">
        <f ca="1">ROUND(-PV(INDIRECT("'数据-取费表'!h"&amp;$G$1),L48,(C39-C13*J36),0),0)</f>
        <v>-14656</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2971</v>
      </c>
      <c r="E52" s="2462" t="s">
        <v>2464</v>
      </c>
      <c r="F52" s="2585"/>
      <c r="I52" s="3098" t="s">
        <v>2421</v>
      </c>
      <c r="J52" s="2349">
        <v>0.09</v>
      </c>
      <c r="K52" s="3098"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099" t="s">
        <v>2974</v>
      </c>
      <c r="J53" s="3178">
        <f ca="1">IF(M47="住宅",IF(D1="——",MAX(J51,L48),MAX(J51,L48-'数据-取费表'!B20)),IF(D1="——",MIN(J51,L48),MIN(J51,L48-'数据-取费表'!B20)))</f>
        <v>35.54</v>
      </c>
      <c r="K53" s="3457" t="s">
        <v>2962</v>
      </c>
      <c r="L53" s="3458"/>
      <c r="O53" s="2365" t="s">
        <v>2388</v>
      </c>
      <c r="P53" s="2363" t="s">
        <v>2389</v>
      </c>
      <c r="Q53" s="2364">
        <f ca="1">J53</f>
        <v>35.54</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3301</v>
      </c>
      <c r="R54" s="2367" t="s">
        <v>2392</v>
      </c>
    </row>
    <row r="55" spans="1:18" s="2044" customFormat="1" ht="18" customHeight="1" thickTop="1" thickBot="1">
      <c r="A55" s="797">
        <v>2</v>
      </c>
      <c r="B55" s="798" t="s">
        <v>644</v>
      </c>
      <c r="C55" s="799">
        <f ca="1">C13</f>
        <v>11410</v>
      </c>
      <c r="D55" s="795"/>
      <c r="E55" s="795"/>
      <c r="F55" s="800"/>
      <c r="I55" s="3110" t="s">
        <v>2355</v>
      </c>
      <c r="J55" s="3050" t="e">
        <f ca="1">ROUND(IF(J47="钢混",J57/J50,1-(1-2%)*(J50-J57)/J50),3)</f>
        <v>#VALUE!</v>
      </c>
      <c r="K55" s="3111" t="s">
        <v>2356</v>
      </c>
      <c r="L55" s="2350"/>
      <c r="O55" s="2368" t="s">
        <v>2411</v>
      </c>
      <c r="P55" s="1578"/>
      <c r="Q55" s="1589"/>
      <c r="R55" s="1578"/>
    </row>
    <row r="56" spans="1:18" s="2044" customFormat="1" ht="42.75" customHeight="1" thickBot="1">
      <c r="A56" s="1635"/>
      <c r="B56" s="2216" t="s">
        <v>2302</v>
      </c>
      <c r="C56" s="53">
        <f ca="1">C29</f>
        <v>11410</v>
      </c>
      <c r="D56" s="2603"/>
      <c r="E56" s="784"/>
      <c r="F56" s="809"/>
      <c r="I56" s="3112" t="s">
        <v>2357</v>
      </c>
      <c r="J56" s="3122" t="s">
        <v>1678</v>
      </c>
      <c r="K56" s="3075"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208</v>
      </c>
      <c r="D57" s="26" t="s">
        <v>1750</v>
      </c>
      <c r="E57" s="2604"/>
      <c r="F57" s="56"/>
      <c r="I57" s="3113" t="s">
        <v>2358</v>
      </c>
      <c r="J57" s="3114" t="str">
        <f ca="1">IF(OR(M47="住宅",J51&lt;L48,J56="是"),"——",J51-L48)</f>
        <v>——</v>
      </c>
      <c r="K57" s="3075" t="s">
        <v>2363</v>
      </c>
      <c r="L57" s="1893" t="str">
        <f ca="1">IF(L48&lt;J51,"——",IF(L55="比较法",L49,IF(L55="基准地价",L50,L51)))</f>
        <v>——</v>
      </c>
      <c r="O57" s="2362" t="s">
        <v>2379</v>
      </c>
      <c r="P57" s="2363" t="s">
        <v>2409</v>
      </c>
      <c r="Q57" s="2364">
        <f ca="1">C40+J29</f>
        <v>3301</v>
      </c>
      <c r="R57" s="2363" t="s">
        <v>2380</v>
      </c>
    </row>
    <row r="58" spans="1:18" s="2044" customFormat="1" ht="28.5" customHeight="1" thickBot="1">
      <c r="A58" s="1634" t="s">
        <v>1824</v>
      </c>
      <c r="B58" s="784" t="s">
        <v>656</v>
      </c>
      <c r="C58" s="53">
        <f ca="1">ROUND(IF(项目基本情况!B11="自然人",C47*F58,C59+C60+C61),1)</f>
        <v>19.600000000000001</v>
      </c>
      <c r="D58" s="2602" t="s">
        <v>657</v>
      </c>
      <c r="E58" s="2603" t="s">
        <v>690</v>
      </c>
      <c r="F58" s="810" t="str">
        <f ca="1">IF(项目基本情况!B11="企业","",IF(INDIRECT("'数据-取费表'!c"&amp;$G$1)="住宅",5%,IF(F48*F49*F50/12/(1+'数据-取费表'!C42)&gt;20000,12%,7%)))</f>
        <v/>
      </c>
      <c r="I58" s="3113" t="s">
        <v>2359</v>
      </c>
      <c r="J58" s="3051" t="e">
        <f ca="1">IF(J55&lt;0.4,0.4,J55)</f>
        <v>#VALUE!</v>
      </c>
      <c r="K58" s="3075"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3" t="s">
        <v>2360</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5" t="s">
        <v>2361</v>
      </c>
      <c r="J60" s="3116" t="str">
        <f ca="1">IF(OR(M47="住宅",J51&lt;L48,J56="是"),"0",ROUND(J59/(1+J52)^J53,0))</f>
        <v>0</v>
      </c>
      <c r="K60" s="3117" t="s">
        <v>2366</v>
      </c>
      <c r="L60" s="3116">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19.600000000000001</v>
      </c>
      <c r="D61" s="814" t="s">
        <v>669</v>
      </c>
      <c r="E61" s="784" t="s">
        <v>670</v>
      </c>
      <c r="F61" s="640">
        <f t="shared" si="0"/>
        <v>10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19572</v>
      </c>
      <c r="I62" s="3118" t="s">
        <v>2367</v>
      </c>
      <c r="J62" s="3119" t="s">
        <v>2368</v>
      </c>
      <c r="K62" s="3119" t="s">
        <v>2369</v>
      </c>
      <c r="L62" s="3119" t="s">
        <v>2350</v>
      </c>
      <c r="M62" s="3120" t="s">
        <v>2939</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171.2</v>
      </c>
      <c r="D63" s="2603" t="s">
        <v>1803</v>
      </c>
      <c r="E63" s="784" t="s">
        <v>1747</v>
      </c>
      <c r="F63" s="817">
        <f t="shared" ca="1" si="0"/>
        <v>1.4999999999999999E-2</v>
      </c>
      <c r="I63" s="3118" t="s">
        <v>2370</v>
      </c>
      <c r="J63" s="3119">
        <v>70</v>
      </c>
      <c r="K63" s="3119">
        <v>50</v>
      </c>
      <c r="L63" s="3119">
        <v>80</v>
      </c>
      <c r="M63" s="3121">
        <v>0.02</v>
      </c>
      <c r="O63" s="2362" t="s">
        <v>2391</v>
      </c>
      <c r="P63" s="2363" t="s">
        <v>2408</v>
      </c>
      <c r="Q63" s="2364">
        <f ca="1">Q57+Q58</f>
        <v>3301</v>
      </c>
      <c r="R63" s="2367" t="s">
        <v>2392</v>
      </c>
    </row>
    <row r="64" spans="1:18" s="2044" customFormat="1" ht="16.5" thickBot="1">
      <c r="A64" s="1634" t="s">
        <v>1890</v>
      </c>
      <c r="B64" s="784" t="s">
        <v>679</v>
      </c>
      <c r="C64" s="53">
        <f ca="1">ROUND(C55*F64,1)</f>
        <v>17.100000000000001</v>
      </c>
      <c r="D64" s="2603" t="s">
        <v>680</v>
      </c>
      <c r="E64" s="784" t="s">
        <v>1747</v>
      </c>
      <c r="F64" s="818">
        <f t="shared" ca="1" si="0"/>
        <v>1.5E-3</v>
      </c>
      <c r="I64" s="3118" t="s">
        <v>2371</v>
      </c>
      <c r="J64" s="3119">
        <v>50</v>
      </c>
      <c r="K64" s="3119">
        <v>35</v>
      </c>
      <c r="L64" s="3119">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18" t="s">
        <v>2372</v>
      </c>
      <c r="J65" s="3119">
        <v>40</v>
      </c>
      <c r="K65" s="3119">
        <v>30</v>
      </c>
      <c r="L65" s="3119">
        <v>50</v>
      </c>
      <c r="M65" s="3121">
        <v>0.02</v>
      </c>
      <c r="O65" s="2359" t="s">
        <v>2375</v>
      </c>
      <c r="P65" s="2360" t="s">
        <v>2376</v>
      </c>
      <c r="Q65" s="2361" t="s">
        <v>2377</v>
      </c>
      <c r="R65" s="2360" t="s">
        <v>2378</v>
      </c>
    </row>
    <row r="66" spans="1:18" s="2044" customFormat="1" ht="24.75" thickBot="1">
      <c r="A66" s="797" t="s">
        <v>1776</v>
      </c>
      <c r="B66" s="2963" t="s">
        <v>2822</v>
      </c>
      <c r="C66" s="799">
        <f ca="1">C47-C57</f>
        <v>-208</v>
      </c>
      <c r="D66" s="2602" t="s">
        <v>700</v>
      </c>
      <c r="E66" s="2601"/>
      <c r="F66" s="820"/>
      <c r="K66" s="2071"/>
      <c r="O66" s="2362" t="s">
        <v>2379</v>
      </c>
      <c r="P66" s="2363" t="s">
        <v>2409</v>
      </c>
      <c r="Q66" s="2364">
        <f ca="1">C40+J29</f>
        <v>3301</v>
      </c>
      <c r="R66" s="2363" t="s">
        <v>2380</v>
      </c>
    </row>
    <row r="67" spans="1:18" s="2044" customFormat="1" ht="20.25" thickBot="1">
      <c r="A67" s="781" t="s">
        <v>1780</v>
      </c>
      <c r="B67" s="2217" t="s">
        <v>2301</v>
      </c>
      <c r="C67" s="783">
        <f ca="1">ROUND(C66*(1-((1+F69)/(1+F67))^F68)/(F67-F69),0)</f>
        <v>-3425</v>
      </c>
      <c r="D67" s="814" t="s">
        <v>704</v>
      </c>
      <c r="E67" s="784" t="s">
        <v>705</v>
      </c>
      <c r="F67" s="794">
        <f ca="1">F40</f>
        <v>0.05</v>
      </c>
      <c r="K67" s="2071"/>
      <c r="O67" s="2362" t="s">
        <v>2381</v>
      </c>
      <c r="P67" s="2363" t="s">
        <v>2412</v>
      </c>
      <c r="Q67" s="2364">
        <f ca="1">L60</f>
        <v>0</v>
      </c>
      <c r="R67" s="2367" t="s">
        <v>2414</v>
      </c>
    </row>
    <row r="68" spans="1:18" ht="21.75" thickBot="1">
      <c r="A68" s="786"/>
      <c r="B68" s="787"/>
      <c r="C68" s="788"/>
      <c r="D68" s="821" t="s">
        <v>1808</v>
      </c>
      <c r="E68" s="784" t="s">
        <v>1784</v>
      </c>
      <c r="F68" s="822">
        <f ca="1">F41</f>
        <v>35.54</v>
      </c>
      <c r="O68" s="2365" t="s">
        <v>2383</v>
      </c>
      <c r="P68" s="2363" t="s">
        <v>2413</v>
      </c>
      <c r="Q68" s="2369">
        <f ca="1">L51</f>
        <v>-14656</v>
      </c>
      <c r="R68" s="2370" t="s">
        <v>2416</v>
      </c>
    </row>
    <row r="69" spans="1:18" ht="20.25" thickBot="1">
      <c r="A69" s="790"/>
      <c r="B69" s="791"/>
      <c r="C69" s="792"/>
      <c r="D69" s="816"/>
      <c r="E69" s="784" t="s">
        <v>710</v>
      </c>
      <c r="F69" s="2335"/>
      <c r="O69" s="2365" t="s">
        <v>2384</v>
      </c>
      <c r="P69" s="2371" t="s">
        <v>2398</v>
      </c>
      <c r="Q69" s="2364">
        <f ca="1">ROUND(Q70-Q71*Q72,0)</f>
        <v>-816</v>
      </c>
      <c r="R69" s="2367"/>
    </row>
    <row r="70" spans="1:18" ht="15.75" thickBot="1">
      <c r="A70" s="823" t="s">
        <v>1787</v>
      </c>
      <c r="B70" s="824" t="s">
        <v>1810</v>
      </c>
      <c r="C70" s="825">
        <f ca="1">ROUND(C67*10000/F70,0)</f>
        <v>-882</v>
      </c>
      <c r="D70" s="826" t="s">
        <v>1811</v>
      </c>
      <c r="E70" s="827" t="s">
        <v>1812</v>
      </c>
      <c r="F70" s="828">
        <f ca="1">F43</f>
        <v>38830.82</v>
      </c>
      <c r="O70" s="2365" t="s">
        <v>2399</v>
      </c>
      <c r="P70" s="2371" t="s">
        <v>2400</v>
      </c>
      <c r="Q70" s="2364">
        <f ca="1">C39</f>
        <v>154</v>
      </c>
      <c r="R70" s="2363" t="s">
        <v>2380</v>
      </c>
    </row>
    <row r="71" spans="1:18" ht="15.75" thickBot="1">
      <c r="O71" s="2365" t="s">
        <v>2401</v>
      </c>
      <c r="P71" s="2371" t="s">
        <v>2402</v>
      </c>
      <c r="Q71" s="2364">
        <f ca="1">C13</f>
        <v>11410</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3301</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75" t="s">
        <v>2471</v>
      </c>
      <c r="B1" s="3476"/>
      <c r="C1" s="3477"/>
      <c r="D1" s="3478">
        <f>SUM(I10,I15,I20,I21,I23)</f>
        <v>0</v>
      </c>
      <c r="E1" s="3478"/>
      <c r="F1" s="3478"/>
      <c r="G1" s="3478"/>
      <c r="H1" s="3478"/>
      <c r="I1" s="3479"/>
    </row>
    <row r="2" spans="1:9">
      <c r="A2" s="3465" t="s">
        <v>2472</v>
      </c>
      <c r="B2" s="3466" t="s">
        <v>2473</v>
      </c>
      <c r="C2" s="3466"/>
      <c r="D2" s="2471" t="s">
        <v>2474</v>
      </c>
      <c r="E2" s="2471" t="s">
        <v>2475</v>
      </c>
      <c r="F2" s="2471" t="s">
        <v>2476</v>
      </c>
      <c r="G2" s="2471" t="s">
        <v>2477</v>
      </c>
      <c r="H2" s="2471" t="s">
        <v>2478</v>
      </c>
      <c r="I2" s="2472" t="s">
        <v>2479</v>
      </c>
    </row>
    <row r="3" spans="1:9">
      <c r="A3" s="3465"/>
      <c r="B3" s="3466" t="s">
        <v>2480</v>
      </c>
      <c r="C3" s="3466"/>
      <c r="D3" s="2473"/>
      <c r="E3" s="2471"/>
      <c r="F3" s="2474"/>
      <c r="G3" s="2474"/>
      <c r="H3" s="2475"/>
      <c r="I3" s="2476">
        <f>ROUND(D3*E3*F3*G3*H3/10000,0)</f>
        <v>0</v>
      </c>
    </row>
    <row r="4" spans="1:9">
      <c r="A4" s="3465"/>
      <c r="B4" s="3466" t="s">
        <v>2481</v>
      </c>
      <c r="C4" s="3466"/>
      <c r="D4" s="2473"/>
      <c r="E4" s="2471"/>
      <c r="F4" s="2474"/>
      <c r="G4" s="2474"/>
      <c r="H4" s="2475"/>
      <c r="I4" s="2476">
        <f t="shared" ref="I4:I9" si="0">ROUND(D4*E4*F4*G4*H4/10000,0)</f>
        <v>0</v>
      </c>
    </row>
    <row r="5" spans="1:9">
      <c r="A5" s="3465"/>
      <c r="B5" s="3466" t="s">
        <v>2482</v>
      </c>
      <c r="C5" s="3466"/>
      <c r="D5" s="2473"/>
      <c r="E5" s="2471"/>
      <c r="F5" s="2474"/>
      <c r="G5" s="2474"/>
      <c r="H5" s="2475"/>
      <c r="I5" s="2476">
        <f t="shared" si="0"/>
        <v>0</v>
      </c>
    </row>
    <row r="6" spans="1:9">
      <c r="A6" s="3465"/>
      <c r="B6" s="3466" t="s">
        <v>2483</v>
      </c>
      <c r="C6" s="3466"/>
      <c r="D6" s="2473"/>
      <c r="E6" s="2471"/>
      <c r="F6" s="2474"/>
      <c r="G6" s="2474"/>
      <c r="H6" s="2475"/>
      <c r="I6" s="2476">
        <f t="shared" si="0"/>
        <v>0</v>
      </c>
    </row>
    <row r="7" spans="1:9">
      <c r="A7" s="3465"/>
      <c r="B7" s="3466" t="s">
        <v>2484</v>
      </c>
      <c r="C7" s="3466"/>
      <c r="D7" s="2473"/>
      <c r="E7" s="2471"/>
      <c r="F7" s="2474"/>
      <c r="G7" s="2474"/>
      <c r="H7" s="2475"/>
      <c r="I7" s="2476">
        <f t="shared" si="0"/>
        <v>0</v>
      </c>
    </row>
    <row r="8" spans="1:9">
      <c r="A8" s="3465"/>
      <c r="B8" s="3466" t="s">
        <v>2485</v>
      </c>
      <c r="C8" s="3466"/>
      <c r="D8" s="2473"/>
      <c r="E8" s="2471"/>
      <c r="F8" s="2474"/>
      <c r="G8" s="2474"/>
      <c r="H8" s="2475"/>
      <c r="I8" s="2476">
        <f t="shared" si="0"/>
        <v>0</v>
      </c>
    </row>
    <row r="9" spans="1:9">
      <c r="A9" s="3465"/>
      <c r="B9" s="3466" t="s">
        <v>2486</v>
      </c>
      <c r="C9" s="3466"/>
      <c r="D9" s="2473"/>
      <c r="E9" s="2471"/>
      <c r="F9" s="2474"/>
      <c r="G9" s="2474"/>
      <c r="H9" s="2475"/>
      <c r="I9" s="2476">
        <f t="shared" si="0"/>
        <v>0</v>
      </c>
    </row>
    <row r="10" spans="1:9">
      <c r="A10" s="3465"/>
      <c r="B10" s="3467" t="s">
        <v>2487</v>
      </c>
      <c r="C10" s="3467"/>
      <c r="D10" s="2477">
        <v>527</v>
      </c>
      <c r="E10" s="2477" t="e">
        <f>ROUND(D1*10000/D10/H9,0)</f>
        <v>#DIV/0!</v>
      </c>
      <c r="F10" s="2478"/>
      <c r="G10" s="2478"/>
      <c r="H10" s="2479"/>
      <c r="I10" s="2480">
        <f>SUM(I3:I9)</f>
        <v>0</v>
      </c>
    </row>
    <row r="11" spans="1:9" ht="14.25">
      <c r="A11" s="3465" t="s">
        <v>2488</v>
      </c>
      <c r="B11" s="3466" t="s">
        <v>2489</v>
      </c>
      <c r="C11" s="3466"/>
      <c r="D11" s="2473" t="s">
        <v>2490</v>
      </c>
      <c r="E11" s="2473" t="s">
        <v>2491</v>
      </c>
      <c r="F11" s="2474" t="s">
        <v>2492</v>
      </c>
      <c r="G11" s="2474" t="s">
        <v>2493</v>
      </c>
      <c r="H11" s="2481" t="s">
        <v>2494</v>
      </c>
      <c r="I11" s="2472" t="s">
        <v>2495</v>
      </c>
    </row>
    <row r="12" spans="1:9">
      <c r="A12" s="3465"/>
      <c r="B12" s="3466" t="s">
        <v>2496</v>
      </c>
      <c r="C12" s="3466"/>
      <c r="D12" s="2473"/>
      <c r="E12" s="2473"/>
      <c r="F12" s="2474"/>
      <c r="G12" s="2475"/>
      <c r="H12" s="2482"/>
      <c r="I12" s="2472">
        <f>ROUND(D12*E12*F12*G12/10000,0)</f>
        <v>0</v>
      </c>
    </row>
    <row r="13" spans="1:9">
      <c r="A13" s="3465"/>
      <c r="B13" s="3466" t="s">
        <v>2497</v>
      </c>
      <c r="C13" s="3466"/>
      <c r="D13" s="2473"/>
      <c r="E13" s="2473"/>
      <c r="F13" s="2474"/>
      <c r="G13" s="2475"/>
      <c r="H13" s="2482"/>
      <c r="I13" s="2472">
        <f>ROUND(D13*E13*F13*G13/10000,0)</f>
        <v>0</v>
      </c>
    </row>
    <row r="14" spans="1:9">
      <c r="A14" s="3465"/>
      <c r="B14" s="3466" t="s">
        <v>2498</v>
      </c>
      <c r="C14" s="3466"/>
      <c r="D14" s="2473"/>
      <c r="E14" s="2473"/>
      <c r="F14" s="2474"/>
      <c r="G14" s="2475"/>
      <c r="H14" s="2482"/>
      <c r="I14" s="2472">
        <f>ROUND(D14*E14*F14*G14/10000,0)</f>
        <v>0</v>
      </c>
    </row>
    <row r="15" spans="1:9">
      <c r="A15" s="3465"/>
      <c r="B15" s="3467" t="s">
        <v>2487</v>
      </c>
      <c r="C15" s="3467"/>
      <c r="D15" s="2477"/>
      <c r="E15" s="2477">
        <f>SUM(E12:E14)</f>
        <v>0</v>
      </c>
      <c r="F15" s="2478"/>
      <c r="G15" s="2475"/>
      <c r="H15" s="2482"/>
      <c r="I15" s="2483">
        <f>SUM(I12:I14)</f>
        <v>0</v>
      </c>
    </row>
    <row r="16" spans="1:9" ht="24">
      <c r="A16" s="3465" t="s">
        <v>2499</v>
      </c>
      <c r="B16" s="3466" t="s">
        <v>2500</v>
      </c>
      <c r="C16" s="3466"/>
      <c r="D16" s="2473" t="s">
        <v>2501</v>
      </c>
      <c r="E16" s="2484" t="s">
        <v>2502</v>
      </c>
      <c r="F16" s="2474" t="s">
        <v>2503</v>
      </c>
      <c r="G16" s="2475" t="s">
        <v>2493</v>
      </c>
      <c r="H16" s="2481" t="s">
        <v>2494</v>
      </c>
      <c r="I16" s="2472" t="s">
        <v>2495</v>
      </c>
    </row>
    <row r="17" spans="1:9" ht="14.25">
      <c r="A17" s="3465"/>
      <c r="B17" s="3466" t="s">
        <v>2504</v>
      </c>
      <c r="C17" s="3466"/>
      <c r="D17" s="2473"/>
      <c r="E17" s="2473"/>
      <c r="F17" s="2474"/>
      <c r="G17" s="2475"/>
      <c r="H17" s="2485"/>
      <c r="I17" s="2486">
        <f>ROUND(D17*E17*F17*G17/10000,0)</f>
        <v>0</v>
      </c>
    </row>
    <row r="18" spans="1:9" ht="14.25">
      <c r="A18" s="3465"/>
      <c r="B18" s="3466" t="s">
        <v>2505</v>
      </c>
      <c r="C18" s="3466"/>
      <c r="D18" s="2473"/>
      <c r="E18" s="2473"/>
      <c r="F18" s="2474"/>
      <c r="G18" s="2475"/>
      <c r="H18" s="2485"/>
      <c r="I18" s="2486">
        <f>ROUND(D18*E18*F18*G18/10000,0)</f>
        <v>0</v>
      </c>
    </row>
    <row r="19" spans="1:9" ht="14.25">
      <c r="A19" s="3465"/>
      <c r="B19" s="3466" t="s">
        <v>2506</v>
      </c>
      <c r="C19" s="3466"/>
      <c r="D19" s="2473"/>
      <c r="E19" s="2473"/>
      <c r="F19" s="2474"/>
      <c r="G19" s="2475"/>
      <c r="H19" s="2485"/>
      <c r="I19" s="2486">
        <f>ROUND(D19*E19*F19*G19/10000,0)</f>
        <v>0</v>
      </c>
    </row>
    <row r="20" spans="1:9">
      <c r="A20" s="3465"/>
      <c r="B20" s="3467" t="s">
        <v>2487</v>
      </c>
      <c r="C20" s="3467"/>
      <c r="D20" s="2477">
        <f>SUM(D17:D19)</f>
        <v>0</v>
      </c>
      <c r="E20" s="2477"/>
      <c r="F20" s="2478"/>
      <c r="G20" s="2475"/>
      <c r="H20" s="2482"/>
      <c r="I20" s="2483">
        <f>SUM(I17:I19)</f>
        <v>0</v>
      </c>
    </row>
    <row r="21" spans="1:9">
      <c r="A21" s="3465" t="s">
        <v>2507</v>
      </c>
      <c r="B21" s="3468"/>
      <c r="C21" s="3468"/>
      <c r="D21" s="3468"/>
      <c r="E21" s="3468"/>
      <c r="F21" s="3468"/>
      <c r="G21" s="3468"/>
      <c r="H21" s="2487">
        <v>0.1</v>
      </c>
      <c r="I21" s="2480">
        <f>ROUND(I10*H21,0)</f>
        <v>0</v>
      </c>
    </row>
    <row r="22" spans="1:9" ht="14.25">
      <c r="A22" s="3469" t="s">
        <v>2508</v>
      </c>
      <c r="B22" s="3470"/>
      <c r="C22" s="3471"/>
      <c r="D22" s="2488" t="s">
        <v>2509</v>
      </c>
      <c r="E22" s="2488" t="s">
        <v>2510</v>
      </c>
      <c r="F22" s="2489" t="s">
        <v>2511</v>
      </c>
      <c r="G22" s="2489" t="s">
        <v>2512</v>
      </c>
      <c r="H22" s="2481" t="s">
        <v>2513</v>
      </c>
      <c r="I22" s="2472" t="s">
        <v>2514</v>
      </c>
    </row>
    <row r="23" spans="1:9" ht="14.25" thickBot="1">
      <c r="A23" s="3472"/>
      <c r="B23" s="3473"/>
      <c r="C23" s="3474"/>
      <c r="D23" s="2490"/>
      <c r="E23" s="2490"/>
      <c r="F23" s="2490"/>
      <c r="G23" s="2491"/>
      <c r="H23" s="2492"/>
      <c r="I23" s="2493">
        <f>ROUND(E23*D23*F23*(1-G23)/10000,0)</f>
        <v>0</v>
      </c>
    </row>
    <row r="26" spans="1:9">
      <c r="A26" s="2494" t="s">
        <v>2515</v>
      </c>
      <c r="B26" s="2494"/>
      <c r="C26" s="2494"/>
      <c r="D26" s="2494"/>
      <c r="E26" s="3462">
        <f>C27-C30-C31-C32</f>
        <v>0</v>
      </c>
      <c r="F26" s="3462"/>
      <c r="G26" s="3462"/>
      <c r="H26" s="2992" t="s">
        <v>2843</v>
      </c>
    </row>
    <row r="27" spans="1:9">
      <c r="A27" s="2495">
        <v>1</v>
      </c>
      <c r="B27" s="2496" t="s">
        <v>2516</v>
      </c>
      <c r="C27" s="2496"/>
      <c r="D27" s="2496"/>
      <c r="E27" s="3463"/>
      <c r="F27" s="3463"/>
      <c r="G27" s="3463"/>
    </row>
    <row r="28" spans="1:9">
      <c r="A28" s="2497" t="s">
        <v>2517</v>
      </c>
      <c r="B28" s="2496" t="s">
        <v>2518</v>
      </c>
      <c r="C28" s="2496"/>
      <c r="D28" s="2496"/>
      <c r="E28" s="3463"/>
      <c r="F28" s="3463"/>
      <c r="G28" s="3463"/>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4"/>
      <c r="F32" s="3464"/>
      <c r="G32" s="3464"/>
    </row>
    <row r="33" spans="1:7" hidden="1">
      <c r="A33" s="3459" t="s">
        <v>2526</v>
      </c>
      <c r="B33" s="3460"/>
      <c r="C33" s="3460"/>
      <c r="D33" s="3461"/>
      <c r="E33" s="3462"/>
      <c r="F33" s="3462"/>
      <c r="G33" s="3462"/>
    </row>
    <row r="34" spans="1:7" hidden="1">
      <c r="A34" s="2499">
        <v>1</v>
      </c>
      <c r="B34" s="2496" t="s">
        <v>2527</v>
      </c>
      <c r="C34" s="2496"/>
      <c r="D34" s="2496"/>
      <c r="E34" s="3463"/>
      <c r="F34" s="3463"/>
      <c r="G34" s="3463"/>
    </row>
    <row r="35" spans="1:7" hidden="1">
      <c r="A35" s="2499">
        <v>2</v>
      </c>
      <c r="B35" s="2496" t="s">
        <v>2528</v>
      </c>
      <c r="C35" s="2496"/>
      <c r="D35" s="2496"/>
      <c r="E35" s="3463"/>
      <c r="F35" s="3463"/>
      <c r="G35" s="3463"/>
    </row>
    <row r="36" spans="1:7" hidden="1">
      <c r="A36" s="2499">
        <v>3</v>
      </c>
      <c r="B36" s="2496" t="s">
        <v>2529</v>
      </c>
      <c r="C36" s="2496"/>
      <c r="D36" s="2496"/>
      <c r="E36" s="3463"/>
      <c r="F36" s="3463"/>
      <c r="G36" s="3463"/>
    </row>
    <row r="37" spans="1:7" hidden="1">
      <c r="A37" s="2499">
        <v>4</v>
      </c>
      <c r="B37" s="2496" t="s">
        <v>2530</v>
      </c>
      <c r="C37" s="2496"/>
      <c r="D37" s="2496"/>
      <c r="E37" s="3463"/>
      <c r="F37" s="3463"/>
      <c r="G37" s="3463"/>
    </row>
    <row r="38" spans="1:7" hidden="1">
      <c r="A38" s="3459" t="s">
        <v>2531</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3057</v>
      </c>
      <c r="C2" s="2093"/>
      <c r="D2" s="2093"/>
      <c r="E2" s="2093"/>
      <c r="F2" s="2093"/>
      <c r="G2" s="2093"/>
    </row>
    <row r="3" spans="1:25" s="2044" customFormat="1" ht="18" customHeight="1">
      <c r="A3" s="1375" t="s">
        <v>1685</v>
      </c>
      <c r="B3" s="425">
        <f ca="1">ROUND(B2*10000/'数据-汇总表'!E3,0)</f>
        <v>294</v>
      </c>
      <c r="C3" s="2093"/>
      <c r="D3" s="2093"/>
      <c r="E3" s="2093"/>
      <c r="F3" s="2093"/>
      <c r="G3" s="2093"/>
    </row>
    <row r="4" spans="1:25" s="2044" customFormat="1" ht="18" customHeight="1">
      <c r="A4" s="426" t="s">
        <v>468</v>
      </c>
      <c r="B4" s="427">
        <f ca="1">ROUND(B2*10000/'数据-汇总表'!D3,0)</f>
        <v>617</v>
      </c>
      <c r="C4" s="2046"/>
      <c r="D4" s="2093"/>
      <c r="E4" s="2093"/>
      <c r="F4" s="2093"/>
      <c r="G4" s="2093"/>
    </row>
    <row r="5" spans="1:25" s="2044" customFormat="1" ht="18" customHeight="1" thickBot="1">
      <c r="A5" s="429"/>
      <c r="B5" s="430">
        <f ca="1">ROUND(B2/('数据-汇总表'!D3/666.67),0)</f>
        <v>41</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3331</v>
      </c>
      <c r="D10" s="760">
        <f>'数据-汇总表'!E3</f>
        <v>104102.39999999998</v>
      </c>
      <c r="E10" s="749">
        <f>'数据-取费表'!B31</f>
        <v>200</v>
      </c>
      <c r="F10" s="761"/>
      <c r="G10" s="759" t="s">
        <v>614</v>
      </c>
    </row>
    <row r="11" spans="1:25" s="2168" customFormat="1" ht="13.5" customHeight="1">
      <c r="A11" s="2433" t="s">
        <v>2440</v>
      </c>
      <c r="B11" s="752" t="s">
        <v>610</v>
      </c>
      <c r="C11" s="753">
        <f>'数据-取费表'!B29</f>
        <v>3331</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290</v>
      </c>
      <c r="F12" s="755"/>
      <c r="G12" s="759"/>
    </row>
    <row r="13" spans="1:25" s="2168" customFormat="1" ht="13.5" customHeight="1">
      <c r="A13" s="2440" t="s">
        <v>2447</v>
      </c>
      <c r="B13" s="756" t="s">
        <v>612</v>
      </c>
      <c r="C13" s="757">
        <f>ROUND(D13*E13/10000,0)</f>
        <v>3331</v>
      </c>
      <c r="D13" s="758">
        <f>'数据-汇总表'!E6</f>
        <v>104102.39999999998</v>
      </c>
      <c r="E13" s="757">
        <f>'数据-取费表'!B28</f>
        <v>320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366</v>
      </c>
      <c r="D18" s="762"/>
      <c r="E18" s="763"/>
      <c r="F18" s="761">
        <f>'数据-取费表'!Q16</f>
        <v>0.11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3697</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3697</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3057</v>
      </c>
      <c r="D22" s="760"/>
      <c r="E22" s="749"/>
      <c r="F22" s="766">
        <f>'数据-取费表'!AP16</f>
        <v>0.82699999999999996</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3057</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1" t="s">
        <v>522</v>
      </c>
      <c r="D4" s="3382"/>
      <c r="E4" s="3407" t="s">
        <v>523</v>
      </c>
      <c r="F4" s="3408"/>
      <c r="G4" s="3381" t="s">
        <v>524</v>
      </c>
      <c r="H4" s="3382"/>
      <c r="I4" s="3381" t="s">
        <v>525</v>
      </c>
      <c r="J4" s="3382"/>
      <c r="K4" s="853" t="s">
        <v>526</v>
      </c>
      <c r="L4" s="2118"/>
      <c r="M4" s="2119"/>
      <c r="N4" s="2119"/>
      <c r="O4" s="2119"/>
      <c r="P4" s="3383" t="s">
        <v>527</v>
      </c>
      <c r="Q4" s="3384"/>
      <c r="R4" s="3369" t="s">
        <v>523</v>
      </c>
      <c r="S4" s="3370"/>
      <c r="T4" s="3369" t="s">
        <v>524</v>
      </c>
      <c r="U4" s="3370"/>
      <c r="V4" s="3389" t="s">
        <v>525</v>
      </c>
      <c r="W4" s="3389"/>
      <c r="X4" s="1553"/>
      <c r="Y4" s="3369" t="s">
        <v>527</v>
      </c>
      <c r="Z4" s="3370"/>
      <c r="AA4" s="3364" t="s">
        <v>523</v>
      </c>
      <c r="AB4" s="3364" t="s">
        <v>524</v>
      </c>
      <c r="AC4" s="3364" t="s">
        <v>525</v>
      </c>
    </row>
    <row r="5" spans="1:29" ht="15">
      <c r="A5" s="515"/>
      <c r="B5" s="516"/>
      <c r="C5" s="3392" t="s">
        <v>2926</v>
      </c>
      <c r="D5" s="3393"/>
      <c r="E5" s="3409" t="s">
        <v>2927</v>
      </c>
      <c r="F5" s="3410"/>
      <c r="G5" s="3392" t="s">
        <v>2928</v>
      </c>
      <c r="H5" s="3393"/>
      <c r="I5" s="3392" t="s">
        <v>2929</v>
      </c>
      <c r="J5" s="3393"/>
      <c r="K5" s="854"/>
      <c r="L5" s="2118"/>
      <c r="M5" s="2119"/>
      <c r="N5" s="2119"/>
      <c r="O5" s="2119"/>
      <c r="P5" s="3385"/>
      <c r="Q5" s="3386"/>
      <c r="R5" s="3371"/>
      <c r="S5" s="3372"/>
      <c r="T5" s="3371"/>
      <c r="U5" s="3372"/>
      <c r="V5" s="3389"/>
      <c r="W5" s="3389"/>
      <c r="X5" s="1553"/>
      <c r="Y5" s="3371"/>
      <c r="Z5" s="3372"/>
      <c r="AA5" s="3365"/>
      <c r="AB5" s="3365"/>
      <c r="AC5" s="3365"/>
    </row>
    <row r="6" spans="1:29" ht="15.75" thickBot="1">
      <c r="A6" s="517"/>
      <c r="B6" s="518"/>
      <c r="C6" s="3390" t="s">
        <v>2930</v>
      </c>
      <c r="D6" s="3391"/>
      <c r="E6" s="3411" t="s">
        <v>2930</v>
      </c>
      <c r="F6" s="3412"/>
      <c r="G6" s="3390" t="s">
        <v>2930</v>
      </c>
      <c r="H6" s="3391"/>
      <c r="I6" s="3390" t="s">
        <v>2930</v>
      </c>
      <c r="J6" s="3391"/>
      <c r="K6" s="854" t="s">
        <v>528</v>
      </c>
      <c r="L6" s="2118"/>
      <c r="M6" s="2119"/>
      <c r="N6" s="2119"/>
      <c r="O6" s="2119"/>
      <c r="P6" s="3387"/>
      <c r="Q6" s="3388"/>
      <c r="R6" s="3371"/>
      <c r="S6" s="3372"/>
      <c r="T6" s="3373"/>
      <c r="U6" s="3374"/>
      <c r="V6" s="3389"/>
      <c r="W6" s="3389"/>
      <c r="X6" s="1553"/>
      <c r="Y6" s="3373"/>
      <c r="Z6" s="3374"/>
      <c r="AA6" s="3366"/>
      <c r="AB6" s="3366"/>
      <c r="AC6" s="3366"/>
    </row>
    <row r="7" spans="1:29" s="1216" customFormat="1" ht="15.75" thickBot="1">
      <c r="A7" s="2867"/>
      <c r="B7" s="2874" t="s">
        <v>529</v>
      </c>
      <c r="C7" s="519">
        <f>'数据-取费表'!B2</f>
        <v>43693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7" t="s">
        <v>530</v>
      </c>
      <c r="Q7" s="3376"/>
      <c r="R7" s="1554" t="s">
        <v>13</v>
      </c>
      <c r="S7" s="1555">
        <f t="shared" ref="S7:S15" si="0">F7</f>
        <v>0</v>
      </c>
      <c r="T7" s="1554" t="s">
        <v>13</v>
      </c>
      <c r="U7" s="1555">
        <f t="shared" ref="U7:U15" si="1">H7</f>
        <v>0</v>
      </c>
      <c r="V7" s="1554" t="s">
        <v>13</v>
      </c>
      <c r="W7" s="1555">
        <f t="shared" ref="W7:W15" si="2">J7</f>
        <v>0</v>
      </c>
      <c r="X7" s="1556"/>
      <c r="Y7" s="3367" t="s">
        <v>530</v>
      </c>
      <c r="Z7" s="3368"/>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7" t="s">
        <v>533</v>
      </c>
      <c r="Q8" s="3368"/>
      <c r="R8" s="1554" t="s">
        <v>13</v>
      </c>
      <c r="S8" s="1555">
        <f t="shared" si="0"/>
        <v>0</v>
      </c>
      <c r="T8" s="1554" t="s">
        <v>13</v>
      </c>
      <c r="U8" s="1555">
        <f t="shared" si="1"/>
        <v>0</v>
      </c>
      <c r="V8" s="1554" t="s">
        <v>13</v>
      </c>
      <c r="W8" s="1555">
        <f t="shared" si="2"/>
        <v>0</v>
      </c>
      <c r="X8" s="1556"/>
      <c r="Y8" s="3367" t="s">
        <v>533</v>
      </c>
      <c r="Z8" s="3368"/>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5" t="s">
        <v>535</v>
      </c>
      <c r="Q9" s="1147" t="str">
        <f t="shared" ref="Q9:Q15" si="6">B9</f>
        <v>用途</v>
      </c>
      <c r="R9" s="1554" t="s">
        <v>8</v>
      </c>
      <c r="S9" s="1555">
        <f t="shared" si="0"/>
        <v>100</v>
      </c>
      <c r="T9" s="1554" t="s">
        <v>8</v>
      </c>
      <c r="U9" s="1555">
        <f t="shared" si="1"/>
        <v>100</v>
      </c>
      <c r="V9" s="1554" t="s">
        <v>8</v>
      </c>
      <c r="W9" s="1555">
        <f t="shared" si="2"/>
        <v>100</v>
      </c>
      <c r="X9" s="1556"/>
      <c r="Y9" s="333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5"/>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5"/>
      <c r="Q11" s="1147" t="str">
        <f t="shared" si="6"/>
        <v>容积率</v>
      </c>
      <c r="R11" s="1554" t="s">
        <v>11</v>
      </c>
      <c r="S11" s="1555" t="e">
        <f t="shared" si="0"/>
        <v>#N/A</v>
      </c>
      <c r="T11" s="1554" t="s">
        <v>11</v>
      </c>
      <c r="U11" s="1555" t="e">
        <f t="shared" si="1"/>
        <v>#N/A</v>
      </c>
      <c r="V11" s="1554" t="s">
        <v>11</v>
      </c>
      <c r="W11" s="1555" t="e">
        <f t="shared" si="2"/>
        <v>#N/A</v>
      </c>
      <c r="X11" s="1556"/>
      <c r="Y11" s="333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5"/>
      <c r="Q12" s="1147">
        <f t="shared" si="6"/>
        <v>111</v>
      </c>
      <c r="R12" s="1554" t="s">
        <v>11</v>
      </c>
      <c r="S12" s="1555">
        <f t="shared" si="0"/>
        <v>100</v>
      </c>
      <c r="T12" s="1554" t="s">
        <v>11</v>
      </c>
      <c r="U12" s="1555">
        <f t="shared" si="1"/>
        <v>100</v>
      </c>
      <c r="V12" s="1554" t="s">
        <v>11</v>
      </c>
      <c r="W12" s="1555">
        <f t="shared" si="2"/>
        <v>100</v>
      </c>
      <c r="X12" s="1556"/>
      <c r="Y12" s="3332"/>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5"/>
      <c r="Q13" s="1147">
        <f t="shared" si="6"/>
        <v>111</v>
      </c>
      <c r="R13" s="1554" t="s">
        <v>11</v>
      </c>
      <c r="S13" s="1555">
        <f t="shared" si="0"/>
        <v>100</v>
      </c>
      <c r="T13" s="1554" t="s">
        <v>11</v>
      </c>
      <c r="U13" s="1555">
        <f t="shared" si="1"/>
        <v>100</v>
      </c>
      <c r="V13" s="1554" t="s">
        <v>11</v>
      </c>
      <c r="W13" s="1555">
        <f t="shared" si="2"/>
        <v>100</v>
      </c>
      <c r="X13" s="1556"/>
      <c r="Y13" s="3332"/>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5"/>
      <c r="Q14" s="1147">
        <f t="shared" si="6"/>
        <v>111</v>
      </c>
      <c r="R14" s="1554" t="s">
        <v>11</v>
      </c>
      <c r="S14" s="1555">
        <f t="shared" si="0"/>
        <v>100</v>
      </c>
      <c r="T14" s="1554" t="s">
        <v>11</v>
      </c>
      <c r="U14" s="1555">
        <f t="shared" si="1"/>
        <v>100</v>
      </c>
      <c r="V14" s="1554" t="s">
        <v>11</v>
      </c>
      <c r="W14" s="1555">
        <f t="shared" si="2"/>
        <v>100</v>
      </c>
      <c r="X14" s="1556"/>
      <c r="Y14" s="3332"/>
      <c r="Z14" s="1146">
        <f t="shared" si="7"/>
        <v>111</v>
      </c>
      <c r="AA14" s="1557">
        <f t="shared" si="3"/>
        <v>1</v>
      </c>
      <c r="AB14" s="1557">
        <f t="shared" si="4"/>
        <v>1</v>
      </c>
      <c r="AC14" s="1557">
        <f t="shared" si="5"/>
        <v>1</v>
      </c>
    </row>
    <row r="15" spans="1:29" ht="15">
      <c r="A15" s="286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7" t="s">
        <v>540</v>
      </c>
      <c r="Q15" s="1558" t="str">
        <f t="shared" si="6"/>
        <v>居住社区成熟度</v>
      </c>
      <c r="R15" s="1559" t="s">
        <v>11</v>
      </c>
      <c r="S15" s="1560">
        <f t="shared" si="0"/>
        <v>100</v>
      </c>
      <c r="T15" s="1559" t="s">
        <v>11</v>
      </c>
      <c r="U15" s="1560">
        <f t="shared" si="1"/>
        <v>100</v>
      </c>
      <c r="V15" s="1559" t="s">
        <v>11</v>
      </c>
      <c r="W15" s="1560">
        <f t="shared" si="2"/>
        <v>100</v>
      </c>
      <c r="X15" s="1553"/>
      <c r="Y15" s="3377"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78"/>
      <c r="Q16" s="1558"/>
      <c r="R16" s="1559"/>
      <c r="S16" s="1560"/>
      <c r="T16" s="1559"/>
      <c r="U16" s="1560"/>
      <c r="V16" s="1559"/>
      <c r="W16" s="1560"/>
      <c r="X16" s="1553"/>
      <c r="Y16" s="3378"/>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78"/>
      <c r="Q17" s="1558" t="str">
        <f>B17</f>
        <v>交通便捷度</v>
      </c>
      <c r="R17" s="1559" t="s">
        <v>11</v>
      </c>
      <c r="S17" s="1560">
        <f>F17</f>
        <v>100</v>
      </c>
      <c r="T17" s="1559" t="s">
        <v>11</v>
      </c>
      <c r="U17" s="1560">
        <f>H17</f>
        <v>100</v>
      </c>
      <c r="V17" s="1559" t="s">
        <v>11</v>
      </c>
      <c r="W17" s="1560">
        <f>J17</f>
        <v>100</v>
      </c>
      <c r="X17" s="1553"/>
      <c r="Y17" s="337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78"/>
      <c r="Q18" s="1558"/>
      <c r="R18" s="1559"/>
      <c r="S18" s="1560"/>
      <c r="T18" s="1559"/>
      <c r="U18" s="1560"/>
      <c r="V18" s="1559"/>
      <c r="W18" s="1560"/>
      <c r="X18" s="1553"/>
      <c r="Y18" s="3378"/>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78"/>
      <c r="Q19" s="1558" t="str">
        <f>B19</f>
        <v>公共配套设施</v>
      </c>
      <c r="R19" s="1559" t="s">
        <v>11</v>
      </c>
      <c r="S19" s="1560">
        <f>F19</f>
        <v>100</v>
      </c>
      <c r="T19" s="1559" t="s">
        <v>11</v>
      </c>
      <c r="U19" s="1560">
        <f>H19</f>
        <v>100</v>
      </c>
      <c r="V19" s="1559" t="s">
        <v>11</v>
      </c>
      <c r="W19" s="1560">
        <f>J19</f>
        <v>100</v>
      </c>
      <c r="X19" s="1553"/>
      <c r="Y19" s="337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78"/>
      <c r="Q20" s="1558"/>
      <c r="R20" s="1559"/>
      <c r="S20" s="1560"/>
      <c r="T20" s="1559"/>
      <c r="U20" s="1560"/>
      <c r="V20" s="1559"/>
      <c r="W20" s="1560"/>
      <c r="X20" s="1553"/>
      <c r="Y20" s="3378"/>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78"/>
      <c r="Q21" s="2543" t="str">
        <f>B21</f>
        <v>基础设施水平</v>
      </c>
      <c r="R21" s="1559" t="s">
        <v>11</v>
      </c>
      <c r="S21" s="1560">
        <f>F21</f>
        <v>100</v>
      </c>
      <c r="T21" s="1559" t="s">
        <v>11</v>
      </c>
      <c r="U21" s="1560">
        <f>H21</f>
        <v>100</v>
      </c>
      <c r="V21" s="1559" t="s">
        <v>11</v>
      </c>
      <c r="W21" s="1560">
        <f>J21</f>
        <v>100</v>
      </c>
      <c r="X21" s="2545"/>
      <c r="Y21" s="3378"/>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78"/>
      <c r="Q22" s="2543"/>
      <c r="R22" s="1559"/>
      <c r="S22" s="1560"/>
      <c r="T22" s="1559"/>
      <c r="U22" s="1560"/>
      <c r="V22" s="1559"/>
      <c r="W22" s="1560"/>
      <c r="X22" s="2545"/>
      <c r="Y22" s="3378"/>
      <c r="Z22" s="2544"/>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78"/>
      <c r="Q23" s="1558" t="str">
        <f>B23</f>
        <v>自然及人文环境</v>
      </c>
      <c r="R23" s="1559" t="s">
        <v>11</v>
      </c>
      <c r="S23" s="1560">
        <f>F23</f>
        <v>100</v>
      </c>
      <c r="T23" s="1559" t="s">
        <v>11</v>
      </c>
      <c r="U23" s="1560">
        <f>H23</f>
        <v>100</v>
      </c>
      <c r="V23" s="1559" t="s">
        <v>11</v>
      </c>
      <c r="W23" s="1560">
        <f>J23</f>
        <v>100</v>
      </c>
      <c r="X23" s="1553"/>
      <c r="Y23" s="337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78"/>
      <c r="Q24" s="1558"/>
      <c r="R24" s="1559"/>
      <c r="S24" s="1560"/>
      <c r="T24" s="1559"/>
      <c r="U24" s="1560"/>
      <c r="V24" s="1559"/>
      <c r="W24" s="1560"/>
      <c r="X24" s="1553"/>
      <c r="Y24" s="3378"/>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78"/>
      <c r="Q25" s="1558" t="str">
        <f t="shared" ref="Q25:Q46" si="11">B25</f>
        <v>楼层-1</v>
      </c>
      <c r="R25" s="1559" t="s">
        <v>11</v>
      </c>
      <c r="S25" s="1560">
        <f>F25</f>
        <v>100</v>
      </c>
      <c r="T25" s="1559" t="s">
        <v>11</v>
      </c>
      <c r="U25" s="1560">
        <f>H25</f>
        <v>100</v>
      </c>
      <c r="V25" s="1559" t="s">
        <v>11</v>
      </c>
      <c r="W25" s="1560">
        <f>J25</f>
        <v>100</v>
      </c>
      <c r="X25" s="1553"/>
      <c r="Y25" s="337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78"/>
      <c r="Q26" s="1558" t="str">
        <f t="shared" si="11"/>
        <v>朝向</v>
      </c>
      <c r="R26" s="1559" t="s">
        <v>11</v>
      </c>
      <c r="S26" s="1560">
        <f>F26</f>
        <v>100</v>
      </c>
      <c r="T26" s="1559" t="s">
        <v>11</v>
      </c>
      <c r="U26" s="1560">
        <f>H26</f>
        <v>100</v>
      </c>
      <c r="V26" s="1559" t="s">
        <v>11</v>
      </c>
      <c r="W26" s="1560">
        <f>J26</f>
        <v>100</v>
      </c>
      <c r="X26" s="1553"/>
      <c r="Y26" s="3378"/>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78"/>
      <c r="Q27" s="1147" t="str">
        <f t="shared" si="11"/>
        <v>道路级别</v>
      </c>
      <c r="R27" s="1554" t="s">
        <v>11</v>
      </c>
      <c r="S27" s="1555">
        <f>F27</f>
        <v>100</v>
      </c>
      <c r="T27" s="1554" t="s">
        <v>11</v>
      </c>
      <c r="U27" s="1555">
        <f>H27</f>
        <v>100</v>
      </c>
      <c r="V27" s="1554" t="s">
        <v>11</v>
      </c>
      <c r="W27" s="1555">
        <f>J27</f>
        <v>100</v>
      </c>
      <c r="X27" s="1556"/>
      <c r="Y27" s="3378"/>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7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7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78"/>
      <c r="Q29" s="1558">
        <f t="shared" si="11"/>
        <v>111</v>
      </c>
      <c r="R29" s="1559" t="s">
        <v>11</v>
      </c>
      <c r="S29" s="1560">
        <f t="shared" si="12"/>
        <v>100</v>
      </c>
      <c r="T29" s="1559" t="s">
        <v>11</v>
      </c>
      <c r="U29" s="1560">
        <f t="shared" si="13"/>
        <v>100</v>
      </c>
      <c r="V29" s="1559" t="s">
        <v>11</v>
      </c>
      <c r="W29" s="1560">
        <f t="shared" si="14"/>
        <v>100</v>
      </c>
      <c r="X29" s="1553"/>
      <c r="Y29" s="337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78"/>
      <c r="Q30" s="1558">
        <f t="shared" si="11"/>
        <v>111</v>
      </c>
      <c r="R30" s="1559" t="s">
        <v>11</v>
      </c>
      <c r="S30" s="1560">
        <f t="shared" si="12"/>
        <v>100</v>
      </c>
      <c r="T30" s="1559" t="s">
        <v>11</v>
      </c>
      <c r="U30" s="1560">
        <f t="shared" si="13"/>
        <v>100</v>
      </c>
      <c r="V30" s="1559" t="s">
        <v>11</v>
      </c>
      <c r="W30" s="1560">
        <f t="shared" si="14"/>
        <v>100</v>
      </c>
      <c r="X30" s="1553"/>
      <c r="Y30" s="337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78"/>
      <c r="Q31" s="1558">
        <f t="shared" si="11"/>
        <v>111</v>
      </c>
      <c r="R31" s="1559" t="s">
        <v>11</v>
      </c>
      <c r="S31" s="1560">
        <f t="shared" si="12"/>
        <v>100</v>
      </c>
      <c r="T31" s="1559" t="s">
        <v>11</v>
      </c>
      <c r="U31" s="1560">
        <f t="shared" si="13"/>
        <v>100</v>
      </c>
      <c r="V31" s="1559" t="s">
        <v>11</v>
      </c>
      <c r="W31" s="1560">
        <f t="shared" si="14"/>
        <v>100</v>
      </c>
      <c r="X31" s="1553"/>
      <c r="Y31" s="3378"/>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79" t="s">
        <v>550</v>
      </c>
      <c r="Q32" s="1558" t="str">
        <f t="shared" si="11"/>
        <v>建筑类型</v>
      </c>
      <c r="R32" s="1559" t="s">
        <v>11</v>
      </c>
      <c r="S32" s="1560">
        <f t="shared" si="12"/>
        <v>100</v>
      </c>
      <c r="T32" s="1559" t="s">
        <v>11</v>
      </c>
      <c r="U32" s="1560">
        <f t="shared" si="13"/>
        <v>100</v>
      </c>
      <c r="V32" s="1559" t="s">
        <v>11</v>
      </c>
      <c r="W32" s="1560">
        <f t="shared" si="14"/>
        <v>100</v>
      </c>
      <c r="X32" s="1553"/>
      <c r="Y32" s="3380"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0"/>
      <c r="Q33" s="1590" t="str">
        <f t="shared" si="11"/>
        <v>项目建筑规模</v>
      </c>
      <c r="R33" s="1563" t="s">
        <v>11</v>
      </c>
      <c r="S33" s="1564" t="e">
        <f t="shared" si="12"/>
        <v>#N/A</v>
      </c>
      <c r="T33" s="1563" t="s">
        <v>11</v>
      </c>
      <c r="U33" s="1564" t="e">
        <f t="shared" si="13"/>
        <v>#N/A</v>
      </c>
      <c r="V33" s="1563" t="s">
        <v>11</v>
      </c>
      <c r="W33" s="1564" t="e">
        <f t="shared" si="14"/>
        <v>#N/A</v>
      </c>
      <c r="X33" s="1565"/>
      <c r="Y33" s="3380"/>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0"/>
      <c r="Q34" s="1558" t="str">
        <f t="shared" si="11"/>
        <v>建筑结构</v>
      </c>
      <c r="R34" s="1559" t="s">
        <v>11</v>
      </c>
      <c r="S34" s="1560">
        <f t="shared" si="12"/>
        <v>100</v>
      </c>
      <c r="T34" s="1559" t="s">
        <v>11</v>
      </c>
      <c r="U34" s="1560">
        <f t="shared" si="13"/>
        <v>100</v>
      </c>
      <c r="V34" s="1559" t="s">
        <v>11</v>
      </c>
      <c r="W34" s="1560">
        <f t="shared" si="14"/>
        <v>100</v>
      </c>
      <c r="X34" s="1553"/>
      <c r="Y34" s="3380"/>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0"/>
      <c r="Q35" s="1558" t="str">
        <f t="shared" si="11"/>
        <v>建筑品质</v>
      </c>
      <c r="R35" s="1559" t="s">
        <v>11</v>
      </c>
      <c r="S35" s="1560">
        <f t="shared" si="12"/>
        <v>100</v>
      </c>
      <c r="T35" s="1559" t="s">
        <v>11</v>
      </c>
      <c r="U35" s="1560">
        <f t="shared" si="13"/>
        <v>100</v>
      </c>
      <c r="V35" s="1559" t="s">
        <v>11</v>
      </c>
      <c r="W35" s="1560">
        <f t="shared" si="14"/>
        <v>100</v>
      </c>
      <c r="X35" s="1553"/>
      <c r="Y35" s="3380"/>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0"/>
      <c r="Q36" s="1558" t="str">
        <f t="shared" si="11"/>
        <v>公共部分装修</v>
      </c>
      <c r="R36" s="1559" t="s">
        <v>11</v>
      </c>
      <c r="S36" s="1560">
        <f t="shared" si="12"/>
        <v>100</v>
      </c>
      <c r="T36" s="1559" t="s">
        <v>11</v>
      </c>
      <c r="U36" s="1560">
        <f t="shared" si="13"/>
        <v>100</v>
      </c>
      <c r="V36" s="1559" t="s">
        <v>11</v>
      </c>
      <c r="W36" s="1560">
        <f t="shared" si="14"/>
        <v>100</v>
      </c>
      <c r="X36" s="1553"/>
      <c r="Y36" s="3380"/>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0"/>
      <c r="Q37" s="1147" t="str">
        <f t="shared" si="11"/>
        <v>成新度</v>
      </c>
      <c r="R37" s="1554" t="s">
        <v>11</v>
      </c>
      <c r="S37" s="1555" t="e">
        <f t="shared" si="12"/>
        <v>#N/A</v>
      </c>
      <c r="T37" s="1554" t="s">
        <v>11</v>
      </c>
      <c r="U37" s="1555" t="e">
        <f t="shared" si="13"/>
        <v>#N/A</v>
      </c>
      <c r="V37" s="1554" t="s">
        <v>11</v>
      </c>
      <c r="W37" s="1555" t="e">
        <f t="shared" si="14"/>
        <v>#N/A</v>
      </c>
      <c r="X37" s="1556"/>
      <c r="Y37" s="3380"/>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0" t="s">
        <v>550</v>
      </c>
      <c r="Q38" s="1558" t="str">
        <f t="shared" si="11"/>
        <v>物业管理</v>
      </c>
      <c r="R38" s="1559" t="s">
        <v>11</v>
      </c>
      <c r="S38" s="1560">
        <f t="shared" si="12"/>
        <v>100</v>
      </c>
      <c r="T38" s="1559" t="s">
        <v>11</v>
      </c>
      <c r="U38" s="1560">
        <f t="shared" si="13"/>
        <v>100</v>
      </c>
      <c r="V38" s="1559" t="s">
        <v>11</v>
      </c>
      <c r="W38" s="1560">
        <f t="shared" si="14"/>
        <v>100</v>
      </c>
      <c r="X38" s="1553"/>
      <c r="Y38" s="3380"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0"/>
      <c r="Q39" s="1558" t="str">
        <f t="shared" si="11"/>
        <v>市政基础设施</v>
      </c>
      <c r="R39" s="1559" t="s">
        <v>11</v>
      </c>
      <c r="S39" s="1560">
        <f t="shared" si="12"/>
        <v>100</v>
      </c>
      <c r="T39" s="1559" t="s">
        <v>11</v>
      </c>
      <c r="U39" s="1560">
        <f t="shared" si="13"/>
        <v>100</v>
      </c>
      <c r="V39" s="1559" t="s">
        <v>11</v>
      </c>
      <c r="W39" s="1560">
        <f t="shared" si="14"/>
        <v>100</v>
      </c>
      <c r="X39" s="1553"/>
      <c r="Y39" s="338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0"/>
      <c r="Q40" s="1558" t="str">
        <f t="shared" si="11"/>
        <v>房型</v>
      </c>
      <c r="R40" s="1559" t="s">
        <v>11</v>
      </c>
      <c r="S40" s="1560">
        <f t="shared" si="12"/>
        <v>100</v>
      </c>
      <c r="T40" s="1559" t="s">
        <v>11</v>
      </c>
      <c r="U40" s="1560">
        <f t="shared" si="13"/>
        <v>100</v>
      </c>
      <c r="V40" s="1559" t="s">
        <v>11</v>
      </c>
      <c r="W40" s="1560">
        <f t="shared" si="14"/>
        <v>100</v>
      </c>
      <c r="X40" s="1553"/>
      <c r="Y40" s="3380"/>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0"/>
      <c r="Q41" s="1590" t="str">
        <f t="shared" si="11"/>
        <v>单套/主力户型建筑面积</v>
      </c>
      <c r="R41" s="1563" t="s">
        <v>11</v>
      </c>
      <c r="S41" s="1564">
        <f t="shared" si="12"/>
        <v>100</v>
      </c>
      <c r="T41" s="1563" t="s">
        <v>11</v>
      </c>
      <c r="U41" s="1564">
        <f t="shared" si="13"/>
        <v>100</v>
      </c>
      <c r="V41" s="1563" t="s">
        <v>11</v>
      </c>
      <c r="W41" s="1564">
        <f t="shared" si="14"/>
        <v>100</v>
      </c>
      <c r="X41" s="1565"/>
      <c r="Y41" s="3380"/>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0"/>
      <c r="Q42" s="1558" t="str">
        <f t="shared" si="11"/>
        <v>内部装修</v>
      </c>
      <c r="R42" s="1559" t="s">
        <v>11</v>
      </c>
      <c r="S42" s="1560">
        <f t="shared" si="12"/>
        <v>100</v>
      </c>
      <c r="T42" s="1559" t="s">
        <v>11</v>
      </c>
      <c r="U42" s="1560">
        <f t="shared" si="13"/>
        <v>100</v>
      </c>
      <c r="V42" s="1559" t="s">
        <v>11</v>
      </c>
      <c r="W42" s="1560">
        <f t="shared" si="14"/>
        <v>100</v>
      </c>
      <c r="X42" s="1553"/>
      <c r="Y42" s="3380"/>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0"/>
      <c r="Q43" s="1558" t="str">
        <f t="shared" si="11"/>
        <v>内部装修维护情况</v>
      </c>
      <c r="R43" s="1559" t="s">
        <v>11</v>
      </c>
      <c r="S43" s="1560">
        <f t="shared" si="12"/>
        <v>100</v>
      </c>
      <c r="T43" s="1559" t="s">
        <v>11</v>
      </c>
      <c r="U43" s="1560">
        <f t="shared" si="13"/>
        <v>100</v>
      </c>
      <c r="V43" s="1559" t="s">
        <v>11</v>
      </c>
      <c r="W43" s="1560">
        <f t="shared" si="14"/>
        <v>100</v>
      </c>
      <c r="X43" s="1553"/>
      <c r="Y43" s="338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0"/>
      <c r="Q44" s="1147">
        <f t="shared" si="11"/>
        <v>111</v>
      </c>
      <c r="R44" s="1554" t="s">
        <v>11</v>
      </c>
      <c r="S44" s="1555">
        <f t="shared" si="12"/>
        <v>100</v>
      </c>
      <c r="T44" s="1554" t="s">
        <v>11</v>
      </c>
      <c r="U44" s="1555">
        <f t="shared" si="13"/>
        <v>100</v>
      </c>
      <c r="V44" s="1554" t="s">
        <v>11</v>
      </c>
      <c r="W44" s="1555">
        <f t="shared" si="14"/>
        <v>100</v>
      </c>
      <c r="X44" s="1556"/>
      <c r="Y44" s="338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0"/>
      <c r="Q45" s="1558">
        <f t="shared" si="11"/>
        <v>111</v>
      </c>
      <c r="R45" s="1559" t="s">
        <v>11</v>
      </c>
      <c r="S45" s="1560">
        <f t="shared" si="12"/>
        <v>100</v>
      </c>
      <c r="T45" s="1559" t="s">
        <v>11</v>
      </c>
      <c r="U45" s="1560">
        <f t="shared" si="13"/>
        <v>100</v>
      </c>
      <c r="V45" s="1559" t="s">
        <v>11</v>
      </c>
      <c r="W45" s="1560">
        <f t="shared" si="14"/>
        <v>100</v>
      </c>
      <c r="X45" s="1553"/>
      <c r="Y45" s="338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2"/>
      <c r="Q46" s="1558">
        <f t="shared" si="11"/>
        <v>111</v>
      </c>
      <c r="R46" s="1559" t="s">
        <v>10</v>
      </c>
      <c r="S46" s="1560">
        <f t="shared" si="12"/>
        <v>100</v>
      </c>
      <c r="T46" s="1559" t="s">
        <v>10</v>
      </c>
      <c r="U46" s="1560">
        <f t="shared" si="13"/>
        <v>100</v>
      </c>
      <c r="V46" s="1559" t="s">
        <v>10</v>
      </c>
      <c r="W46" s="1560">
        <f t="shared" si="14"/>
        <v>100</v>
      </c>
      <c r="X46" s="1553"/>
      <c r="Y46" s="3482"/>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5" t="str">
        <f>A47</f>
        <v>成交单价（元/平方米）</v>
      </c>
      <c r="Q47" s="3375"/>
      <c r="R47" s="3481">
        <f>E47</f>
        <v>0</v>
      </c>
      <c r="S47" s="3481"/>
      <c r="T47" s="3481">
        <f>G47</f>
        <v>0</v>
      </c>
      <c r="U47" s="3481"/>
      <c r="V47" s="3481">
        <f>I47</f>
        <v>0</v>
      </c>
      <c r="W47" s="3481"/>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75" t="str">
        <f>A48</f>
        <v>比较价格（元/平方米）</v>
      </c>
      <c r="Q48" s="3375"/>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3"/>
      <c r="L49" s="2129"/>
      <c r="M49" s="2130"/>
      <c r="N49" s="2130"/>
      <c r="O49" s="2130"/>
      <c r="P49" s="3398" t="str">
        <f>A49</f>
        <v>估价对象XX用房的比较价格（楼面单价，元/平方米）</v>
      </c>
      <c r="Q49" s="3399"/>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1" t="s">
        <v>522</v>
      </c>
      <c r="D4" s="3382"/>
      <c r="E4" s="3407" t="s">
        <v>523</v>
      </c>
      <c r="F4" s="3408"/>
      <c r="G4" s="3381" t="s">
        <v>524</v>
      </c>
      <c r="H4" s="3382"/>
      <c r="I4" s="3381" t="s">
        <v>525</v>
      </c>
      <c r="J4" s="3382"/>
      <c r="K4" s="514" t="s">
        <v>526</v>
      </c>
      <c r="L4" s="2118"/>
      <c r="M4" s="2119"/>
      <c r="N4" s="2119"/>
      <c r="O4" s="2119"/>
      <c r="P4" s="3383" t="s">
        <v>527</v>
      </c>
      <c r="Q4" s="3384"/>
      <c r="R4" s="3369" t="s">
        <v>523</v>
      </c>
      <c r="S4" s="3370"/>
      <c r="T4" s="3369" t="s">
        <v>524</v>
      </c>
      <c r="U4" s="3370"/>
      <c r="V4" s="3389" t="s">
        <v>525</v>
      </c>
      <c r="W4" s="3389"/>
      <c r="X4" s="1553"/>
      <c r="Y4" s="3369" t="s">
        <v>527</v>
      </c>
      <c r="Z4" s="3370"/>
      <c r="AA4" s="3364" t="s">
        <v>523</v>
      </c>
      <c r="AB4" s="3389" t="s">
        <v>524</v>
      </c>
      <c r="AC4" s="3364" t="s">
        <v>525</v>
      </c>
    </row>
    <row r="5" spans="1:29" ht="15">
      <c r="A5" s="515"/>
      <c r="B5" s="516"/>
      <c r="C5" s="3392" t="s">
        <v>2926</v>
      </c>
      <c r="D5" s="3393"/>
      <c r="E5" s="3409" t="s">
        <v>2927</v>
      </c>
      <c r="F5" s="3410"/>
      <c r="G5" s="3392" t="s">
        <v>2928</v>
      </c>
      <c r="H5" s="3393"/>
      <c r="I5" s="3392" t="s">
        <v>2929</v>
      </c>
      <c r="J5" s="3393"/>
      <c r="K5" s="514"/>
      <c r="L5" s="2118"/>
      <c r="M5" s="2119"/>
      <c r="N5" s="2119"/>
      <c r="O5" s="2119"/>
      <c r="P5" s="3385"/>
      <c r="Q5" s="3386"/>
      <c r="R5" s="3371"/>
      <c r="S5" s="3372"/>
      <c r="T5" s="3371"/>
      <c r="U5" s="3372"/>
      <c r="V5" s="3389"/>
      <c r="W5" s="3389"/>
      <c r="X5" s="1553"/>
      <c r="Y5" s="3371"/>
      <c r="Z5" s="3372"/>
      <c r="AA5" s="3365"/>
      <c r="AB5" s="3389"/>
      <c r="AC5" s="3365"/>
    </row>
    <row r="6" spans="1:29" ht="15.75" thickBot="1">
      <c r="A6" s="517"/>
      <c r="B6" s="518"/>
      <c r="C6" s="3390" t="s">
        <v>2930</v>
      </c>
      <c r="D6" s="3391"/>
      <c r="E6" s="3411" t="s">
        <v>2930</v>
      </c>
      <c r="F6" s="3412"/>
      <c r="G6" s="3390" t="s">
        <v>2930</v>
      </c>
      <c r="H6" s="3391"/>
      <c r="I6" s="3390" t="s">
        <v>2930</v>
      </c>
      <c r="J6" s="3391"/>
      <c r="K6" s="514" t="s">
        <v>528</v>
      </c>
      <c r="L6" s="2118"/>
      <c r="M6" s="2119"/>
      <c r="N6" s="2119"/>
      <c r="O6" s="2119"/>
      <c r="P6" s="3387"/>
      <c r="Q6" s="3388"/>
      <c r="R6" s="3371"/>
      <c r="S6" s="3372"/>
      <c r="T6" s="3373"/>
      <c r="U6" s="3374"/>
      <c r="V6" s="3389"/>
      <c r="W6" s="3389"/>
      <c r="X6" s="1553"/>
      <c r="Y6" s="3373"/>
      <c r="Z6" s="3374"/>
      <c r="AA6" s="3366"/>
      <c r="AB6" s="3389"/>
      <c r="AC6" s="3366"/>
    </row>
    <row r="7" spans="1:29" s="1216" customFormat="1" ht="15.75" thickBot="1">
      <c r="A7" s="2867"/>
      <c r="B7" s="2874" t="s">
        <v>529</v>
      </c>
      <c r="C7" s="519">
        <f>'数据-取费表'!B2</f>
        <v>43693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7" t="s">
        <v>530</v>
      </c>
      <c r="Q7" s="3376"/>
      <c r="R7" s="1554" t="s">
        <v>8</v>
      </c>
      <c r="S7" s="1555">
        <f t="shared" ref="S7:S15" si="0">F7</f>
        <v>0</v>
      </c>
      <c r="T7" s="1554" t="s">
        <v>8</v>
      </c>
      <c r="U7" s="1555">
        <f t="shared" ref="U7:U15" si="1">H7</f>
        <v>0</v>
      </c>
      <c r="V7" s="1554" t="s">
        <v>8</v>
      </c>
      <c r="W7" s="1555">
        <f t="shared" ref="W7:W15" si="2">J7</f>
        <v>0</v>
      </c>
      <c r="X7" s="1556"/>
      <c r="Y7" s="3367" t="s">
        <v>530</v>
      </c>
      <c r="Z7" s="3368"/>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7" t="s">
        <v>533</v>
      </c>
      <c r="Q8" s="3368"/>
      <c r="R8" s="1554" t="s">
        <v>8</v>
      </c>
      <c r="S8" s="1555">
        <f t="shared" si="0"/>
        <v>0</v>
      </c>
      <c r="T8" s="1554" t="s">
        <v>8</v>
      </c>
      <c r="U8" s="1555">
        <f t="shared" si="1"/>
        <v>0</v>
      </c>
      <c r="V8" s="1554" t="s">
        <v>8</v>
      </c>
      <c r="W8" s="1555">
        <f t="shared" si="2"/>
        <v>0</v>
      </c>
      <c r="X8" s="1556"/>
      <c r="Y8" s="3367" t="s">
        <v>533</v>
      </c>
      <c r="Z8" s="3368"/>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5" t="s">
        <v>535</v>
      </c>
      <c r="Q9" s="1147" t="str">
        <f t="shared" ref="Q9:Q15" si="6">B9</f>
        <v>用途</v>
      </c>
      <c r="R9" s="1554" t="s">
        <v>8</v>
      </c>
      <c r="S9" s="1555">
        <f t="shared" si="0"/>
        <v>100</v>
      </c>
      <c r="T9" s="1554" t="s">
        <v>8</v>
      </c>
      <c r="U9" s="1555">
        <f t="shared" si="1"/>
        <v>100</v>
      </c>
      <c r="V9" s="1554" t="s">
        <v>8</v>
      </c>
      <c r="W9" s="1555">
        <f t="shared" si="2"/>
        <v>100</v>
      </c>
      <c r="X9" s="1556"/>
      <c r="Y9" s="333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5"/>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5"/>
      <c r="Q11" s="1147" t="str">
        <f t="shared" si="6"/>
        <v>容积率</v>
      </c>
      <c r="R11" s="1554" t="s">
        <v>8</v>
      </c>
      <c r="S11" s="1555" t="e">
        <f t="shared" si="0"/>
        <v>#N/A</v>
      </c>
      <c r="T11" s="1554" t="s">
        <v>8</v>
      </c>
      <c r="U11" s="1555" t="e">
        <f t="shared" si="1"/>
        <v>#N/A</v>
      </c>
      <c r="V11" s="1554" t="s">
        <v>8</v>
      </c>
      <c r="W11" s="1555" t="e">
        <f t="shared" si="2"/>
        <v>#N/A</v>
      </c>
      <c r="X11" s="1556"/>
      <c r="Y11" s="333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5"/>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5"/>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5"/>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 t="shared" si="3"/>
        <v>1</v>
      </c>
      <c r="AB14" s="1557">
        <f t="shared" si="4"/>
        <v>1</v>
      </c>
      <c r="AC14" s="1557">
        <f t="shared" si="5"/>
        <v>1</v>
      </c>
    </row>
    <row r="15" spans="1:29" ht="15">
      <c r="A15" s="2865" t="s">
        <v>2754</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7" t="s">
        <v>540</v>
      </c>
      <c r="Q15" s="1558" t="str">
        <f t="shared" si="6"/>
        <v>商业繁华度</v>
      </c>
      <c r="R15" s="1559" t="s">
        <v>8</v>
      </c>
      <c r="S15" s="1560">
        <f t="shared" si="0"/>
        <v>100</v>
      </c>
      <c r="T15" s="1559" t="s">
        <v>8</v>
      </c>
      <c r="U15" s="1560">
        <f t="shared" si="1"/>
        <v>100</v>
      </c>
      <c r="V15" s="1559" t="s">
        <v>8</v>
      </c>
      <c r="W15" s="1560">
        <f t="shared" si="2"/>
        <v>100</v>
      </c>
      <c r="X15" s="1553"/>
      <c r="Y15" s="337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8"/>
      <c r="Q16" s="1558"/>
      <c r="R16" s="1559"/>
      <c r="S16" s="1560"/>
      <c r="T16" s="1559"/>
      <c r="U16" s="1560"/>
      <c r="V16" s="1559"/>
      <c r="W16" s="1560"/>
      <c r="X16" s="1553"/>
      <c r="Y16" s="3378"/>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78"/>
      <c r="Q17" s="1558" t="str">
        <f>B17</f>
        <v>交通便捷度</v>
      </c>
      <c r="R17" s="1559" t="s">
        <v>8</v>
      </c>
      <c r="S17" s="1560">
        <f>F17</f>
        <v>100</v>
      </c>
      <c r="T17" s="1559" t="s">
        <v>8</v>
      </c>
      <c r="U17" s="1560">
        <f>H17</f>
        <v>100</v>
      </c>
      <c r="V17" s="1559" t="s">
        <v>8</v>
      </c>
      <c r="W17" s="1560">
        <f>J17</f>
        <v>100</v>
      </c>
      <c r="X17" s="1553"/>
      <c r="Y17" s="337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8"/>
      <c r="Q18" s="1558"/>
      <c r="R18" s="1559"/>
      <c r="S18" s="1560"/>
      <c r="T18" s="1559"/>
      <c r="U18" s="1560"/>
      <c r="V18" s="1559"/>
      <c r="W18" s="1560"/>
      <c r="X18" s="1553"/>
      <c r="Y18" s="3378"/>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78"/>
      <c r="Q19" s="1558" t="str">
        <f>B19</f>
        <v>公共配套设施</v>
      </c>
      <c r="R19" s="1559" t="s">
        <v>8</v>
      </c>
      <c r="S19" s="1560">
        <f>F19</f>
        <v>100</v>
      </c>
      <c r="T19" s="1559" t="s">
        <v>8</v>
      </c>
      <c r="U19" s="1560">
        <f>H19</f>
        <v>100</v>
      </c>
      <c r="V19" s="1559" t="s">
        <v>8</v>
      </c>
      <c r="W19" s="1560">
        <f>J19</f>
        <v>100</v>
      </c>
      <c r="X19" s="1553"/>
      <c r="Y19" s="337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78"/>
      <c r="Q20" s="1558"/>
      <c r="R20" s="1559"/>
      <c r="S20" s="1560"/>
      <c r="T20" s="1559"/>
      <c r="U20" s="1560"/>
      <c r="V20" s="1559"/>
      <c r="W20" s="1560"/>
      <c r="X20" s="1553"/>
      <c r="Y20" s="3378"/>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78"/>
      <c r="Q21" s="2543" t="str">
        <f>B21</f>
        <v>基础设施水平</v>
      </c>
      <c r="R21" s="1559" t="s">
        <v>8</v>
      </c>
      <c r="S21" s="1560">
        <f>F21</f>
        <v>100</v>
      </c>
      <c r="T21" s="1559" t="s">
        <v>8</v>
      </c>
      <c r="U21" s="1560">
        <f>H21</f>
        <v>100</v>
      </c>
      <c r="V21" s="1559" t="s">
        <v>8</v>
      </c>
      <c r="W21" s="1560">
        <f>J21</f>
        <v>100</v>
      </c>
      <c r="X21" s="2545"/>
      <c r="Y21" s="3378"/>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78"/>
      <c r="Q22" s="2543"/>
      <c r="R22" s="1559"/>
      <c r="S22" s="1560"/>
      <c r="T22" s="1559"/>
      <c r="U22" s="1560"/>
      <c r="V22" s="1559"/>
      <c r="W22" s="1560"/>
      <c r="X22" s="2545"/>
      <c r="Y22" s="3378"/>
      <c r="Z22" s="2544"/>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78"/>
      <c r="Q23" s="1558" t="str">
        <f>B23</f>
        <v>自然及人文环境</v>
      </c>
      <c r="R23" s="1559" t="s">
        <v>8</v>
      </c>
      <c r="S23" s="1560">
        <f>F23</f>
        <v>100</v>
      </c>
      <c r="T23" s="1559" t="s">
        <v>8</v>
      </c>
      <c r="U23" s="1560">
        <f>H23</f>
        <v>100</v>
      </c>
      <c r="V23" s="1559" t="s">
        <v>8</v>
      </c>
      <c r="W23" s="1560">
        <f>J23</f>
        <v>100</v>
      </c>
      <c r="X23" s="1553"/>
      <c r="Y23" s="337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78"/>
      <c r="Q24" s="1558"/>
      <c r="R24" s="1559"/>
      <c r="S24" s="1560"/>
      <c r="T24" s="1559"/>
      <c r="U24" s="1560"/>
      <c r="V24" s="1559"/>
      <c r="W24" s="1560"/>
      <c r="X24" s="1553"/>
      <c r="Y24" s="337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78"/>
      <c r="Q25" s="1558" t="str">
        <f t="shared" ref="Q25:Q46" si="11">B25</f>
        <v>临街状况</v>
      </c>
      <c r="R25" s="1559" t="s">
        <v>8</v>
      </c>
      <c r="S25" s="1560">
        <f>F25</f>
        <v>100</v>
      </c>
      <c r="T25" s="1559" t="s">
        <v>8</v>
      </c>
      <c r="U25" s="1560">
        <f>H25</f>
        <v>100</v>
      </c>
      <c r="V25" s="1559" t="s">
        <v>8</v>
      </c>
      <c r="W25" s="1560">
        <f>J25</f>
        <v>100</v>
      </c>
      <c r="X25" s="1553"/>
      <c r="Y25" s="337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78"/>
      <c r="Q26" s="1558" t="str">
        <f t="shared" si="11"/>
        <v>平面位置/可视性</v>
      </c>
      <c r="R26" s="1559" t="s">
        <v>8</v>
      </c>
      <c r="S26" s="1560">
        <f>F26</f>
        <v>100</v>
      </c>
      <c r="T26" s="1559" t="s">
        <v>8</v>
      </c>
      <c r="U26" s="1560">
        <f>H26</f>
        <v>100</v>
      </c>
      <c r="V26" s="1559" t="s">
        <v>8</v>
      </c>
      <c r="W26" s="1560">
        <f>J26</f>
        <v>100</v>
      </c>
      <c r="X26" s="1553"/>
      <c r="Y26" s="3378"/>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78"/>
      <c r="Q27" s="1147" t="str">
        <f t="shared" si="11"/>
        <v>人流量</v>
      </c>
      <c r="R27" s="1554" t="s">
        <v>8</v>
      </c>
      <c r="S27" s="1555">
        <f>F27</f>
        <v>100</v>
      </c>
      <c r="T27" s="1554" t="s">
        <v>8</v>
      </c>
      <c r="U27" s="1555">
        <f>H27</f>
        <v>100</v>
      </c>
      <c r="V27" s="1554" t="s">
        <v>8</v>
      </c>
      <c r="W27" s="1555">
        <f>J27</f>
        <v>100</v>
      </c>
      <c r="X27" s="1556"/>
      <c r="Y27" s="3378"/>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7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7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78"/>
      <c r="Q29" s="1558">
        <f t="shared" si="11"/>
        <v>111</v>
      </c>
      <c r="R29" s="1559" t="s">
        <v>8</v>
      </c>
      <c r="S29" s="1560">
        <f t="shared" si="12"/>
        <v>100</v>
      </c>
      <c r="T29" s="1559" t="s">
        <v>8</v>
      </c>
      <c r="U29" s="1560">
        <f t="shared" si="13"/>
        <v>100</v>
      </c>
      <c r="V29" s="1559" t="s">
        <v>8</v>
      </c>
      <c r="W29" s="1560">
        <f t="shared" si="14"/>
        <v>100</v>
      </c>
      <c r="X29" s="1553"/>
      <c r="Y29" s="337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78"/>
      <c r="Q30" s="1558">
        <f t="shared" si="11"/>
        <v>111</v>
      </c>
      <c r="R30" s="1559" t="s">
        <v>8</v>
      </c>
      <c r="S30" s="1560">
        <f t="shared" si="12"/>
        <v>100</v>
      </c>
      <c r="T30" s="1559" t="s">
        <v>8</v>
      </c>
      <c r="U30" s="1560">
        <f t="shared" si="13"/>
        <v>100</v>
      </c>
      <c r="V30" s="1559" t="s">
        <v>8</v>
      </c>
      <c r="W30" s="1560">
        <f t="shared" si="14"/>
        <v>100</v>
      </c>
      <c r="X30" s="1553"/>
      <c r="Y30" s="337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78"/>
      <c r="Q31" s="1558">
        <f t="shared" si="11"/>
        <v>111</v>
      </c>
      <c r="R31" s="1559" t="s">
        <v>8</v>
      </c>
      <c r="S31" s="1560">
        <f t="shared" si="12"/>
        <v>100</v>
      </c>
      <c r="T31" s="1559" t="s">
        <v>8</v>
      </c>
      <c r="U31" s="1560">
        <f t="shared" si="13"/>
        <v>100</v>
      </c>
      <c r="V31" s="1559" t="s">
        <v>8</v>
      </c>
      <c r="W31" s="1560">
        <f t="shared" si="14"/>
        <v>100</v>
      </c>
      <c r="X31" s="1553"/>
      <c r="Y31" s="3378"/>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79" t="s">
        <v>550</v>
      </c>
      <c r="Q32" s="1558" t="str">
        <f t="shared" si="11"/>
        <v>商业类型</v>
      </c>
      <c r="R32" s="1559" t="s">
        <v>8</v>
      </c>
      <c r="S32" s="1560">
        <f t="shared" si="12"/>
        <v>100</v>
      </c>
      <c r="T32" s="1559" t="s">
        <v>8</v>
      </c>
      <c r="U32" s="1560">
        <f t="shared" si="13"/>
        <v>100</v>
      </c>
      <c r="V32" s="1559" t="s">
        <v>8</v>
      </c>
      <c r="W32" s="1560">
        <f t="shared" si="14"/>
        <v>100</v>
      </c>
      <c r="X32" s="1553"/>
      <c r="Y32" s="3380"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0"/>
      <c r="Q33" s="1590" t="str">
        <f t="shared" si="11"/>
        <v>项目建筑规模</v>
      </c>
      <c r="R33" s="1563" t="s">
        <v>8</v>
      </c>
      <c r="S33" s="1564" t="e">
        <f t="shared" si="12"/>
        <v>#N/A</v>
      </c>
      <c r="T33" s="1563" t="s">
        <v>8</v>
      </c>
      <c r="U33" s="1564" t="e">
        <f t="shared" si="13"/>
        <v>#N/A</v>
      </c>
      <c r="V33" s="1563" t="s">
        <v>8</v>
      </c>
      <c r="W33" s="1564" t="e">
        <f t="shared" si="14"/>
        <v>#N/A</v>
      </c>
      <c r="X33" s="1565"/>
      <c r="Y33" s="3380"/>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0"/>
      <c r="Q34" s="1558" t="str">
        <f t="shared" si="11"/>
        <v>建筑结构</v>
      </c>
      <c r="R34" s="1559" t="s">
        <v>8</v>
      </c>
      <c r="S34" s="1560">
        <f t="shared" si="12"/>
        <v>100</v>
      </c>
      <c r="T34" s="1559" t="s">
        <v>8</v>
      </c>
      <c r="U34" s="1560">
        <f t="shared" si="13"/>
        <v>100</v>
      </c>
      <c r="V34" s="1559" t="s">
        <v>8</v>
      </c>
      <c r="W34" s="1560">
        <f t="shared" si="14"/>
        <v>100</v>
      </c>
      <c r="X34" s="1553"/>
      <c r="Y34" s="338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0"/>
      <c r="Q35" s="1558" t="str">
        <f t="shared" si="11"/>
        <v>公共部分装修</v>
      </c>
      <c r="R35" s="1559" t="s">
        <v>8</v>
      </c>
      <c r="S35" s="1560">
        <f t="shared" si="12"/>
        <v>100</v>
      </c>
      <c r="T35" s="1559" t="s">
        <v>8</v>
      </c>
      <c r="U35" s="1560">
        <f t="shared" si="13"/>
        <v>100</v>
      </c>
      <c r="V35" s="1559" t="s">
        <v>8</v>
      </c>
      <c r="W35" s="1560">
        <f t="shared" si="14"/>
        <v>100</v>
      </c>
      <c r="X35" s="1553"/>
      <c r="Y35" s="3380"/>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0"/>
      <c r="Q36" s="1558" t="str">
        <f t="shared" si="11"/>
        <v>成新度</v>
      </c>
      <c r="R36" s="1559" t="s">
        <v>8</v>
      </c>
      <c r="S36" s="1560" t="e">
        <f t="shared" si="12"/>
        <v>#N/A</v>
      </c>
      <c r="T36" s="1559" t="s">
        <v>8</v>
      </c>
      <c r="U36" s="1560" t="e">
        <f t="shared" si="13"/>
        <v>#N/A</v>
      </c>
      <c r="V36" s="1559" t="s">
        <v>8</v>
      </c>
      <c r="W36" s="1560" t="e">
        <f t="shared" si="14"/>
        <v>#N/A</v>
      </c>
      <c r="X36" s="1553"/>
      <c r="Y36" s="3380"/>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0"/>
      <c r="Q37" s="1147" t="str">
        <f t="shared" si="11"/>
        <v>市政基础设施</v>
      </c>
      <c r="R37" s="1554" t="s">
        <v>8</v>
      </c>
      <c r="S37" s="1555">
        <f t="shared" si="12"/>
        <v>100</v>
      </c>
      <c r="T37" s="1554" t="s">
        <v>8</v>
      </c>
      <c r="U37" s="1555">
        <f t="shared" si="13"/>
        <v>100</v>
      </c>
      <c r="V37" s="1554" t="s">
        <v>8</v>
      </c>
      <c r="W37" s="1555">
        <f t="shared" si="14"/>
        <v>100</v>
      </c>
      <c r="X37" s="1556"/>
      <c r="Y37" s="3380"/>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0" t="s">
        <v>766</v>
      </c>
      <c r="Q38" s="1558" t="str">
        <f t="shared" si="11"/>
        <v>业态</v>
      </c>
      <c r="R38" s="1559" t="s">
        <v>8</v>
      </c>
      <c r="S38" s="1560">
        <f t="shared" si="12"/>
        <v>100</v>
      </c>
      <c r="T38" s="1559" t="s">
        <v>8</v>
      </c>
      <c r="U38" s="1560">
        <f t="shared" si="13"/>
        <v>100</v>
      </c>
      <c r="V38" s="1559" t="s">
        <v>8</v>
      </c>
      <c r="W38" s="1560">
        <f t="shared" si="14"/>
        <v>100</v>
      </c>
      <c r="X38" s="1553"/>
      <c r="Y38" s="338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0"/>
      <c r="Q39" s="1558" t="str">
        <f t="shared" si="11"/>
        <v>层高</v>
      </c>
      <c r="R39" s="1559" t="s">
        <v>8</v>
      </c>
      <c r="S39" s="1560">
        <f t="shared" si="12"/>
        <v>100</v>
      </c>
      <c r="T39" s="1559" t="s">
        <v>8</v>
      </c>
      <c r="U39" s="1560">
        <f t="shared" si="13"/>
        <v>100</v>
      </c>
      <c r="V39" s="1559" t="s">
        <v>8</v>
      </c>
      <c r="W39" s="1560">
        <f t="shared" si="14"/>
        <v>100</v>
      </c>
      <c r="X39" s="1553"/>
      <c r="Y39" s="3380"/>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0"/>
      <c r="Q40" s="1558" t="str">
        <f t="shared" si="11"/>
        <v>单套建筑面积</v>
      </c>
      <c r="R40" s="1559" t="s">
        <v>8</v>
      </c>
      <c r="S40" s="1560">
        <f t="shared" si="12"/>
        <v>100</v>
      </c>
      <c r="T40" s="1559" t="s">
        <v>8</v>
      </c>
      <c r="U40" s="1560">
        <f t="shared" si="13"/>
        <v>100</v>
      </c>
      <c r="V40" s="1559" t="s">
        <v>8</v>
      </c>
      <c r="W40" s="1560">
        <f t="shared" si="14"/>
        <v>100</v>
      </c>
      <c r="X40" s="1553"/>
      <c r="Y40" s="3380"/>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0"/>
      <c r="Q41" s="1590" t="str">
        <f t="shared" si="11"/>
        <v>进深比</v>
      </c>
      <c r="R41" s="1563" t="s">
        <v>8</v>
      </c>
      <c r="S41" s="1564">
        <f t="shared" si="12"/>
        <v>100</v>
      </c>
      <c r="T41" s="1563" t="s">
        <v>8</v>
      </c>
      <c r="U41" s="1564">
        <f t="shared" si="13"/>
        <v>100</v>
      </c>
      <c r="V41" s="1563" t="s">
        <v>8</v>
      </c>
      <c r="W41" s="1564">
        <f t="shared" si="14"/>
        <v>100</v>
      </c>
      <c r="X41" s="1565"/>
      <c r="Y41" s="338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0"/>
      <c r="Q42" s="1558" t="str">
        <f t="shared" si="11"/>
        <v>内部装修</v>
      </c>
      <c r="R42" s="1559" t="s">
        <v>8</v>
      </c>
      <c r="S42" s="1560">
        <f t="shared" si="12"/>
        <v>100</v>
      </c>
      <c r="T42" s="1559" t="s">
        <v>8</v>
      </c>
      <c r="U42" s="1560">
        <f t="shared" si="13"/>
        <v>100</v>
      </c>
      <c r="V42" s="1559" t="s">
        <v>8</v>
      </c>
      <c r="W42" s="1560">
        <f t="shared" si="14"/>
        <v>100</v>
      </c>
      <c r="X42" s="1553"/>
      <c r="Y42" s="3380"/>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0"/>
      <c r="Q43" s="1558" t="str">
        <f t="shared" si="11"/>
        <v>内部装修维护情况</v>
      </c>
      <c r="R43" s="1559" t="s">
        <v>8</v>
      </c>
      <c r="S43" s="1560">
        <f t="shared" si="12"/>
        <v>100</v>
      </c>
      <c r="T43" s="1559" t="s">
        <v>8</v>
      </c>
      <c r="U43" s="1560">
        <f t="shared" si="13"/>
        <v>100</v>
      </c>
      <c r="V43" s="1559" t="s">
        <v>8</v>
      </c>
      <c r="W43" s="1560">
        <f t="shared" si="14"/>
        <v>100</v>
      </c>
      <c r="X43" s="1553"/>
      <c r="Y43" s="338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0"/>
      <c r="Q44" s="1147">
        <f t="shared" si="11"/>
        <v>111</v>
      </c>
      <c r="R44" s="1554" t="s">
        <v>8</v>
      </c>
      <c r="S44" s="1555">
        <f t="shared" si="12"/>
        <v>100</v>
      </c>
      <c r="T44" s="1554" t="s">
        <v>8</v>
      </c>
      <c r="U44" s="1555">
        <f t="shared" si="13"/>
        <v>100</v>
      </c>
      <c r="V44" s="1554" t="s">
        <v>8</v>
      </c>
      <c r="W44" s="1555">
        <f t="shared" si="14"/>
        <v>100</v>
      </c>
      <c r="X44" s="1556"/>
      <c r="Y44" s="338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0"/>
      <c r="Q45" s="1558">
        <f t="shared" si="11"/>
        <v>111</v>
      </c>
      <c r="R45" s="1559" t="s">
        <v>8</v>
      </c>
      <c r="S45" s="1560">
        <f t="shared" si="12"/>
        <v>100</v>
      </c>
      <c r="T45" s="1559" t="s">
        <v>8</v>
      </c>
      <c r="U45" s="1560">
        <f t="shared" si="13"/>
        <v>100</v>
      </c>
      <c r="V45" s="1559" t="s">
        <v>8</v>
      </c>
      <c r="W45" s="1560">
        <f t="shared" si="14"/>
        <v>100</v>
      </c>
      <c r="X45" s="1553"/>
      <c r="Y45" s="338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2"/>
      <c r="Q46" s="1558">
        <f t="shared" si="11"/>
        <v>111</v>
      </c>
      <c r="R46" s="1559" t="s">
        <v>8</v>
      </c>
      <c r="S46" s="1560">
        <f t="shared" si="12"/>
        <v>100</v>
      </c>
      <c r="T46" s="1559" t="s">
        <v>8</v>
      </c>
      <c r="U46" s="1560">
        <f t="shared" si="13"/>
        <v>100</v>
      </c>
      <c r="V46" s="1559" t="s">
        <v>8</v>
      </c>
      <c r="W46" s="1560">
        <f t="shared" si="14"/>
        <v>100</v>
      </c>
      <c r="X46" s="1553"/>
      <c r="Y46" s="3482"/>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5" t="str">
        <f>A47</f>
        <v>成交单价（元/平方米）</v>
      </c>
      <c r="Q47" s="3375"/>
      <c r="R47" s="3481">
        <f>E47</f>
        <v>0</v>
      </c>
      <c r="S47" s="3481"/>
      <c r="T47" s="3481">
        <f>G47</f>
        <v>0</v>
      </c>
      <c r="U47" s="3481"/>
      <c r="V47" s="3481">
        <f>I47</f>
        <v>0</v>
      </c>
      <c r="W47" s="3481"/>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75" t="str">
        <f>A48</f>
        <v>比较价格（元/平方米）</v>
      </c>
      <c r="Q48" s="3375"/>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8"/>
      <c r="L49" s="2129"/>
      <c r="M49" s="2130"/>
      <c r="N49" s="2119"/>
      <c r="O49" s="2130"/>
      <c r="P49" s="3398" t="str">
        <f>A49</f>
        <v>估价对象XX用房的比较价格（楼面单价，元/平方米）</v>
      </c>
      <c r="Q49" s="3399"/>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D24" zoomScale="70" zoomScaleNormal="70" workbookViewId="0">
      <selection activeCell="E53" sqref="E53"/>
    </sheetView>
  </sheetViews>
  <sheetFormatPr defaultColWidth="9" defaultRowHeight="14.25"/>
  <cols>
    <col min="1" max="1" width="10.5" style="1333" customWidth="1"/>
    <col min="2" max="2" width="15.75" style="1333" customWidth="1"/>
    <col min="3" max="3" width="18"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t="s">
        <v>1677</v>
      </c>
      <c r="E1" s="506"/>
      <c r="F1" s="2762" t="s">
        <v>3027</v>
      </c>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f>ROUND(B3*D3/10000,0)</f>
        <v>62290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f>C50</f>
        <v>10481</v>
      </c>
      <c r="C3" s="852" t="s">
        <v>722</v>
      </c>
      <c r="D3" s="851">
        <f>SUMIF('数据-汇总表'!$C19:$C33,D1,'数据-汇总表'!$E19:$E33)</f>
        <v>59430.919999999984</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1" t="s">
        <v>522</v>
      </c>
      <c r="D4" s="3382"/>
      <c r="E4" s="3407" t="s">
        <v>523</v>
      </c>
      <c r="F4" s="3408"/>
      <c r="G4" s="3381" t="s">
        <v>524</v>
      </c>
      <c r="H4" s="3382"/>
      <c r="I4" s="3381" t="s">
        <v>525</v>
      </c>
      <c r="J4" s="3382"/>
      <c r="K4" s="514" t="s">
        <v>526</v>
      </c>
      <c r="L4" s="2118"/>
      <c r="M4" s="2119"/>
      <c r="N4" s="2119"/>
      <c r="O4" s="2119"/>
      <c r="P4" s="3485" t="s">
        <v>527</v>
      </c>
      <c r="Q4" s="3384"/>
      <c r="R4" s="3369" t="s">
        <v>523</v>
      </c>
      <c r="S4" s="3370"/>
      <c r="T4" s="3369" t="s">
        <v>524</v>
      </c>
      <c r="U4" s="3370"/>
      <c r="V4" s="3389" t="s">
        <v>525</v>
      </c>
      <c r="W4" s="3389"/>
      <c r="X4" s="1553"/>
      <c r="Y4" s="3369" t="s">
        <v>527</v>
      </c>
      <c r="Z4" s="3370"/>
      <c r="AA4" s="3364" t="s">
        <v>523</v>
      </c>
      <c r="AB4" s="3364" t="s">
        <v>524</v>
      </c>
      <c r="AC4" s="3364" t="s">
        <v>525</v>
      </c>
    </row>
    <row r="5" spans="1:29" ht="15">
      <c r="A5" s="515"/>
      <c r="B5" s="516"/>
      <c r="C5" s="3394" t="s">
        <v>3066</v>
      </c>
      <c r="D5" s="3393"/>
      <c r="E5" s="3483" t="s">
        <v>3029</v>
      </c>
      <c r="F5" s="3410"/>
      <c r="G5" s="3394" t="s">
        <v>3040</v>
      </c>
      <c r="H5" s="3393"/>
      <c r="I5" s="3394" t="s">
        <v>3042</v>
      </c>
      <c r="J5" s="3393"/>
      <c r="K5" s="514"/>
      <c r="L5" s="2118"/>
      <c r="M5" s="2119"/>
      <c r="N5" s="2119"/>
      <c r="O5" s="2119"/>
      <c r="P5" s="3486"/>
      <c r="Q5" s="3386"/>
      <c r="R5" s="3371"/>
      <c r="S5" s="3372"/>
      <c r="T5" s="3371"/>
      <c r="U5" s="3372"/>
      <c r="V5" s="3389"/>
      <c r="W5" s="3389"/>
      <c r="X5" s="1553"/>
      <c r="Y5" s="3371"/>
      <c r="Z5" s="3372"/>
      <c r="AA5" s="3365"/>
      <c r="AB5" s="3365"/>
      <c r="AC5" s="3365"/>
    </row>
    <row r="6" spans="1:29" ht="15.75" thickBot="1">
      <c r="A6" s="517"/>
      <c r="B6" s="518"/>
      <c r="C6" s="3395" t="s">
        <v>3067</v>
      </c>
      <c r="D6" s="3391"/>
      <c r="E6" s="3484" t="s">
        <v>3030</v>
      </c>
      <c r="F6" s="3412"/>
      <c r="G6" s="3395" t="s">
        <v>3041</v>
      </c>
      <c r="H6" s="3391"/>
      <c r="I6" s="3395" t="s">
        <v>3043</v>
      </c>
      <c r="J6" s="3391"/>
      <c r="K6" s="514" t="s">
        <v>528</v>
      </c>
      <c r="L6" s="2118"/>
      <c r="M6" s="2119"/>
      <c r="N6" s="2119"/>
      <c r="O6" s="2119"/>
      <c r="P6" s="3487"/>
      <c r="Q6" s="3388"/>
      <c r="R6" s="3371"/>
      <c r="S6" s="3372"/>
      <c r="T6" s="3373"/>
      <c r="U6" s="3374"/>
      <c r="V6" s="3389"/>
      <c r="W6" s="3389"/>
      <c r="X6" s="1553"/>
      <c r="Y6" s="3373"/>
      <c r="Z6" s="3374"/>
      <c r="AA6" s="3366"/>
      <c r="AB6" s="3366"/>
      <c r="AC6" s="3366"/>
    </row>
    <row r="7" spans="1:29" s="1216" customFormat="1" ht="15.75" thickBot="1">
      <c r="A7" s="2867"/>
      <c r="B7" s="2874" t="s">
        <v>529</v>
      </c>
      <c r="C7" s="519">
        <f>'数据-取费表'!B2</f>
        <v>43693</v>
      </c>
      <c r="D7" s="520">
        <v>100</v>
      </c>
      <c r="E7" s="521">
        <v>43678</v>
      </c>
      <c r="F7" s="522">
        <f>SUMIF(59:59,YEAR(E7)&amp;"-"&amp;MONTH(E7),60:60)</f>
        <v>100</v>
      </c>
      <c r="G7" s="521">
        <v>43678</v>
      </c>
      <c r="H7" s="520">
        <f>SUMIF(59:59,YEAR(G7)&amp;"-"&amp;MONTH(G7),60:60)</f>
        <v>100</v>
      </c>
      <c r="I7" s="521">
        <v>43678</v>
      </c>
      <c r="J7" s="520">
        <f>SUMIF(59:59,YEAR(I7)&amp;"-"&amp;MONTH(I7),60:60)</f>
        <v>100</v>
      </c>
      <c r="K7" s="524"/>
      <c r="L7" s="2120"/>
      <c r="M7" s="2121"/>
      <c r="N7" s="2121"/>
      <c r="O7" s="2121"/>
      <c r="P7" s="3376" t="s">
        <v>530</v>
      </c>
      <c r="Q7" s="3376"/>
      <c r="R7" s="1554" t="s">
        <v>8</v>
      </c>
      <c r="S7" s="1555">
        <f t="shared" ref="S7:S15" si="0">F7</f>
        <v>100</v>
      </c>
      <c r="T7" s="1554" t="s">
        <v>8</v>
      </c>
      <c r="U7" s="1555">
        <f t="shared" ref="U7:U15" si="1">H7</f>
        <v>100</v>
      </c>
      <c r="V7" s="1554" t="s">
        <v>8</v>
      </c>
      <c r="W7" s="1555">
        <f t="shared" ref="W7:W15" si="2">J7</f>
        <v>100</v>
      </c>
      <c r="X7" s="1556"/>
      <c r="Y7" s="3367" t="s">
        <v>530</v>
      </c>
      <c r="Z7" s="3368"/>
      <c r="AA7" s="1557">
        <f>D7/F7</f>
        <v>1</v>
      </c>
      <c r="AB7" s="1557">
        <f>D7/H7</f>
        <v>1</v>
      </c>
      <c r="AC7" s="1557">
        <f>D7/J7</f>
        <v>1</v>
      </c>
    </row>
    <row r="8" spans="1:29" s="1216" customFormat="1" ht="15.75" thickBot="1">
      <c r="A8" s="2868"/>
      <c r="B8" s="2875"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20"/>
      <c r="M8" s="2121"/>
      <c r="N8" s="2121"/>
      <c r="O8" s="2121"/>
      <c r="P8" s="3376" t="s">
        <v>533</v>
      </c>
      <c r="Q8" s="3368"/>
      <c r="R8" s="1554" t="s">
        <v>8</v>
      </c>
      <c r="S8" s="1555">
        <f t="shared" si="0"/>
        <v>100</v>
      </c>
      <c r="T8" s="1554" t="s">
        <v>8</v>
      </c>
      <c r="U8" s="1555">
        <f t="shared" si="1"/>
        <v>100</v>
      </c>
      <c r="V8" s="1554" t="s">
        <v>8</v>
      </c>
      <c r="W8" s="1555">
        <f t="shared" si="2"/>
        <v>100</v>
      </c>
      <c r="X8" s="1556"/>
      <c r="Y8" s="3367" t="s">
        <v>533</v>
      </c>
      <c r="Z8" s="3368"/>
      <c r="AA8" s="1557">
        <f t="shared" ref="AA8:AA47" si="3">D8/F8</f>
        <v>1</v>
      </c>
      <c r="AB8" s="1557">
        <f t="shared" ref="AB8:AB47" si="4">D8/H8</f>
        <v>1</v>
      </c>
      <c r="AC8" s="1557">
        <f t="shared" ref="AC8:AC47" si="5">D8/J8</f>
        <v>1</v>
      </c>
    </row>
    <row r="9" spans="1:29" s="1216" customFormat="1" ht="15">
      <c r="A9" s="2869"/>
      <c r="B9" s="2876" t="s">
        <v>2756</v>
      </c>
      <c r="C9" s="3184" t="s">
        <v>3039</v>
      </c>
      <c r="D9" s="254">
        <v>100</v>
      </c>
      <c r="E9" s="860" t="s">
        <v>1677</v>
      </c>
      <c r="F9" s="254">
        <f>SUMIF(64:64,E9,65:65)-SUMIF(64:64,C9,65:65)+100</f>
        <v>100</v>
      </c>
      <c r="G9" s="860" t="s">
        <v>1677</v>
      </c>
      <c r="H9" s="254">
        <f>SUMIF(64:64,G9,65:65)-SUMIF(64:64,C9,65:65)+100</f>
        <v>100</v>
      </c>
      <c r="I9" s="860" t="s">
        <v>1677</v>
      </c>
      <c r="J9" s="254">
        <f>SUMIF(64:64,I9,65:65)-SUMIF(64:64,C9,65:65)+100</f>
        <v>100</v>
      </c>
      <c r="K9" s="524"/>
      <c r="L9" s="2120"/>
      <c r="M9" s="2121"/>
      <c r="N9" s="2121"/>
      <c r="O9" s="2121"/>
      <c r="P9" s="3375" t="s">
        <v>535</v>
      </c>
      <c r="Q9" s="1147" t="str">
        <f t="shared" ref="Q9:Q15" si="6">B9</f>
        <v>用途</v>
      </c>
      <c r="R9" s="1554" t="s">
        <v>8</v>
      </c>
      <c r="S9" s="1555">
        <f t="shared" si="0"/>
        <v>100</v>
      </c>
      <c r="T9" s="1554" t="s">
        <v>8</v>
      </c>
      <c r="U9" s="1555">
        <f t="shared" si="1"/>
        <v>100</v>
      </c>
      <c r="V9" s="1554" t="s">
        <v>8</v>
      </c>
      <c r="W9" s="1555">
        <f t="shared" si="2"/>
        <v>100</v>
      </c>
      <c r="X9" s="1556"/>
      <c r="Y9" s="3332" t="s">
        <v>536</v>
      </c>
      <c r="Z9" s="1146" t="str">
        <f t="shared" ref="Z9:Z15" si="7">Q9</f>
        <v>用途</v>
      </c>
      <c r="AA9" s="1557">
        <f t="shared" si="3"/>
        <v>1</v>
      </c>
      <c r="AB9" s="1557">
        <f t="shared" si="4"/>
        <v>1</v>
      </c>
      <c r="AC9" s="1557">
        <f t="shared" si="5"/>
        <v>1</v>
      </c>
    </row>
    <row r="10" spans="1:29" s="1334" customFormat="1" ht="27">
      <c r="A10" s="2870"/>
      <c r="B10" s="2875" t="s">
        <v>2757</v>
      </c>
      <c r="C10" s="861" t="s">
        <v>3028</v>
      </c>
      <c r="D10" s="255">
        <v>100</v>
      </c>
      <c r="E10" s="861" t="s">
        <v>3028</v>
      </c>
      <c r="F10" s="255">
        <f>SUMIF(66:66,E10,67:67)-SUMIF(66:66,C10,67:67)+100</f>
        <v>100</v>
      </c>
      <c r="G10" s="861" t="s">
        <v>3028</v>
      </c>
      <c r="H10" s="255">
        <f>SUMIF(66:66,G10,67:67)-SUMIF(66:66,C10,67:67)+100</f>
        <v>100</v>
      </c>
      <c r="I10" s="861" t="s">
        <v>3028</v>
      </c>
      <c r="J10" s="255">
        <f>SUMIF(66:66,I10,67:67)-SUMIF(66:66,C10,67:67)+100</f>
        <v>100</v>
      </c>
      <c r="K10" s="584">
        <v>1</v>
      </c>
      <c r="L10" s="2123"/>
      <c r="M10" s="2163"/>
      <c r="N10" s="2163"/>
      <c r="O10" s="2163"/>
      <c r="P10" s="3375"/>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75" thickBot="1">
      <c r="A11" s="2871"/>
      <c r="B11" s="2875" t="s">
        <v>2758</v>
      </c>
      <c r="C11" s="533">
        <f>'数据-汇总表'!I6</f>
        <v>1.2</v>
      </c>
      <c r="D11" s="255">
        <v>100</v>
      </c>
      <c r="E11" s="533">
        <v>1.24</v>
      </c>
      <c r="F11" s="255">
        <f>LOOKUP(E11,69:69,70:70)-LOOKUP(C11,69:69,70:70)+100</f>
        <v>100</v>
      </c>
      <c r="G11" s="534">
        <v>1.5</v>
      </c>
      <c r="H11" s="255">
        <f>LOOKUP(G11,69:69,70:70)-LOOKUP(C11,69:69,70:70)+100</f>
        <v>100</v>
      </c>
      <c r="I11" s="533">
        <v>3.27</v>
      </c>
      <c r="J11" s="255">
        <f>LOOKUP(I11,69:69,70:70)-LOOKUP(C11,69:69,70:70)+100</f>
        <v>96</v>
      </c>
      <c r="K11" s="584">
        <v>2</v>
      </c>
      <c r="L11" s="2125"/>
      <c r="M11" s="2119"/>
      <c r="N11" s="2119"/>
      <c r="O11" s="2119"/>
      <c r="P11" s="3375"/>
      <c r="Q11" s="1147" t="str">
        <f t="shared" si="6"/>
        <v>容积率</v>
      </c>
      <c r="R11" s="1554" t="s">
        <v>8</v>
      </c>
      <c r="S11" s="1555">
        <f t="shared" si="0"/>
        <v>100</v>
      </c>
      <c r="T11" s="1554" t="s">
        <v>8</v>
      </c>
      <c r="U11" s="1555">
        <f t="shared" si="1"/>
        <v>100</v>
      </c>
      <c r="V11" s="1554" t="s">
        <v>8</v>
      </c>
      <c r="W11" s="1555">
        <f t="shared" si="2"/>
        <v>96</v>
      </c>
      <c r="X11" s="1556"/>
      <c r="Y11" s="3332"/>
      <c r="Z11" s="1146" t="str">
        <f t="shared" si="7"/>
        <v>容积率</v>
      </c>
      <c r="AA11" s="1557">
        <f t="shared" si="3"/>
        <v>1</v>
      </c>
      <c r="AB11" s="1557">
        <f t="shared" si="4"/>
        <v>1</v>
      </c>
      <c r="AC11" s="1557">
        <f t="shared" si="5"/>
        <v>1.0416666666666667</v>
      </c>
    </row>
    <row r="12" spans="1:29" s="1216" customFormat="1" ht="15" hidden="1">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5"/>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 hidden="1">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5"/>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75" hidden="1"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5"/>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 t="shared" si="3"/>
        <v>1</v>
      </c>
      <c r="AB14" s="1557">
        <f t="shared" si="4"/>
        <v>1</v>
      </c>
      <c r="AC14" s="1557">
        <f t="shared" si="5"/>
        <v>1</v>
      </c>
    </row>
    <row r="15" spans="1:29" ht="15">
      <c r="A15" s="2865" t="s">
        <v>2754</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7"/>
      <c r="M15" s="2119"/>
      <c r="N15" s="2119"/>
      <c r="O15" s="2119"/>
      <c r="P15" s="3377" t="s">
        <v>540</v>
      </c>
      <c r="Q15" s="1558" t="str">
        <f t="shared" si="6"/>
        <v>办公集聚程度</v>
      </c>
      <c r="R15" s="1559" t="s">
        <v>8</v>
      </c>
      <c r="S15" s="1560">
        <f t="shared" si="0"/>
        <v>100</v>
      </c>
      <c r="T15" s="1559" t="s">
        <v>8</v>
      </c>
      <c r="U15" s="1560">
        <f t="shared" si="1"/>
        <v>100</v>
      </c>
      <c r="V15" s="1559" t="s">
        <v>8</v>
      </c>
      <c r="W15" s="1560">
        <f t="shared" si="2"/>
        <v>100</v>
      </c>
      <c r="X15" s="1553"/>
      <c r="Y15" s="3377" t="s">
        <v>540</v>
      </c>
      <c r="Z15" s="1561" t="str">
        <f t="shared" si="7"/>
        <v>办公集聚程度</v>
      </c>
      <c r="AA15" s="1562">
        <f t="shared" si="3"/>
        <v>1</v>
      </c>
      <c r="AB15" s="1562">
        <f t="shared" si="4"/>
        <v>1</v>
      </c>
      <c r="AC15" s="1562">
        <f t="shared" si="5"/>
        <v>1</v>
      </c>
    </row>
    <row r="16" spans="1:29" ht="15">
      <c r="A16" s="532"/>
      <c r="B16" s="553"/>
      <c r="C16" s="554" t="s">
        <v>3047</v>
      </c>
      <c r="D16" s="555"/>
      <c r="E16" s="576" t="s">
        <v>3047</v>
      </c>
      <c r="F16" s="555"/>
      <c r="G16" s="576" t="s">
        <v>3047</v>
      </c>
      <c r="H16" s="559"/>
      <c r="I16" s="576" t="s">
        <v>3047</v>
      </c>
      <c r="J16" s="555"/>
      <c r="K16" s="899"/>
      <c r="L16" s="2127"/>
      <c r="M16" s="2119"/>
      <c r="N16" s="2119"/>
      <c r="O16" s="2119"/>
      <c r="P16" s="3378"/>
      <c r="Q16" s="1558"/>
      <c r="R16" s="1559"/>
      <c r="S16" s="1560"/>
      <c r="T16" s="1559"/>
      <c r="U16" s="1560"/>
      <c r="V16" s="1559"/>
      <c r="W16" s="1560"/>
      <c r="X16" s="1553"/>
      <c r="Y16" s="3378"/>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v>2</v>
      </c>
      <c r="L17" s="2127"/>
      <c r="M17" s="2119"/>
      <c r="N17" s="2119"/>
      <c r="O17" s="2119"/>
      <c r="P17" s="3378"/>
      <c r="Q17" s="1558" t="str">
        <f>B17</f>
        <v>交通便捷度</v>
      </c>
      <c r="R17" s="1559" t="s">
        <v>8</v>
      </c>
      <c r="S17" s="1560">
        <f>F17</f>
        <v>100</v>
      </c>
      <c r="T17" s="1559" t="s">
        <v>8</v>
      </c>
      <c r="U17" s="1560">
        <f>H17</f>
        <v>100</v>
      </c>
      <c r="V17" s="1559" t="s">
        <v>8</v>
      </c>
      <c r="W17" s="1560">
        <f>J17</f>
        <v>100</v>
      </c>
      <c r="X17" s="1553"/>
      <c r="Y17" s="3378"/>
      <c r="Z17" s="1561" t="str">
        <f>Q17</f>
        <v>交通便捷度</v>
      </c>
      <c r="AA17" s="1562">
        <f t="shared" si="3"/>
        <v>1</v>
      </c>
      <c r="AB17" s="1562">
        <f t="shared" si="4"/>
        <v>1</v>
      </c>
      <c r="AC17" s="1562">
        <f t="shared" si="5"/>
        <v>1</v>
      </c>
    </row>
    <row r="18" spans="1:29" ht="15">
      <c r="A18" s="532"/>
      <c r="B18" s="566"/>
      <c r="C18" s="567" t="s">
        <v>3048</v>
      </c>
      <c r="D18" s="559"/>
      <c r="E18" s="567" t="s">
        <v>3048</v>
      </c>
      <c r="F18" s="559"/>
      <c r="G18" s="567" t="s">
        <v>3048</v>
      </c>
      <c r="H18" s="555"/>
      <c r="I18" s="567" t="s">
        <v>3048</v>
      </c>
      <c r="J18" s="555"/>
      <c r="K18" s="899"/>
      <c r="L18" s="2127"/>
      <c r="M18" s="2119"/>
      <c r="N18" s="2119"/>
      <c r="O18" s="2119"/>
      <c r="P18" s="3378"/>
      <c r="Q18" s="1558"/>
      <c r="R18" s="1559"/>
      <c r="S18" s="1560"/>
      <c r="T18" s="1559"/>
      <c r="U18" s="1560"/>
      <c r="V18" s="1559"/>
      <c r="W18" s="1560"/>
      <c r="X18" s="1553"/>
      <c r="Y18" s="3378"/>
      <c r="Z18" s="1561"/>
      <c r="AA18" s="1562">
        <v>1</v>
      </c>
      <c r="AB18" s="1562">
        <v>1</v>
      </c>
      <c r="AC18" s="1562">
        <v>1</v>
      </c>
    </row>
    <row r="19" spans="1:29" ht="15">
      <c r="A19" s="532"/>
      <c r="B19" s="2567"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v>2</v>
      </c>
      <c r="L19" s="2127"/>
      <c r="M19" s="2119"/>
      <c r="N19" s="2119"/>
      <c r="O19" s="2119"/>
      <c r="P19" s="3378"/>
      <c r="Q19" s="1558" t="str">
        <f>B19</f>
        <v>公共配套设施</v>
      </c>
      <c r="R19" s="1559" t="s">
        <v>8</v>
      </c>
      <c r="S19" s="1560">
        <f>F19</f>
        <v>100</v>
      </c>
      <c r="T19" s="1559" t="s">
        <v>8</v>
      </c>
      <c r="U19" s="1560">
        <f>H19</f>
        <v>100</v>
      </c>
      <c r="V19" s="1559" t="s">
        <v>8</v>
      </c>
      <c r="W19" s="1560">
        <f>J19</f>
        <v>100</v>
      </c>
      <c r="X19" s="1553"/>
      <c r="Y19" s="3378"/>
      <c r="Z19" s="1561" t="str">
        <f>Q19</f>
        <v>公共配套设施</v>
      </c>
      <c r="AA19" s="1562">
        <f t="shared" si="3"/>
        <v>1</v>
      </c>
      <c r="AB19" s="1562">
        <f t="shared" si="4"/>
        <v>1</v>
      </c>
      <c r="AC19" s="1562">
        <f t="shared" si="5"/>
        <v>1</v>
      </c>
    </row>
    <row r="20" spans="1:29" ht="15">
      <c r="A20" s="532"/>
      <c r="B20" s="566"/>
      <c r="C20" s="554" t="s">
        <v>3047</v>
      </c>
      <c r="D20" s="555"/>
      <c r="E20" s="554" t="s">
        <v>3047</v>
      </c>
      <c r="F20" s="555"/>
      <c r="G20" s="554" t="s">
        <v>3047</v>
      </c>
      <c r="H20" s="555"/>
      <c r="I20" s="554" t="s">
        <v>3047</v>
      </c>
      <c r="J20" s="555"/>
      <c r="K20" s="899"/>
      <c r="L20" s="2127"/>
      <c r="M20" s="2119"/>
      <c r="N20" s="2119"/>
      <c r="O20" s="2119"/>
      <c r="P20" s="3378"/>
      <c r="Q20" s="1558"/>
      <c r="R20" s="1559"/>
      <c r="S20" s="1560"/>
      <c r="T20" s="1559"/>
      <c r="U20" s="1560"/>
      <c r="V20" s="1559"/>
      <c r="W20" s="1560"/>
      <c r="X20" s="1553"/>
      <c r="Y20" s="3378"/>
      <c r="Z20" s="1561"/>
      <c r="AA20" s="1562">
        <v>1</v>
      </c>
      <c r="AB20" s="1562">
        <v>1</v>
      </c>
      <c r="AC20" s="1562">
        <v>1</v>
      </c>
    </row>
    <row r="21" spans="1:29" ht="15">
      <c r="A21" s="532"/>
      <c r="B21" s="2555"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v>1</v>
      </c>
      <c r="L21" s="2127"/>
      <c r="M21" s="2119"/>
      <c r="N21" s="2119"/>
      <c r="O21" s="2119"/>
      <c r="P21" s="3378"/>
      <c r="Q21" s="2543" t="str">
        <f>B21</f>
        <v>基础设施水平</v>
      </c>
      <c r="R21" s="1559" t="s">
        <v>8</v>
      </c>
      <c r="S21" s="1560">
        <f>F21</f>
        <v>100</v>
      </c>
      <c r="T21" s="1559" t="s">
        <v>8</v>
      </c>
      <c r="U21" s="1560">
        <f>H21</f>
        <v>100</v>
      </c>
      <c r="V21" s="1559" t="s">
        <v>8</v>
      </c>
      <c r="W21" s="1560">
        <f>J21</f>
        <v>100</v>
      </c>
      <c r="X21" s="2545"/>
      <c r="Y21" s="3378"/>
      <c r="Z21" s="2544" t="str">
        <f>Q21</f>
        <v>基础设施水平</v>
      </c>
      <c r="AA21" s="1562">
        <f t="shared" ref="AA21" si="8">D21/F21</f>
        <v>1</v>
      </c>
      <c r="AB21" s="1562">
        <f t="shared" ref="AB21" si="9">D21/H21</f>
        <v>1</v>
      </c>
      <c r="AC21" s="1562">
        <f t="shared" ref="AC21" si="10">D21/J21</f>
        <v>1</v>
      </c>
    </row>
    <row r="22" spans="1:29" ht="15">
      <c r="A22" s="532"/>
      <c r="B22" s="578"/>
      <c r="C22" s="567" t="s">
        <v>3051</v>
      </c>
      <c r="D22" s="555"/>
      <c r="E22" s="567" t="s">
        <v>3051</v>
      </c>
      <c r="F22" s="555"/>
      <c r="G22" s="567" t="s">
        <v>3051</v>
      </c>
      <c r="H22" s="555"/>
      <c r="I22" s="567" t="s">
        <v>3051</v>
      </c>
      <c r="J22" s="555"/>
      <c r="K22" s="2566"/>
      <c r="L22" s="2127"/>
      <c r="M22" s="2119"/>
      <c r="N22" s="2119"/>
      <c r="O22" s="2119"/>
      <c r="P22" s="3378"/>
      <c r="Q22" s="2543"/>
      <c r="R22" s="1559"/>
      <c r="S22" s="1560"/>
      <c r="T22" s="1559"/>
      <c r="U22" s="1560"/>
      <c r="V22" s="1559"/>
      <c r="W22" s="1560"/>
      <c r="X22" s="2545"/>
      <c r="Y22" s="3378"/>
      <c r="Z22" s="2544"/>
      <c r="AA22" s="1562">
        <v>1</v>
      </c>
      <c r="AB22" s="1562">
        <v>1</v>
      </c>
      <c r="AC22" s="1562">
        <v>1</v>
      </c>
    </row>
    <row r="23" spans="1:29" ht="15">
      <c r="A23" s="532"/>
      <c r="B23" s="560" t="s">
        <v>778</v>
      </c>
      <c r="C23" s="573" t="str">
        <f>估价对象房地状况!C9</f>
        <v>较好</v>
      </c>
      <c r="D23" s="559">
        <v>100</v>
      </c>
      <c r="E23" s="564"/>
      <c r="F23" s="559">
        <f>SUMIF(85:85,E24,86:86)-SUMIF(85:85,C24,86:86)+100</f>
        <v>98</v>
      </c>
      <c r="G23" s="562"/>
      <c r="H23" s="559">
        <f>SUMIF(85:85,G24,86:86)-SUMIF(85:85,C24,86:86)+100</f>
        <v>98</v>
      </c>
      <c r="I23" s="562"/>
      <c r="J23" s="559">
        <f>SUMIF(85:85,I24,86:86)-SUMIF(85:85,C24,86:86)+100</f>
        <v>98</v>
      </c>
      <c r="K23" s="898">
        <v>2</v>
      </c>
      <c r="L23" s="2127"/>
      <c r="M23" s="2119"/>
      <c r="N23" s="2119"/>
      <c r="O23" s="2119"/>
      <c r="P23" s="3378"/>
      <c r="Q23" s="1558" t="str">
        <f>B23</f>
        <v>环境质量</v>
      </c>
      <c r="R23" s="1559" t="s">
        <v>8</v>
      </c>
      <c r="S23" s="1560">
        <f>F23</f>
        <v>98</v>
      </c>
      <c r="T23" s="1559" t="s">
        <v>8</v>
      </c>
      <c r="U23" s="1560">
        <f>H23</f>
        <v>98</v>
      </c>
      <c r="V23" s="1559" t="s">
        <v>8</v>
      </c>
      <c r="W23" s="1560">
        <f>J23</f>
        <v>98</v>
      </c>
      <c r="X23" s="1553"/>
      <c r="Y23" s="3378"/>
      <c r="Z23" s="1561" t="str">
        <f>Q23</f>
        <v>环境质量</v>
      </c>
      <c r="AA23" s="1562">
        <f t="shared" si="3"/>
        <v>1.0204081632653061</v>
      </c>
      <c r="AB23" s="1562">
        <f t="shared" si="4"/>
        <v>1.0204081632653061</v>
      </c>
      <c r="AC23" s="1562">
        <f t="shared" si="5"/>
        <v>1.0204081632653061</v>
      </c>
    </row>
    <row r="24" spans="1:29" ht="15.75" thickBot="1">
      <c r="A24" s="532"/>
      <c r="B24" s="578"/>
      <c r="C24" s="554" t="s">
        <v>3048</v>
      </c>
      <c r="D24" s="555"/>
      <c r="E24" s="558" t="s">
        <v>3047</v>
      </c>
      <c r="F24" s="555"/>
      <c r="G24" s="558" t="s">
        <v>3047</v>
      </c>
      <c r="H24" s="555"/>
      <c r="I24" s="558" t="s">
        <v>3047</v>
      </c>
      <c r="J24" s="555"/>
      <c r="K24" s="899"/>
      <c r="L24" s="2127"/>
      <c r="M24" s="2119"/>
      <c r="N24" s="2119"/>
      <c r="O24" s="2119"/>
      <c r="P24" s="3378"/>
      <c r="Q24" s="1558"/>
      <c r="R24" s="1559"/>
      <c r="S24" s="1560"/>
      <c r="T24" s="1559"/>
      <c r="U24" s="1560"/>
      <c r="V24" s="1559"/>
      <c r="W24" s="1560"/>
      <c r="X24" s="1553"/>
      <c r="Y24" s="3378"/>
      <c r="Z24" s="1561"/>
      <c r="AA24" s="1562">
        <v>1</v>
      </c>
      <c r="AB24" s="1562">
        <v>1</v>
      </c>
      <c r="AC24" s="1562">
        <v>1</v>
      </c>
    </row>
    <row r="25" spans="1:29" ht="27" hidden="1">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78"/>
      <c r="Q25" s="1558" t="str">
        <f>B25</f>
        <v>毗邻道路的类型与等级</v>
      </c>
      <c r="R25" s="1559" t="s">
        <v>8</v>
      </c>
      <c r="S25" s="1560">
        <f>F25</f>
        <v>100</v>
      </c>
      <c r="T25" s="1559" t="s">
        <v>8</v>
      </c>
      <c r="U25" s="1560">
        <f>H25</f>
        <v>100</v>
      </c>
      <c r="V25" s="1559" t="s">
        <v>8</v>
      </c>
      <c r="W25" s="1560">
        <f>J25</f>
        <v>100</v>
      </c>
      <c r="X25" s="1553"/>
      <c r="Y25" s="3378"/>
      <c r="Z25" s="1561" t="str">
        <f>Q25</f>
        <v>毗邻道路的类型与等级</v>
      </c>
      <c r="AA25" s="1562">
        <f t="shared" si="3"/>
        <v>1</v>
      </c>
      <c r="AB25" s="1562">
        <f t="shared" si="4"/>
        <v>1</v>
      </c>
      <c r="AC25" s="1562">
        <f t="shared" si="5"/>
        <v>1</v>
      </c>
    </row>
    <row r="26" spans="1:29" ht="15" hidden="1">
      <c r="A26" s="515"/>
      <c r="B26" s="566"/>
      <c r="C26" s="580"/>
      <c r="D26" s="540"/>
      <c r="E26" s="583"/>
      <c r="F26" s="540"/>
      <c r="G26" s="580"/>
      <c r="H26" s="540"/>
      <c r="I26" s="583"/>
      <c r="J26" s="540"/>
      <c r="K26" s="899"/>
      <c r="L26" s="2127"/>
      <c r="M26" s="2119"/>
      <c r="N26" s="2119"/>
      <c r="O26" s="2119"/>
      <c r="P26" s="3378"/>
      <c r="Q26" s="1558"/>
      <c r="R26" s="1559"/>
      <c r="S26" s="1560"/>
      <c r="T26" s="1559"/>
      <c r="U26" s="1560"/>
      <c r="V26" s="1559"/>
      <c r="W26" s="1560"/>
      <c r="X26" s="1553"/>
      <c r="Y26" s="3378"/>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78"/>
      <c r="Q27" s="1558" t="str">
        <f t="shared" ref="Q27:Q47" si="11">B27</f>
        <v>楼层</v>
      </c>
      <c r="R27" s="1559" t="s">
        <v>8</v>
      </c>
      <c r="S27" s="1560">
        <f>F27</f>
        <v>100</v>
      </c>
      <c r="T27" s="1559" t="s">
        <v>8</v>
      </c>
      <c r="U27" s="1560">
        <f>H27</f>
        <v>100</v>
      </c>
      <c r="V27" s="1559" t="s">
        <v>8</v>
      </c>
      <c r="W27" s="1560">
        <f>J27</f>
        <v>100</v>
      </c>
      <c r="X27" s="1553"/>
      <c r="Y27" s="3378"/>
      <c r="Z27" s="1561" t="str">
        <f>Q27</f>
        <v>楼层</v>
      </c>
      <c r="AA27" s="1562">
        <f t="shared" si="3"/>
        <v>1</v>
      </c>
      <c r="AB27" s="1562">
        <f t="shared" si="4"/>
        <v>1</v>
      </c>
      <c r="AC27" s="1562">
        <f t="shared" si="5"/>
        <v>1</v>
      </c>
    </row>
    <row r="28" spans="1:29" s="1216"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78"/>
      <c r="Q28" s="1147" t="str">
        <f t="shared" si="11"/>
        <v>朝向</v>
      </c>
      <c r="R28" s="1554" t="s">
        <v>8</v>
      </c>
      <c r="S28" s="1555">
        <f>F28</f>
        <v>100</v>
      </c>
      <c r="T28" s="1554" t="s">
        <v>8</v>
      </c>
      <c r="U28" s="1555">
        <f>H28</f>
        <v>100</v>
      </c>
      <c r="V28" s="1554" t="s">
        <v>8</v>
      </c>
      <c r="W28" s="1555">
        <f>J28</f>
        <v>100</v>
      </c>
      <c r="X28" s="1556"/>
      <c r="Y28" s="3378"/>
      <c r="Z28" s="1146"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78"/>
      <c r="Q29" s="1558">
        <f t="shared" si="11"/>
        <v>111</v>
      </c>
      <c r="R29" s="1559" t="s">
        <v>8</v>
      </c>
      <c r="S29" s="1560">
        <f t="shared" ref="S29:S47" si="12">F29</f>
        <v>100</v>
      </c>
      <c r="T29" s="1559" t="s">
        <v>8</v>
      </c>
      <c r="U29" s="1560">
        <f t="shared" ref="U29:U47" si="13">H29</f>
        <v>100</v>
      </c>
      <c r="V29" s="1559" t="s">
        <v>8</v>
      </c>
      <c r="W29" s="1560">
        <f t="shared" ref="W29:W47" si="14">J29</f>
        <v>100</v>
      </c>
      <c r="X29" s="1553"/>
      <c r="Y29" s="3378"/>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78"/>
      <c r="Q30" s="1558">
        <f t="shared" si="11"/>
        <v>111</v>
      </c>
      <c r="R30" s="1559" t="s">
        <v>8</v>
      </c>
      <c r="S30" s="1560">
        <f t="shared" si="12"/>
        <v>100</v>
      </c>
      <c r="T30" s="1559" t="s">
        <v>8</v>
      </c>
      <c r="U30" s="1560">
        <f t="shared" si="13"/>
        <v>100</v>
      </c>
      <c r="V30" s="1559" t="s">
        <v>8</v>
      </c>
      <c r="W30" s="1560">
        <f t="shared" si="14"/>
        <v>100</v>
      </c>
      <c r="X30" s="1553"/>
      <c r="Y30" s="3378"/>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78"/>
      <c r="Q31" s="1558">
        <f t="shared" si="11"/>
        <v>111</v>
      </c>
      <c r="R31" s="1559" t="s">
        <v>8</v>
      </c>
      <c r="S31" s="1560">
        <f t="shared" si="12"/>
        <v>100</v>
      </c>
      <c r="T31" s="1559" t="s">
        <v>8</v>
      </c>
      <c r="U31" s="1560">
        <f t="shared" si="13"/>
        <v>100</v>
      </c>
      <c r="V31" s="1559" t="s">
        <v>8</v>
      </c>
      <c r="W31" s="1560">
        <f t="shared" si="14"/>
        <v>100</v>
      </c>
      <c r="X31" s="1553"/>
      <c r="Y31" s="3378"/>
      <c r="Z31" s="1561">
        <f t="shared" si="15"/>
        <v>111</v>
      </c>
      <c r="AA31" s="1562">
        <f t="shared" si="3"/>
        <v>1</v>
      </c>
      <c r="AB31" s="1562">
        <f t="shared" si="4"/>
        <v>1</v>
      </c>
      <c r="AC31" s="1562">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78"/>
      <c r="Q32" s="1558">
        <f t="shared" si="11"/>
        <v>111</v>
      </c>
      <c r="R32" s="1559" t="s">
        <v>8</v>
      </c>
      <c r="S32" s="1560">
        <f t="shared" si="12"/>
        <v>100</v>
      </c>
      <c r="T32" s="1559" t="s">
        <v>8</v>
      </c>
      <c r="U32" s="1560">
        <f t="shared" si="13"/>
        <v>100</v>
      </c>
      <c r="V32" s="1559" t="s">
        <v>8</v>
      </c>
      <c r="W32" s="1560">
        <f t="shared" si="14"/>
        <v>100</v>
      </c>
      <c r="X32" s="1553"/>
      <c r="Y32" s="3378"/>
      <c r="Z32" s="1561">
        <f t="shared" si="15"/>
        <v>111</v>
      </c>
      <c r="AA32" s="1562">
        <f t="shared" si="3"/>
        <v>1</v>
      </c>
      <c r="AB32" s="1562">
        <f t="shared" si="4"/>
        <v>1</v>
      </c>
      <c r="AC32" s="1562">
        <f t="shared" si="5"/>
        <v>1</v>
      </c>
    </row>
    <row r="33" spans="1:29" ht="15">
      <c r="A33" s="2862" t="s">
        <v>2755</v>
      </c>
      <c r="B33" s="172" t="s">
        <v>780</v>
      </c>
      <c r="C33" s="916" t="s">
        <v>3053</v>
      </c>
      <c r="D33" s="597">
        <v>100</v>
      </c>
      <c r="E33" s="916" t="s">
        <v>3053</v>
      </c>
      <c r="F33" s="575">
        <f>SUMIF(101:101,E33,102:102)-SUMIF(101:101,C33,102:102)+100</f>
        <v>100</v>
      </c>
      <c r="G33" s="916" t="s">
        <v>3053</v>
      </c>
      <c r="H33" s="540">
        <f>SUMIF(101:101,G33,102:102)-SUMIF(101:101,C33,102:102)+100</f>
        <v>100</v>
      </c>
      <c r="I33" s="916" t="s">
        <v>3053</v>
      </c>
      <c r="J33" s="597">
        <f>SUMIF(101:101,I33,102:102)-SUMIF(101:101,C33,102:102)+100</f>
        <v>100</v>
      </c>
      <c r="K33" s="584">
        <v>2</v>
      </c>
      <c r="L33" s="2127"/>
      <c r="M33" s="2119"/>
      <c r="N33" s="2119"/>
      <c r="O33" s="2119"/>
      <c r="P33" s="3379" t="s">
        <v>550</v>
      </c>
      <c r="Q33" s="1558" t="str">
        <f t="shared" si="11"/>
        <v>建筑类型</v>
      </c>
      <c r="R33" s="1559" t="s">
        <v>8</v>
      </c>
      <c r="S33" s="1560">
        <f t="shared" si="12"/>
        <v>100</v>
      </c>
      <c r="T33" s="1559" t="s">
        <v>8</v>
      </c>
      <c r="U33" s="1560">
        <f t="shared" si="13"/>
        <v>100</v>
      </c>
      <c r="V33" s="1559" t="s">
        <v>8</v>
      </c>
      <c r="W33" s="1560">
        <f t="shared" si="14"/>
        <v>100</v>
      </c>
      <c r="X33" s="1553"/>
      <c r="Y33" s="3380" t="s">
        <v>550</v>
      </c>
      <c r="Z33" s="1561" t="str">
        <f t="shared" si="15"/>
        <v>建筑类型</v>
      </c>
      <c r="AA33" s="1562">
        <f t="shared" si="3"/>
        <v>1</v>
      </c>
      <c r="AB33" s="1562">
        <f t="shared" si="4"/>
        <v>1</v>
      </c>
      <c r="AC33" s="1562">
        <f t="shared" si="5"/>
        <v>1</v>
      </c>
    </row>
    <row r="34" spans="1:29" s="1335" customFormat="1" ht="15">
      <c r="A34" s="603"/>
      <c r="B34" s="527" t="s">
        <v>726</v>
      </c>
      <c r="C34" s="880">
        <f>'数据-基础表'!B3</f>
        <v>104102.39999999998</v>
      </c>
      <c r="D34" s="255">
        <v>100</v>
      </c>
      <c r="E34" s="534">
        <v>180000</v>
      </c>
      <c r="F34" s="863">
        <f>LOOKUP(E34,104:104,105:105)-LOOKUP(C34,104:104,105:105)+100</f>
        <v>101</v>
      </c>
      <c r="G34" s="533">
        <v>131888</v>
      </c>
      <c r="H34" s="255">
        <f>LOOKUP(G34,104:104,105:105)-LOOKUP(C34,104:104,105:105)+100</f>
        <v>100</v>
      </c>
      <c r="I34" s="533">
        <v>76000</v>
      </c>
      <c r="J34" s="255">
        <f>LOOKUP(I34,104:104,105:105)-LOOKUP(C34,104:104,105:105)+100</f>
        <v>99</v>
      </c>
      <c r="K34" s="581"/>
      <c r="L34" s="2125"/>
      <c r="M34" s="2156"/>
      <c r="N34" s="2156"/>
      <c r="O34" s="2156"/>
      <c r="P34" s="3380"/>
      <c r="Q34" s="1590" t="str">
        <f t="shared" si="11"/>
        <v>项目建筑规模</v>
      </c>
      <c r="R34" s="1563" t="s">
        <v>8</v>
      </c>
      <c r="S34" s="1564">
        <f t="shared" si="12"/>
        <v>101</v>
      </c>
      <c r="T34" s="1563" t="s">
        <v>8</v>
      </c>
      <c r="U34" s="1564">
        <f t="shared" si="13"/>
        <v>100</v>
      </c>
      <c r="V34" s="1563" t="s">
        <v>8</v>
      </c>
      <c r="W34" s="1564">
        <f t="shared" si="14"/>
        <v>99</v>
      </c>
      <c r="X34" s="1565"/>
      <c r="Y34" s="3380"/>
      <c r="Z34" s="1566" t="str">
        <f t="shared" si="15"/>
        <v>项目建筑规模</v>
      </c>
      <c r="AA34" s="1562">
        <f t="shared" si="3"/>
        <v>0.99009900990099009</v>
      </c>
      <c r="AB34" s="1562">
        <f t="shared" si="4"/>
        <v>1</v>
      </c>
      <c r="AC34" s="1562">
        <f t="shared" si="5"/>
        <v>1.0101010101010102</v>
      </c>
    </row>
    <row r="35" spans="1:29" ht="15">
      <c r="A35" s="594"/>
      <c r="B35" s="527" t="s">
        <v>727</v>
      </c>
      <c r="C35" s="574" t="s">
        <v>3054</v>
      </c>
      <c r="D35" s="540">
        <v>100</v>
      </c>
      <c r="E35" s="574" t="s">
        <v>3054</v>
      </c>
      <c r="F35" s="575">
        <f>SUMIF(106:106,E35,107:107)-SUMIF(106:106,C35,107:107)+100</f>
        <v>100</v>
      </c>
      <c r="G35" s="574" t="s">
        <v>3054</v>
      </c>
      <c r="H35" s="540">
        <f>SUMIF(106:106,G35,107:107)-SUMIF(106:106,C35,107:107)+100</f>
        <v>100</v>
      </c>
      <c r="I35" s="574" t="s">
        <v>3054</v>
      </c>
      <c r="J35" s="540">
        <f>SUMIF(106:106,I35,107:107)-SUMIF(106:106,C35,107:107)+100</f>
        <v>100</v>
      </c>
      <c r="K35" s="584">
        <v>1</v>
      </c>
      <c r="L35" s="2127"/>
      <c r="M35" s="2119"/>
      <c r="N35" s="2119"/>
      <c r="O35" s="2119"/>
      <c r="P35" s="3380"/>
      <c r="Q35" s="1558" t="str">
        <f t="shared" si="11"/>
        <v>建筑结构</v>
      </c>
      <c r="R35" s="1559" t="s">
        <v>8</v>
      </c>
      <c r="S35" s="1560">
        <f t="shared" si="12"/>
        <v>100</v>
      </c>
      <c r="T35" s="1559" t="s">
        <v>8</v>
      </c>
      <c r="U35" s="1560">
        <f t="shared" si="13"/>
        <v>100</v>
      </c>
      <c r="V35" s="1559" t="s">
        <v>8</v>
      </c>
      <c r="W35" s="1560">
        <f t="shared" si="14"/>
        <v>100</v>
      </c>
      <c r="X35" s="1553"/>
      <c r="Y35" s="3380"/>
      <c r="Z35" s="1561" t="str">
        <f t="shared" si="15"/>
        <v>建筑结构</v>
      </c>
      <c r="AA35" s="1562">
        <f t="shared" si="3"/>
        <v>1</v>
      </c>
      <c r="AB35" s="1562">
        <f t="shared" si="4"/>
        <v>1</v>
      </c>
      <c r="AC35" s="1562">
        <f t="shared" si="5"/>
        <v>1</v>
      </c>
    </row>
    <row r="36" spans="1:29" ht="15">
      <c r="A36" s="594"/>
      <c r="B36" s="527" t="s">
        <v>763</v>
      </c>
      <c r="C36" s="574" t="s">
        <v>3055</v>
      </c>
      <c r="D36" s="540">
        <v>100</v>
      </c>
      <c r="E36" s="574" t="s">
        <v>3055</v>
      </c>
      <c r="F36" s="575">
        <f>SUMIF(108:108,E36,109:109)-SUMIF(108:108,C36,109:109)+100</f>
        <v>100</v>
      </c>
      <c r="G36" s="574" t="s">
        <v>3055</v>
      </c>
      <c r="H36" s="540">
        <f>SUMIF(108:108,G36,109:109)-SUMIF(108:108,C36,109:109)+100</f>
        <v>100</v>
      </c>
      <c r="I36" s="574" t="s">
        <v>3055</v>
      </c>
      <c r="J36" s="540">
        <f>SUMIF(108:108,I36,109:109)-SUMIF(108:108,C36,109:109)+100</f>
        <v>100</v>
      </c>
      <c r="K36" s="584">
        <v>2</v>
      </c>
      <c r="L36" s="2127"/>
      <c r="M36" s="2119"/>
      <c r="N36" s="2119"/>
      <c r="O36" s="2119"/>
      <c r="P36" s="3380"/>
      <c r="Q36" s="1558" t="str">
        <f t="shared" si="11"/>
        <v>公共部分装修</v>
      </c>
      <c r="R36" s="1559" t="s">
        <v>8</v>
      </c>
      <c r="S36" s="1560">
        <f t="shared" si="12"/>
        <v>100</v>
      </c>
      <c r="T36" s="1559" t="s">
        <v>8</v>
      </c>
      <c r="U36" s="1560">
        <f t="shared" si="13"/>
        <v>100</v>
      </c>
      <c r="V36" s="1559" t="s">
        <v>8</v>
      </c>
      <c r="W36" s="1560">
        <f t="shared" si="14"/>
        <v>100</v>
      </c>
      <c r="X36" s="1553"/>
      <c r="Y36" s="3380"/>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7"/>
      <c r="M37" s="2119"/>
      <c r="N37" s="2119"/>
      <c r="O37" s="2119"/>
      <c r="P37" s="3380"/>
      <c r="Q37" s="1558" t="str">
        <f t="shared" si="11"/>
        <v>成新度</v>
      </c>
      <c r="R37" s="1559" t="s">
        <v>8</v>
      </c>
      <c r="S37" s="1560">
        <f t="shared" si="12"/>
        <v>100</v>
      </c>
      <c r="T37" s="1559" t="s">
        <v>8</v>
      </c>
      <c r="U37" s="1560">
        <f t="shared" si="13"/>
        <v>100</v>
      </c>
      <c r="V37" s="1559" t="s">
        <v>8</v>
      </c>
      <c r="W37" s="1560">
        <f t="shared" si="14"/>
        <v>100</v>
      </c>
      <c r="X37" s="1553"/>
      <c r="Y37" s="3380"/>
      <c r="Z37" s="1561" t="str">
        <f t="shared" si="15"/>
        <v>成新度</v>
      </c>
      <c r="AA37" s="1562">
        <f t="shared" si="3"/>
        <v>1</v>
      </c>
      <c r="AB37" s="1562">
        <f t="shared" si="4"/>
        <v>1</v>
      </c>
      <c r="AC37" s="1562">
        <f t="shared" si="5"/>
        <v>1</v>
      </c>
    </row>
    <row r="38" spans="1:29" s="1216"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0"/>
      <c r="Q38" s="1147" t="str">
        <f t="shared" si="11"/>
        <v>写字楼等级</v>
      </c>
      <c r="R38" s="1554" t="s">
        <v>8</v>
      </c>
      <c r="S38" s="1555">
        <f t="shared" si="12"/>
        <v>100</v>
      </c>
      <c r="T38" s="1554" t="s">
        <v>8</v>
      </c>
      <c r="U38" s="1555">
        <f t="shared" si="13"/>
        <v>100</v>
      </c>
      <c r="V38" s="1554" t="s">
        <v>8</v>
      </c>
      <c r="W38" s="1555">
        <f t="shared" si="14"/>
        <v>100</v>
      </c>
      <c r="X38" s="1556"/>
      <c r="Y38" s="3380"/>
      <c r="Z38" s="1146" t="str">
        <f t="shared" si="15"/>
        <v>写字楼等级</v>
      </c>
      <c r="AA38" s="1557">
        <f t="shared" si="3"/>
        <v>1</v>
      </c>
      <c r="AB38" s="1557">
        <f t="shared" si="4"/>
        <v>1</v>
      </c>
      <c r="AC38" s="1557">
        <f t="shared" si="5"/>
        <v>1</v>
      </c>
    </row>
    <row r="39" spans="1:29" ht="15">
      <c r="A39" s="594"/>
      <c r="B39" s="527" t="s">
        <v>782</v>
      </c>
      <c r="C39" s="574" t="s">
        <v>3048</v>
      </c>
      <c r="D39" s="540">
        <v>100</v>
      </c>
      <c r="E39" s="574" t="s">
        <v>3048</v>
      </c>
      <c r="F39" s="575">
        <f>SUMIF(115:115,E39,116:116)-SUMIF(115:115,C39,116:116)+100</f>
        <v>100</v>
      </c>
      <c r="G39" s="574" t="s">
        <v>3048</v>
      </c>
      <c r="H39" s="540">
        <f>SUMIF(115:115,G39,116:116)-SUMIF(115:115,C39,116:116)+100</f>
        <v>100</v>
      </c>
      <c r="I39" s="574" t="s">
        <v>3048</v>
      </c>
      <c r="J39" s="540">
        <f>SUMIF(115:115,I39,116:116)-SUMIF(115:115,C39,116:116)+100</f>
        <v>100</v>
      </c>
      <c r="K39" s="584">
        <v>1</v>
      </c>
      <c r="L39" s="2127"/>
      <c r="M39" s="2119"/>
      <c r="N39" s="2119"/>
      <c r="O39" s="2119"/>
      <c r="P39" s="3380" t="s">
        <v>550</v>
      </c>
      <c r="Q39" s="1558" t="str">
        <f t="shared" si="11"/>
        <v>物业管理</v>
      </c>
      <c r="R39" s="1559" t="s">
        <v>8</v>
      </c>
      <c r="S39" s="1560">
        <f t="shared" si="12"/>
        <v>100</v>
      </c>
      <c r="T39" s="1559" t="s">
        <v>8</v>
      </c>
      <c r="U39" s="1560">
        <f t="shared" si="13"/>
        <v>100</v>
      </c>
      <c r="V39" s="1559" t="s">
        <v>8</v>
      </c>
      <c r="W39" s="1560">
        <f t="shared" si="14"/>
        <v>100</v>
      </c>
      <c r="X39" s="1553"/>
      <c r="Y39" s="3380" t="s">
        <v>550</v>
      </c>
      <c r="Z39" s="1561" t="str">
        <f t="shared" si="15"/>
        <v>物业管理</v>
      </c>
      <c r="AA39" s="1562">
        <f t="shared" si="3"/>
        <v>1</v>
      </c>
      <c r="AB39" s="1562">
        <f t="shared" si="4"/>
        <v>1</v>
      </c>
      <c r="AC39" s="1562">
        <f t="shared" si="5"/>
        <v>1</v>
      </c>
    </row>
    <row r="40" spans="1:29" ht="15">
      <c r="A40" s="594"/>
      <c r="B40" s="1880" t="s">
        <v>2565</v>
      </c>
      <c r="C40" s="574" t="s">
        <v>3062</v>
      </c>
      <c r="D40" s="540">
        <v>100</v>
      </c>
      <c r="E40" s="574" t="s">
        <v>3062</v>
      </c>
      <c r="F40" s="575">
        <f>SUMIF(117:117,E40,118:118)-SUMIF(117:117,C40,118:118)+100</f>
        <v>100</v>
      </c>
      <c r="G40" s="574" t="s">
        <v>3062</v>
      </c>
      <c r="H40" s="540">
        <f>SUMIF(117:117,G40,118:118)-SUMIF(117:117,C40,118:118)+100</f>
        <v>100</v>
      </c>
      <c r="I40" s="574" t="s">
        <v>3062</v>
      </c>
      <c r="J40" s="540">
        <f>SUMIF(117:117,I40,118:118)-SUMIF(117:117,C40,118:118)+100</f>
        <v>100</v>
      </c>
      <c r="K40" s="584">
        <v>1</v>
      </c>
      <c r="L40" s="2127"/>
      <c r="M40" s="2119"/>
      <c r="N40" s="2119"/>
      <c r="O40" s="2119"/>
      <c r="P40" s="3380"/>
      <c r="Q40" s="1558" t="str">
        <f t="shared" si="11"/>
        <v>市政基础设施</v>
      </c>
      <c r="R40" s="1559" t="s">
        <v>8</v>
      </c>
      <c r="S40" s="1560">
        <f t="shared" si="12"/>
        <v>100</v>
      </c>
      <c r="T40" s="1559" t="s">
        <v>8</v>
      </c>
      <c r="U40" s="1560">
        <f t="shared" si="13"/>
        <v>100</v>
      </c>
      <c r="V40" s="1559" t="s">
        <v>8</v>
      </c>
      <c r="W40" s="1560">
        <f t="shared" si="14"/>
        <v>100</v>
      </c>
      <c r="X40" s="1553"/>
      <c r="Y40" s="3380"/>
      <c r="Z40" s="1561" t="str">
        <f t="shared" si="15"/>
        <v>市政基础设施</v>
      </c>
      <c r="AA40" s="1562">
        <f t="shared" si="3"/>
        <v>1</v>
      </c>
      <c r="AB40" s="1562">
        <f t="shared" si="4"/>
        <v>1</v>
      </c>
      <c r="AC40" s="1562">
        <f t="shared" si="5"/>
        <v>1</v>
      </c>
    </row>
    <row r="41" spans="1:29" ht="15">
      <c r="A41" s="594"/>
      <c r="B41" s="527" t="s">
        <v>767</v>
      </c>
      <c r="C41" s="583" t="s">
        <v>3065</v>
      </c>
      <c r="D41" s="540">
        <v>100</v>
      </c>
      <c r="E41" s="583" t="s">
        <v>3065</v>
      </c>
      <c r="F41" s="575">
        <f>SUMIF(119:119,E41,120:120)-SUMIF(119:119,C41,120:120)+100</f>
        <v>100</v>
      </c>
      <c r="G41" s="583" t="s">
        <v>3065</v>
      </c>
      <c r="H41" s="540">
        <f>SUMIF(119:119,G41,120:120)-SUMIF(119:119,C41,120:120)+100</f>
        <v>100</v>
      </c>
      <c r="I41" s="583" t="s">
        <v>3065</v>
      </c>
      <c r="J41" s="540">
        <f>SUMIF(119:119,I41,120:120)-SUMIF(119:119,C41,120:120)+100</f>
        <v>100</v>
      </c>
      <c r="K41" s="584">
        <v>2</v>
      </c>
      <c r="L41" s="2127"/>
      <c r="M41" s="2119"/>
      <c r="N41" s="2119"/>
      <c r="O41" s="2119"/>
      <c r="P41" s="3380"/>
      <c r="Q41" s="1558" t="str">
        <f t="shared" si="11"/>
        <v>层高</v>
      </c>
      <c r="R41" s="1559" t="s">
        <v>8</v>
      </c>
      <c r="S41" s="1560">
        <f t="shared" si="12"/>
        <v>100</v>
      </c>
      <c r="T41" s="1559" t="s">
        <v>8</v>
      </c>
      <c r="U41" s="1560">
        <f t="shared" si="13"/>
        <v>100</v>
      </c>
      <c r="V41" s="1559" t="s">
        <v>8</v>
      </c>
      <c r="W41" s="1560">
        <f t="shared" si="14"/>
        <v>100</v>
      </c>
      <c r="X41" s="1553"/>
      <c r="Y41" s="3380"/>
      <c r="Z41" s="1561" t="str">
        <f t="shared" si="15"/>
        <v>层高</v>
      </c>
      <c r="AA41" s="1562">
        <f t="shared" si="3"/>
        <v>1</v>
      </c>
      <c r="AB41" s="1562">
        <f t="shared" si="4"/>
        <v>1</v>
      </c>
      <c r="AC41" s="1562">
        <f t="shared" si="5"/>
        <v>1</v>
      </c>
    </row>
    <row r="42" spans="1:29" s="1335"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0"/>
      <c r="Q42" s="1590" t="str">
        <f t="shared" si="11"/>
        <v>单套建筑面积</v>
      </c>
      <c r="R42" s="1563" t="s">
        <v>8</v>
      </c>
      <c r="S42" s="1564">
        <f t="shared" si="12"/>
        <v>100</v>
      </c>
      <c r="T42" s="1563" t="s">
        <v>8</v>
      </c>
      <c r="U42" s="1564">
        <f t="shared" si="13"/>
        <v>100</v>
      </c>
      <c r="V42" s="1563" t="s">
        <v>8</v>
      </c>
      <c r="W42" s="1564">
        <f t="shared" si="14"/>
        <v>100</v>
      </c>
      <c r="X42" s="1565"/>
      <c r="Y42" s="3380"/>
      <c r="Z42" s="1566" t="str">
        <f t="shared" si="15"/>
        <v>单套建筑面积</v>
      </c>
      <c r="AA42" s="1562">
        <f t="shared" si="3"/>
        <v>1</v>
      </c>
      <c r="AB42" s="1562">
        <f t="shared" si="4"/>
        <v>1</v>
      </c>
      <c r="AC42" s="1562">
        <f t="shared" si="5"/>
        <v>1</v>
      </c>
    </row>
    <row r="43" spans="1:29" ht="15">
      <c r="A43" s="594"/>
      <c r="B43" s="527" t="s">
        <v>770</v>
      </c>
      <c r="C43" s="574" t="s">
        <v>3055</v>
      </c>
      <c r="D43" s="540">
        <v>100</v>
      </c>
      <c r="E43" s="574" t="s">
        <v>3036</v>
      </c>
      <c r="F43" s="575">
        <f>SUMIF(123:123,E43,124:124)-SUMIF(123:123,C43,124:124)+100</f>
        <v>95.5</v>
      </c>
      <c r="G43" s="574" t="s">
        <v>3036</v>
      </c>
      <c r="H43" s="540">
        <f>SUMIF(123:123,G43,124:124)-SUMIF(123:123,C43,124:124)+100</f>
        <v>95.5</v>
      </c>
      <c r="I43" s="574" t="s">
        <v>3036</v>
      </c>
      <c r="J43" s="540">
        <f>SUMIF(123:123,I43,124:124)-SUMIF(123:123,C43,124:124)+100</f>
        <v>95.5</v>
      </c>
      <c r="K43" s="584">
        <v>1.5</v>
      </c>
      <c r="L43" s="2127"/>
      <c r="M43" s="2119"/>
      <c r="N43" s="2119"/>
      <c r="O43" s="2119"/>
      <c r="P43" s="3380"/>
      <c r="Q43" s="1558" t="str">
        <f t="shared" si="11"/>
        <v>内部装修</v>
      </c>
      <c r="R43" s="1559" t="s">
        <v>8</v>
      </c>
      <c r="S43" s="1560">
        <f t="shared" si="12"/>
        <v>95.5</v>
      </c>
      <c r="T43" s="1559" t="s">
        <v>8</v>
      </c>
      <c r="U43" s="1560">
        <f t="shared" si="13"/>
        <v>95.5</v>
      </c>
      <c r="V43" s="1559" t="s">
        <v>8</v>
      </c>
      <c r="W43" s="1560">
        <f t="shared" si="14"/>
        <v>95.5</v>
      </c>
      <c r="X43" s="1553"/>
      <c r="Y43" s="3380"/>
      <c r="Z43" s="1561" t="str">
        <f t="shared" si="15"/>
        <v>内部装修</v>
      </c>
      <c r="AA43" s="1562">
        <f t="shared" si="3"/>
        <v>1.0471204188481675</v>
      </c>
      <c r="AB43" s="1562">
        <f t="shared" si="4"/>
        <v>1.0471204188481675</v>
      </c>
      <c r="AC43" s="1562">
        <f t="shared" si="5"/>
        <v>1.0471204188481675</v>
      </c>
    </row>
    <row r="44" spans="1:29" ht="27.75" thickBot="1">
      <c r="A44" s="594"/>
      <c r="B44" s="527" t="s">
        <v>735</v>
      </c>
      <c r="C44" s="574" t="s">
        <v>3048</v>
      </c>
      <c r="D44" s="540">
        <v>100</v>
      </c>
      <c r="E44" s="574" t="s">
        <v>3048</v>
      </c>
      <c r="F44" s="575">
        <f>SUMIF(125:125,E44,126:126)-SUMIF(125:125,C44,126:126)+100</f>
        <v>100</v>
      </c>
      <c r="G44" s="574" t="s">
        <v>3048</v>
      </c>
      <c r="H44" s="540">
        <f>SUMIF(125:125,G44,126:126)-SUMIF(125:125,C44,126:126)+100</f>
        <v>100</v>
      </c>
      <c r="I44" s="574" t="s">
        <v>3048</v>
      </c>
      <c r="J44" s="540">
        <f>SUMIF(125:125,I44,126:126)-SUMIF(125:125,C44,126:126)+100</f>
        <v>100</v>
      </c>
      <c r="K44" s="584">
        <v>1</v>
      </c>
      <c r="L44" s="2127"/>
      <c r="M44" s="2119"/>
      <c r="N44" s="2119"/>
      <c r="O44" s="2119"/>
      <c r="P44" s="3380"/>
      <c r="Q44" s="1558" t="str">
        <f t="shared" si="11"/>
        <v>内部装修维护情况</v>
      </c>
      <c r="R44" s="1559" t="s">
        <v>8</v>
      </c>
      <c r="S44" s="1560">
        <f t="shared" si="12"/>
        <v>100</v>
      </c>
      <c r="T44" s="1559" t="s">
        <v>8</v>
      </c>
      <c r="U44" s="1560">
        <f t="shared" si="13"/>
        <v>100</v>
      </c>
      <c r="V44" s="1559" t="s">
        <v>8</v>
      </c>
      <c r="W44" s="1560">
        <f t="shared" si="14"/>
        <v>100</v>
      </c>
      <c r="X44" s="1553"/>
      <c r="Y44" s="3380"/>
      <c r="Z44" s="1561" t="str">
        <f t="shared" si="15"/>
        <v>内部装修维护情况</v>
      </c>
      <c r="AA44" s="1562">
        <f t="shared" si="3"/>
        <v>1</v>
      </c>
      <c r="AB44" s="1562">
        <f t="shared" si="4"/>
        <v>1</v>
      </c>
      <c r="AC44" s="1562">
        <f t="shared" si="5"/>
        <v>1</v>
      </c>
    </row>
    <row r="45" spans="1:29" s="1216"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0"/>
      <c r="Q45" s="1147">
        <f t="shared" si="11"/>
        <v>111</v>
      </c>
      <c r="R45" s="1554" t="s">
        <v>8</v>
      </c>
      <c r="S45" s="1555">
        <f t="shared" si="12"/>
        <v>100</v>
      </c>
      <c r="T45" s="1554" t="s">
        <v>8</v>
      </c>
      <c r="U45" s="1555">
        <f t="shared" si="13"/>
        <v>100</v>
      </c>
      <c r="V45" s="1554" t="s">
        <v>8</v>
      </c>
      <c r="W45" s="1555">
        <f t="shared" si="14"/>
        <v>100</v>
      </c>
      <c r="X45" s="1556"/>
      <c r="Y45" s="3380"/>
      <c r="Z45" s="1146">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0"/>
      <c r="Q46" s="1558">
        <f t="shared" si="11"/>
        <v>111</v>
      </c>
      <c r="R46" s="1559" t="s">
        <v>8</v>
      </c>
      <c r="S46" s="1560">
        <f t="shared" si="12"/>
        <v>100</v>
      </c>
      <c r="T46" s="1559" t="s">
        <v>8</v>
      </c>
      <c r="U46" s="1560">
        <f t="shared" si="13"/>
        <v>100</v>
      </c>
      <c r="V46" s="1559" t="s">
        <v>8</v>
      </c>
      <c r="W46" s="1560">
        <f t="shared" si="14"/>
        <v>100</v>
      </c>
      <c r="X46" s="1553"/>
      <c r="Y46" s="3380"/>
      <c r="Z46" s="1561">
        <f t="shared" si="15"/>
        <v>111</v>
      </c>
      <c r="AA46" s="1562">
        <f t="shared" si="3"/>
        <v>1</v>
      </c>
      <c r="AB46" s="1562">
        <f t="shared" si="4"/>
        <v>1</v>
      </c>
      <c r="AC46" s="1562">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2"/>
      <c r="Q47" s="1558">
        <f t="shared" si="11"/>
        <v>111</v>
      </c>
      <c r="R47" s="1559" t="s">
        <v>8</v>
      </c>
      <c r="S47" s="1560">
        <f t="shared" si="12"/>
        <v>100</v>
      </c>
      <c r="T47" s="1559" t="s">
        <v>8</v>
      </c>
      <c r="U47" s="1560">
        <f t="shared" si="13"/>
        <v>100</v>
      </c>
      <c r="V47" s="1559" t="s">
        <v>8</v>
      </c>
      <c r="W47" s="1560">
        <f t="shared" si="14"/>
        <v>100</v>
      </c>
      <c r="X47" s="1553"/>
      <c r="Y47" s="3482"/>
      <c r="Z47" s="1561">
        <f t="shared" si="15"/>
        <v>111</v>
      </c>
      <c r="AA47" s="1562">
        <f t="shared" si="3"/>
        <v>1</v>
      </c>
      <c r="AB47" s="1562">
        <f t="shared" si="4"/>
        <v>1</v>
      </c>
      <c r="AC47" s="1562">
        <f t="shared" si="5"/>
        <v>1</v>
      </c>
    </row>
    <row r="48" spans="1:29" ht="15">
      <c r="A48" s="607" t="s">
        <v>736</v>
      </c>
      <c r="B48" s="887"/>
      <c r="C48" s="2591" t="s">
        <v>1</v>
      </c>
      <c r="D48" s="2592"/>
      <c r="E48" s="2593">
        <v>9500</v>
      </c>
      <c r="F48" s="2594"/>
      <c r="G48" s="2595">
        <v>9500</v>
      </c>
      <c r="H48" s="2596"/>
      <c r="I48" s="2593">
        <v>10000</v>
      </c>
      <c r="J48" s="2596"/>
      <c r="K48" s="1596"/>
      <c r="L48" s="2129"/>
      <c r="M48" s="2119"/>
      <c r="N48" s="2119"/>
      <c r="O48" s="2119"/>
      <c r="P48" s="3399" t="str">
        <f>A48</f>
        <v>成交单价（元/平方米）</v>
      </c>
      <c r="Q48" s="3375"/>
      <c r="R48" s="3481">
        <f>E48</f>
        <v>9500</v>
      </c>
      <c r="S48" s="3481"/>
      <c r="T48" s="3481">
        <f>G48</f>
        <v>9500</v>
      </c>
      <c r="U48" s="3481"/>
      <c r="V48" s="3481">
        <f>I48</f>
        <v>10000</v>
      </c>
      <c r="W48" s="3481"/>
      <c r="X48" s="1545"/>
      <c r="Y48" s="1567"/>
      <c r="Z48" s="1545"/>
      <c r="AA48" s="1545"/>
      <c r="AB48" s="1545"/>
      <c r="AC48" s="1545"/>
    </row>
    <row r="49" spans="1:29" ht="15.75" thickBot="1">
      <c r="A49" s="615" t="s">
        <v>2760</v>
      </c>
      <c r="B49" s="888"/>
      <c r="C49" s="2597">
        <f>R50</f>
        <v>10481</v>
      </c>
      <c r="D49" s="2598"/>
      <c r="E49" s="2599">
        <f>R49</f>
        <v>10050</v>
      </c>
      <c r="F49" s="2599"/>
      <c r="G49" s="2597">
        <f>T49</f>
        <v>10151</v>
      </c>
      <c r="H49" s="2598"/>
      <c r="I49" s="2599">
        <f>V49</f>
        <v>11243</v>
      </c>
      <c r="J49" s="2598"/>
      <c r="K49" s="1597"/>
      <c r="L49" s="2129"/>
      <c r="M49" s="2119"/>
      <c r="N49" s="2119"/>
      <c r="O49" s="2119"/>
      <c r="P49" s="3399" t="str">
        <f>A49</f>
        <v>比较价格（元/平方米）</v>
      </c>
      <c r="Q49" s="3375"/>
      <c r="R49" s="3481">
        <f>IF(F1="售价",ROUND(PRODUCT(R48,AA7:AA47),0),ROUND(PRODUCT(R48,AA7:AA47),1))</f>
        <v>10050</v>
      </c>
      <c r="S49" s="3481"/>
      <c r="T49" s="3481">
        <f>IF(F1="售价",ROUND(PRODUCT(T48,AB7:AB47),0),ROUND(PRODUCT(T48,AB7:AB47),1))</f>
        <v>10151</v>
      </c>
      <c r="U49" s="3481"/>
      <c r="V49" s="3481">
        <f>IF(F1="售价",ROUND(PRODUCT(V48,AC7:AC47),0),ROUND(PRODUCT(V48,AC7:AC47),1))</f>
        <v>11243</v>
      </c>
      <c r="W49" s="3481"/>
      <c r="X49" s="1545"/>
      <c r="Y49" s="1545"/>
      <c r="Z49" s="1545"/>
      <c r="AA49" s="1545"/>
      <c r="AB49" s="1545"/>
      <c r="AC49" s="1545"/>
    </row>
    <row r="50" spans="1:29" ht="15.75" thickBot="1">
      <c r="A50" s="621" t="s">
        <v>2932</v>
      </c>
      <c r="B50" s="622"/>
      <c r="C50" s="2600">
        <f>R50</f>
        <v>10481</v>
      </c>
      <c r="D50" s="2600"/>
      <c r="E50" s="2600"/>
      <c r="F50" s="2600"/>
      <c r="G50" s="2600"/>
      <c r="H50" s="2600"/>
      <c r="I50" s="2600"/>
      <c r="J50" s="2600"/>
      <c r="K50" s="1598"/>
      <c r="L50" s="2129"/>
      <c r="M50" s="2119"/>
      <c r="N50" s="2119"/>
      <c r="O50" s="2119"/>
      <c r="P50" s="3488" t="str">
        <f>A50</f>
        <v>估价对象XX用房的比较价格（楼面单价，元/平方米）</v>
      </c>
      <c r="Q50" s="3399"/>
      <c r="R50" s="3480">
        <f>IF(F1="售价",ROUND(AVERAGE(R49:V49),0),ROUND(AVERAGE(R49:V49),1))</f>
        <v>10481</v>
      </c>
      <c r="S50" s="3480"/>
      <c r="T50" s="3480"/>
      <c r="U50" s="3480"/>
      <c r="V50" s="3480"/>
      <c r="W50" s="348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5.7894736842105221E-2</v>
      </c>
      <c r="F53" s="627" t="str">
        <f>IF(OR(E53&gt;=0.3,E53&lt;=-0.3),"超过30%","")</f>
        <v/>
      </c>
      <c r="G53" s="626">
        <f>IF(G48&lt;G49,G49/G48-1,G48/G49-1)</f>
        <v>6.8526315789473768E-2</v>
      </c>
      <c r="H53" s="627" t="str">
        <f>IF(OR(G53&gt;=0.3,G53&lt;=-0.3),"超过30%","")</f>
        <v/>
      </c>
      <c r="I53" s="626">
        <f>IF(I48&lt;I49,I49/I48-1,I48/I49-1)</f>
        <v>0.12430000000000008</v>
      </c>
      <c r="J53" s="627" t="str">
        <f>IF(OR(I53&gt;=0.3,I53&lt;=-0.3),"超过30%","")</f>
        <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1.0049751243781158E-2</v>
      </c>
      <c r="F54" s="627" t="str">
        <f>IF(OR(E54&gt;=0.2,E54&lt;=-0.2),"超过20%","")</f>
        <v/>
      </c>
      <c r="G54" s="626">
        <f>IF(G49&lt;I49,I49/G49-1,G49/I49-1)</f>
        <v>0.10757560831445168</v>
      </c>
      <c r="H54" s="627" t="str">
        <f>IF(OR(G54&gt;=0.2,G54&lt;=-0.2),"超过20%","")</f>
        <v/>
      </c>
      <c r="I54" s="626">
        <f>IF(I49&lt;E49,E49/I49-1,I49/E49-1)</f>
        <v>0.11870646766169157</v>
      </c>
      <c r="J54" s="627" t="str">
        <f>IF(OR(I54&gt;=0.2,I54&lt;=-0.2),"超过20%","")</f>
        <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v>
      </c>
      <c r="F55" s="627" t="str">
        <f>IF(OR(E55&gt;=0.3,E55&lt;=-0.3),"超过30%","")</f>
        <v/>
      </c>
      <c r="G55" s="626">
        <f>IF(G48&lt;I48,I48/G48-1,G48/I48-1)</f>
        <v>5.2631578947368363E-2</v>
      </c>
      <c r="H55" s="627" t="str">
        <f>IF(OR(G55&gt;=0.3,G55&lt;=-0.3),"超过30%","")</f>
        <v/>
      </c>
      <c r="I55" s="626">
        <f>IF(I48&lt;E48,E48/I48-1,I48/E48-1)</f>
        <v>5.2631578947368363E-2</v>
      </c>
      <c r="J55" s="627" t="str">
        <f>IF(OR(I55&gt;=0.3,I55&lt;=-0.3),"超过30%","")</f>
        <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v>100</v>
      </c>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t="str">
        <f>C9</f>
        <v>办公</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v>100</v>
      </c>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v>0</v>
      </c>
      <c r="D69" s="541">
        <v>1</v>
      </c>
      <c r="E69" s="541">
        <v>2</v>
      </c>
      <c r="F69" s="541">
        <v>3</v>
      </c>
      <c r="G69" s="541">
        <v>4</v>
      </c>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98</v>
      </c>
      <c r="E78" s="679">
        <f>D78-$K15</f>
        <v>96</v>
      </c>
      <c r="F78" s="679">
        <f>E78-$K15</f>
        <v>94</v>
      </c>
      <c r="G78" s="679">
        <f>F78-$K15</f>
        <v>92</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98</v>
      </c>
      <c r="E80" s="679">
        <f>D80-$K17</f>
        <v>96</v>
      </c>
      <c r="F80" s="679">
        <f>E80-$K17</f>
        <v>94</v>
      </c>
      <c r="G80" s="679">
        <f>F80-$K17</f>
        <v>92</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98</v>
      </c>
      <c r="E82" s="679">
        <f>D82-$K19</f>
        <v>96</v>
      </c>
      <c r="F82" s="679">
        <f>E82-$K19</f>
        <v>94</v>
      </c>
      <c r="G82" s="679">
        <f>F82-$K19</f>
        <v>92</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99</v>
      </c>
      <c r="E84" s="679">
        <f>D84-$K21</f>
        <v>98</v>
      </c>
      <c r="F84" s="679">
        <f>E84-$K21</f>
        <v>97</v>
      </c>
      <c r="G84" s="679">
        <f>F84-$K21</f>
        <v>96</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98</v>
      </c>
      <c r="E86" s="679">
        <f>D86-$K23</f>
        <v>96</v>
      </c>
      <c r="F86" s="679">
        <f>E86-$K23</f>
        <v>94</v>
      </c>
      <c r="G86" s="679">
        <f>F86-$K23</f>
        <v>92</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3181" t="s">
        <v>3031</v>
      </c>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51"/>
      <c r="O102" s="2151"/>
      <c r="P102" s="2199"/>
      <c r="Q102" s="2143"/>
      <c r="R102" s="2130"/>
      <c r="S102" s="2130"/>
      <c r="T102" s="2130"/>
      <c r="U102" s="2130"/>
      <c r="V102" s="2130"/>
      <c r="W102" s="2130"/>
      <c r="X102" s="2130"/>
      <c r="Y102" s="2130"/>
      <c r="Z102" s="2130"/>
      <c r="AA102" s="2130"/>
      <c r="AB102" s="2130"/>
      <c r="AC102" s="2130"/>
    </row>
    <row r="103" spans="1:29" ht="29.25"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v>0</v>
      </c>
      <c r="D104" s="730">
        <f>C104+50000</f>
        <v>50000</v>
      </c>
      <c r="E104" s="730">
        <f t="shared" ref="E104:I104" si="24">D104+50000</f>
        <v>100000</v>
      </c>
      <c r="F104" s="730">
        <f t="shared" si="24"/>
        <v>150000</v>
      </c>
      <c r="G104" s="730">
        <f t="shared" si="24"/>
        <v>200000</v>
      </c>
      <c r="H104" s="730">
        <f t="shared" si="24"/>
        <v>250000</v>
      </c>
      <c r="I104" s="730">
        <f t="shared" si="24"/>
        <v>300000</v>
      </c>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v>100</v>
      </c>
      <c r="D105" s="671">
        <f>C105+1</f>
        <v>101</v>
      </c>
      <c r="E105" s="671">
        <f t="shared" ref="E105:I105" si="25">D105+1</f>
        <v>102</v>
      </c>
      <c r="F105" s="671">
        <f t="shared" si="25"/>
        <v>103</v>
      </c>
      <c r="G105" s="671">
        <f t="shared" si="25"/>
        <v>104</v>
      </c>
      <c r="H105" s="671">
        <f t="shared" si="25"/>
        <v>105</v>
      </c>
      <c r="I105" s="671">
        <f t="shared" si="25"/>
        <v>106</v>
      </c>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3182" t="s">
        <v>3032</v>
      </c>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3182" t="s">
        <v>3033</v>
      </c>
      <c r="D108" s="3182" t="s">
        <v>3034</v>
      </c>
      <c r="E108" s="3182" t="s">
        <v>3035</v>
      </c>
      <c r="F108" s="3183" t="s">
        <v>3037</v>
      </c>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9">D114-$K38</f>
        <v>100</v>
      </c>
      <c r="F114" s="679">
        <f t="shared" si="29"/>
        <v>100</v>
      </c>
      <c r="G114" s="679">
        <f t="shared" si="29"/>
        <v>100</v>
      </c>
      <c r="H114" s="679">
        <f t="shared" si="29"/>
        <v>100</v>
      </c>
      <c r="I114" s="679">
        <f t="shared" si="29"/>
        <v>100</v>
      </c>
      <c r="J114" s="679">
        <f t="shared" si="29"/>
        <v>100</v>
      </c>
      <c r="K114" s="679">
        <f t="shared" si="29"/>
        <v>100</v>
      </c>
      <c r="L114" s="679">
        <f t="shared" si="29"/>
        <v>100</v>
      </c>
      <c r="M114" s="679">
        <f t="shared" si="29"/>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3182" t="s">
        <v>3056</v>
      </c>
      <c r="D115" s="3182" t="s">
        <v>3057</v>
      </c>
      <c r="E115" s="3183" t="s">
        <v>3058</v>
      </c>
      <c r="F115" s="3183" t="s">
        <v>3059</v>
      </c>
      <c r="G115" s="3183" t="s">
        <v>3060</v>
      </c>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3182" t="s">
        <v>3061</v>
      </c>
      <c r="D117" s="3182" t="s">
        <v>3063</v>
      </c>
      <c r="E117" s="3182" t="s">
        <v>3064</v>
      </c>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3183" t="s">
        <v>3038</v>
      </c>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3182" t="s">
        <v>3033</v>
      </c>
      <c r="D123" s="3182" t="s">
        <v>3034</v>
      </c>
      <c r="E123" s="3182" t="s">
        <v>3035</v>
      </c>
      <c r="F123" s="3183" t="s">
        <v>3037</v>
      </c>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2">C124-$K43</f>
        <v>98.5</v>
      </c>
      <c r="E124" s="679">
        <f t="shared" si="32"/>
        <v>97</v>
      </c>
      <c r="F124" s="679">
        <f t="shared" si="32"/>
        <v>95.5</v>
      </c>
      <c r="G124" s="679">
        <f t="shared" si="32"/>
        <v>94</v>
      </c>
      <c r="H124" s="679">
        <f t="shared" si="32"/>
        <v>92.5</v>
      </c>
      <c r="I124" s="679">
        <f t="shared" si="32"/>
        <v>91</v>
      </c>
      <c r="J124" s="679">
        <f t="shared" si="32"/>
        <v>89.5</v>
      </c>
      <c r="K124" s="679">
        <f t="shared" si="32"/>
        <v>88</v>
      </c>
      <c r="L124" s="679">
        <f t="shared" si="32"/>
        <v>86.5</v>
      </c>
      <c r="M124" s="680">
        <f t="shared" si="32"/>
        <v>85</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AS61"/>
  <sheetViews>
    <sheetView zoomScale="55" zoomScaleNormal="55" workbookViewId="0">
      <selection activeCell="AD47" sqref="AD47"/>
    </sheetView>
  </sheetViews>
  <sheetFormatPr defaultRowHeight="13.5"/>
  <sheetData>
    <row r="46" spans="1:45" s="2894" customFormat="1">
      <c r="A46" s="2894" t="s">
        <v>3068</v>
      </c>
      <c r="B46" s="2894" t="s">
        <v>3069</v>
      </c>
      <c r="C46" s="2894" t="s">
        <v>3070</v>
      </c>
      <c r="D46" s="2894" t="s">
        <v>3135</v>
      </c>
      <c r="E46" s="2894" t="s">
        <v>3136</v>
      </c>
      <c r="F46" s="2894" t="s">
        <v>3137</v>
      </c>
      <c r="G46" s="2894" t="s">
        <v>3073</v>
      </c>
      <c r="H46" s="2894" t="s">
        <v>3138</v>
      </c>
      <c r="I46" s="2894" t="s">
        <v>3139</v>
      </c>
      <c r="J46" s="2894" t="s">
        <v>3071</v>
      </c>
      <c r="K46" s="2894" t="s">
        <v>3072</v>
      </c>
      <c r="L46" s="2894" t="s">
        <v>2032</v>
      </c>
      <c r="M46" s="2894" t="s">
        <v>3140</v>
      </c>
      <c r="N46" s="2894" t="s">
        <v>3141</v>
      </c>
      <c r="O46" s="2894" t="s">
        <v>3142</v>
      </c>
      <c r="P46" s="2894" t="s">
        <v>3143</v>
      </c>
      <c r="Q46" s="2894" t="s">
        <v>3144</v>
      </c>
      <c r="R46" s="2894" t="s">
        <v>3145</v>
      </c>
      <c r="S46" s="2894" t="s">
        <v>3146</v>
      </c>
      <c r="T46" s="2894" t="s">
        <v>3147</v>
      </c>
      <c r="U46" s="2894" t="s">
        <v>3148</v>
      </c>
      <c r="V46" s="2894" t="s">
        <v>3149</v>
      </c>
      <c r="W46" s="2894" t="s">
        <v>3150</v>
      </c>
      <c r="X46" s="2894" t="s">
        <v>3151</v>
      </c>
      <c r="Y46" s="2894" t="s">
        <v>3152</v>
      </c>
      <c r="Z46" s="2894" t="s">
        <v>3074</v>
      </c>
      <c r="AA46" s="2894" t="s">
        <v>3153</v>
      </c>
      <c r="AB46" s="2894" t="s">
        <v>3154</v>
      </c>
      <c r="AC46" s="2894" t="s">
        <v>3155</v>
      </c>
      <c r="AD46" s="2894" t="s">
        <v>3079</v>
      </c>
      <c r="AE46" s="2894" t="s">
        <v>3156</v>
      </c>
      <c r="AF46" s="2894" t="s">
        <v>3075</v>
      </c>
      <c r="AG46" s="2894" t="s">
        <v>3076</v>
      </c>
      <c r="AH46" s="2894" t="s">
        <v>3157</v>
      </c>
      <c r="AI46" s="2894" t="s">
        <v>3158</v>
      </c>
      <c r="AJ46" s="2894" t="s">
        <v>3159</v>
      </c>
      <c r="AK46" s="2894" t="s">
        <v>3077</v>
      </c>
      <c r="AL46" s="2894" t="s">
        <v>3160</v>
      </c>
      <c r="AM46" s="2894" t="s">
        <v>3161</v>
      </c>
      <c r="AN46" s="2894" t="s">
        <v>3078</v>
      </c>
      <c r="AO46" s="2894" t="s">
        <v>3162</v>
      </c>
      <c r="AP46" s="2894" t="s">
        <v>3163</v>
      </c>
      <c r="AQ46" s="2894" t="s">
        <v>3164</v>
      </c>
      <c r="AR46" s="2894" t="s">
        <v>3165</v>
      </c>
      <c r="AS46" s="2894" t="s">
        <v>3080</v>
      </c>
    </row>
    <row r="47" spans="1:45" s="2894" customFormat="1">
      <c r="A47" s="2894" t="s">
        <v>3081</v>
      </c>
      <c r="B47" s="2894" t="s">
        <v>3082</v>
      </c>
      <c r="C47" s="2894" t="s">
        <v>3083</v>
      </c>
      <c r="D47" s="2894" t="s">
        <v>3166</v>
      </c>
      <c r="E47" s="2894" t="s">
        <v>2818</v>
      </c>
      <c r="F47" s="2894" t="s">
        <v>3081</v>
      </c>
      <c r="G47" s="2894" t="s">
        <v>3084</v>
      </c>
      <c r="H47" s="2894" t="s">
        <v>3167</v>
      </c>
      <c r="I47" s="2894" t="s">
        <v>3168</v>
      </c>
      <c r="J47" s="2894">
        <v>38073</v>
      </c>
      <c r="K47" s="2894">
        <v>109800</v>
      </c>
      <c r="L47" s="2894" t="s">
        <v>2818</v>
      </c>
      <c r="M47" s="2894" t="s">
        <v>2818</v>
      </c>
      <c r="N47" s="2894" t="s">
        <v>3169</v>
      </c>
      <c r="O47" s="2894" t="s">
        <v>2818</v>
      </c>
      <c r="P47" s="2894" t="s">
        <v>2818</v>
      </c>
      <c r="Q47" s="2894" t="s">
        <v>2818</v>
      </c>
      <c r="R47" s="2894" t="s">
        <v>2818</v>
      </c>
      <c r="S47" s="2894" t="s">
        <v>2818</v>
      </c>
      <c r="T47" s="2894" t="s">
        <v>2818</v>
      </c>
      <c r="U47" s="2894" t="s">
        <v>2818</v>
      </c>
      <c r="V47" s="2894" t="s">
        <v>2818</v>
      </c>
      <c r="W47" s="2894" t="s">
        <v>3170</v>
      </c>
      <c r="X47" s="2894" t="s">
        <v>3171</v>
      </c>
      <c r="Y47" s="2894" t="s">
        <v>3172</v>
      </c>
      <c r="Z47" s="2894" t="s">
        <v>3085</v>
      </c>
      <c r="AA47" s="2894" t="s">
        <v>3085</v>
      </c>
      <c r="AB47" s="2894" t="s">
        <v>3167</v>
      </c>
      <c r="AC47" s="2894" t="s">
        <v>3173</v>
      </c>
      <c r="AD47" s="2894" t="s">
        <v>3086</v>
      </c>
      <c r="AE47" s="2894">
        <v>41500</v>
      </c>
      <c r="AF47" s="2894">
        <v>41500</v>
      </c>
      <c r="AG47" s="2894">
        <v>41500</v>
      </c>
      <c r="AH47" s="2894">
        <v>726.67</v>
      </c>
      <c r="AI47" s="2894">
        <v>726.67</v>
      </c>
      <c r="AJ47" s="2894">
        <v>3779.59</v>
      </c>
      <c r="AK47" s="2894">
        <v>3779.59</v>
      </c>
      <c r="AL47" s="2894" t="s">
        <v>2818</v>
      </c>
      <c r="AM47" s="2894" t="s">
        <v>2818</v>
      </c>
      <c r="AN47" s="2894">
        <v>0</v>
      </c>
      <c r="AO47" s="2894" t="s">
        <v>3174</v>
      </c>
      <c r="AP47" s="2894" t="s">
        <v>2818</v>
      </c>
      <c r="AQ47" s="2894" t="s">
        <v>2818</v>
      </c>
      <c r="AR47" s="2894" t="s">
        <v>2818</v>
      </c>
      <c r="AS47" s="2894" t="s">
        <v>3087</v>
      </c>
    </row>
    <row r="48" spans="1:45" s="2894" customFormat="1">
      <c r="A48" s="2894" t="s">
        <v>3088</v>
      </c>
      <c r="B48" s="2894" t="s">
        <v>3082</v>
      </c>
      <c r="C48" s="2894" t="s">
        <v>3083</v>
      </c>
      <c r="D48" s="2894" t="s">
        <v>3175</v>
      </c>
      <c r="E48" s="2894" t="s">
        <v>2818</v>
      </c>
      <c r="F48" s="2894" t="s">
        <v>3088</v>
      </c>
      <c r="G48" s="2894" t="s">
        <v>3084</v>
      </c>
      <c r="H48" s="2894" t="s">
        <v>3176</v>
      </c>
      <c r="I48" s="2894" t="s">
        <v>3177</v>
      </c>
      <c r="J48" s="2894">
        <v>39916.800000000003</v>
      </c>
      <c r="K48" s="2894">
        <v>99791.75</v>
      </c>
      <c r="L48" s="2894" t="s">
        <v>3089</v>
      </c>
      <c r="M48" s="2894" t="s">
        <v>2818</v>
      </c>
      <c r="N48" s="2894" t="s">
        <v>3178</v>
      </c>
      <c r="O48" s="2894" t="s">
        <v>2818</v>
      </c>
      <c r="P48" s="2894" t="s">
        <v>2818</v>
      </c>
      <c r="Q48" s="2894" t="s">
        <v>2818</v>
      </c>
      <c r="R48" s="2894" t="s">
        <v>2818</v>
      </c>
      <c r="S48" s="2894" t="s">
        <v>2818</v>
      </c>
      <c r="T48" s="2894" t="s">
        <v>2818</v>
      </c>
      <c r="U48" s="2894" t="s">
        <v>2818</v>
      </c>
      <c r="V48" s="2894" t="s">
        <v>2818</v>
      </c>
      <c r="W48" s="2894" t="s">
        <v>3170</v>
      </c>
      <c r="X48" s="2894" t="s">
        <v>3179</v>
      </c>
      <c r="Y48" s="2894" t="s">
        <v>3180</v>
      </c>
      <c r="Z48" s="2894" t="s">
        <v>3090</v>
      </c>
      <c r="AA48" s="2894" t="s">
        <v>3090</v>
      </c>
      <c r="AB48" s="2894" t="s">
        <v>3176</v>
      </c>
      <c r="AC48" s="2894" t="s">
        <v>3173</v>
      </c>
      <c r="AD48" s="2894" t="s">
        <v>3091</v>
      </c>
      <c r="AE48" s="2894">
        <v>36000</v>
      </c>
      <c r="AF48" s="2894">
        <v>36000</v>
      </c>
      <c r="AG48" s="2894">
        <v>36000</v>
      </c>
      <c r="AH48" s="2894">
        <v>601.25</v>
      </c>
      <c r="AI48" s="2894">
        <v>601.25</v>
      </c>
      <c r="AJ48" s="2894">
        <v>3607.51</v>
      </c>
      <c r="AK48" s="2894">
        <v>3607.51</v>
      </c>
      <c r="AL48" s="2894" t="s">
        <v>2818</v>
      </c>
      <c r="AM48" s="2894" t="s">
        <v>2818</v>
      </c>
      <c r="AN48" s="2894">
        <v>0</v>
      </c>
      <c r="AO48" s="2894" t="s">
        <v>3174</v>
      </c>
      <c r="AP48" s="2894" t="s">
        <v>2818</v>
      </c>
      <c r="AQ48" s="2894" t="s">
        <v>2818</v>
      </c>
      <c r="AR48" s="2894" t="s">
        <v>2818</v>
      </c>
      <c r="AS48" s="2894" t="s">
        <v>3092</v>
      </c>
    </row>
    <row r="49" spans="1:45" s="3187" customFormat="1">
      <c r="A49" s="3187" t="s">
        <v>3093</v>
      </c>
      <c r="B49" s="3187" t="s">
        <v>3082</v>
      </c>
      <c r="C49" s="3187" t="s">
        <v>3083</v>
      </c>
      <c r="D49" s="3187" t="s">
        <v>3175</v>
      </c>
      <c r="E49" s="3187" t="s">
        <v>2818</v>
      </c>
      <c r="F49" s="3187" t="s">
        <v>3093</v>
      </c>
      <c r="G49" s="3187" t="s">
        <v>3084</v>
      </c>
      <c r="H49" s="3187" t="s">
        <v>3181</v>
      </c>
      <c r="I49" s="3187" t="s">
        <v>3177</v>
      </c>
      <c r="J49" s="3187">
        <v>35000</v>
      </c>
      <c r="K49" s="3187">
        <v>70000</v>
      </c>
      <c r="L49" s="3187" t="s">
        <v>3094</v>
      </c>
      <c r="M49" s="3187" t="s">
        <v>2818</v>
      </c>
      <c r="N49" s="3187" t="s">
        <v>3182</v>
      </c>
      <c r="O49" s="3187" t="s">
        <v>2818</v>
      </c>
      <c r="P49" s="3187" t="s">
        <v>2818</v>
      </c>
      <c r="Q49" s="3187" t="s">
        <v>2818</v>
      </c>
      <c r="R49" s="3187" t="s">
        <v>2818</v>
      </c>
      <c r="S49" s="3187" t="s">
        <v>2818</v>
      </c>
      <c r="T49" s="3187" t="s">
        <v>2818</v>
      </c>
      <c r="U49" s="3187" t="s">
        <v>2818</v>
      </c>
      <c r="V49" s="3187" t="s">
        <v>2818</v>
      </c>
      <c r="W49" s="3187" t="s">
        <v>3170</v>
      </c>
      <c r="X49" s="3187" t="s">
        <v>3179</v>
      </c>
      <c r="Y49" s="3187" t="s">
        <v>3180</v>
      </c>
      <c r="Z49" s="3187" t="s">
        <v>3090</v>
      </c>
      <c r="AA49" s="3187" t="s">
        <v>3090</v>
      </c>
      <c r="AB49" s="3187" t="s">
        <v>3181</v>
      </c>
      <c r="AC49" s="3187" t="s">
        <v>3173</v>
      </c>
      <c r="AD49" s="3187" t="s">
        <v>3095</v>
      </c>
      <c r="AE49" s="3187">
        <v>10710</v>
      </c>
      <c r="AF49" s="3187">
        <v>20330</v>
      </c>
      <c r="AG49" s="3187">
        <v>20330</v>
      </c>
      <c r="AH49" s="3187">
        <v>387.24</v>
      </c>
      <c r="AI49" s="3187">
        <v>387.24</v>
      </c>
      <c r="AJ49" s="3187">
        <v>2904.28</v>
      </c>
      <c r="AK49" s="3187">
        <v>2904.28</v>
      </c>
      <c r="AL49" s="3187" t="s">
        <v>2818</v>
      </c>
      <c r="AM49" s="3187" t="s">
        <v>2818</v>
      </c>
      <c r="AN49" s="3187">
        <v>0</v>
      </c>
      <c r="AO49" s="3187" t="s">
        <v>3174</v>
      </c>
      <c r="AP49" s="3187" t="s">
        <v>2818</v>
      </c>
      <c r="AQ49" s="3187" t="s">
        <v>2818</v>
      </c>
      <c r="AR49" s="3187" t="s">
        <v>2818</v>
      </c>
      <c r="AS49" s="3187" t="s">
        <v>3092</v>
      </c>
    </row>
    <row r="50" spans="1:45" s="3187" customFormat="1">
      <c r="A50" s="3187" t="s">
        <v>3093</v>
      </c>
      <c r="B50" s="3187" t="s">
        <v>3082</v>
      </c>
      <c r="C50" s="3187" t="s">
        <v>3083</v>
      </c>
      <c r="D50" s="3187" t="s">
        <v>3175</v>
      </c>
      <c r="E50" s="3187" t="s">
        <v>2818</v>
      </c>
      <c r="F50" s="3187" t="s">
        <v>3093</v>
      </c>
      <c r="G50" s="3187" t="s">
        <v>3084</v>
      </c>
      <c r="H50" s="3187" t="s">
        <v>3183</v>
      </c>
      <c r="I50" s="3187" t="s">
        <v>3168</v>
      </c>
      <c r="J50" s="3187">
        <v>48662.5</v>
      </c>
      <c r="K50" s="3187">
        <v>121656.2</v>
      </c>
      <c r="L50" s="3187" t="s">
        <v>3089</v>
      </c>
      <c r="M50" s="3187" t="s">
        <v>2818</v>
      </c>
      <c r="N50" s="3187" t="s">
        <v>3184</v>
      </c>
      <c r="O50" s="3187" t="s">
        <v>3185</v>
      </c>
      <c r="P50" s="3187" t="s">
        <v>2818</v>
      </c>
      <c r="Q50" s="3187" t="s">
        <v>2818</v>
      </c>
      <c r="R50" s="3187" t="s">
        <v>2818</v>
      </c>
      <c r="S50" s="3187" t="s">
        <v>2818</v>
      </c>
      <c r="T50" s="3187" t="s">
        <v>2818</v>
      </c>
      <c r="U50" s="3187" t="s">
        <v>2818</v>
      </c>
      <c r="V50" s="3187" t="s">
        <v>2818</v>
      </c>
      <c r="W50" s="3187" t="s">
        <v>3170</v>
      </c>
      <c r="X50" s="3187" t="s">
        <v>3186</v>
      </c>
      <c r="Y50" s="3187" t="s">
        <v>3187</v>
      </c>
      <c r="Z50" s="3187" t="s">
        <v>3096</v>
      </c>
      <c r="AA50" s="3187" t="s">
        <v>3096</v>
      </c>
      <c r="AB50" s="3187" t="s">
        <v>3183</v>
      </c>
      <c r="AC50" s="3187" t="s">
        <v>3173</v>
      </c>
      <c r="AD50" s="3187" t="s">
        <v>3097</v>
      </c>
      <c r="AE50" s="3187">
        <v>32830</v>
      </c>
      <c r="AF50" s="3187">
        <v>32830</v>
      </c>
      <c r="AG50" s="3187">
        <v>32830</v>
      </c>
      <c r="AH50" s="3187">
        <v>449.76</v>
      </c>
      <c r="AI50" s="3187">
        <v>449.76</v>
      </c>
      <c r="AJ50" s="3187">
        <v>2698.58</v>
      </c>
      <c r="AK50" s="3187">
        <v>2698.59</v>
      </c>
      <c r="AL50" s="3187" t="s">
        <v>2818</v>
      </c>
      <c r="AM50" s="3187" t="s">
        <v>2818</v>
      </c>
      <c r="AN50" s="3187">
        <v>0</v>
      </c>
      <c r="AO50" s="3187" t="s">
        <v>3174</v>
      </c>
      <c r="AP50" s="3187" t="s">
        <v>2818</v>
      </c>
      <c r="AQ50" s="3187" t="s">
        <v>2818</v>
      </c>
      <c r="AR50" s="3187" t="s">
        <v>2818</v>
      </c>
      <c r="AS50" s="3187" t="s">
        <v>3098</v>
      </c>
    </row>
    <row r="51" spans="1:45" s="2894" customFormat="1">
      <c r="A51" s="2894" t="s">
        <v>3099</v>
      </c>
      <c r="B51" s="2894" t="s">
        <v>3082</v>
      </c>
      <c r="C51" s="2894" t="s">
        <v>3083</v>
      </c>
      <c r="D51" s="2894" t="s">
        <v>3166</v>
      </c>
      <c r="E51" s="2894" t="s">
        <v>2818</v>
      </c>
      <c r="F51" s="2894" t="s">
        <v>3099</v>
      </c>
      <c r="G51" s="2894" t="s">
        <v>3084</v>
      </c>
      <c r="H51" s="2894" t="s">
        <v>3188</v>
      </c>
      <c r="I51" s="2894" t="s">
        <v>3189</v>
      </c>
      <c r="J51" s="2894">
        <v>1459</v>
      </c>
      <c r="K51" s="2894">
        <v>1459</v>
      </c>
      <c r="L51" s="2894" t="s">
        <v>2818</v>
      </c>
      <c r="M51" s="2894" t="s">
        <v>2818</v>
      </c>
      <c r="N51" s="2894" t="s">
        <v>2818</v>
      </c>
      <c r="O51" s="2894" t="s">
        <v>2818</v>
      </c>
      <c r="P51" s="2894" t="s">
        <v>2818</v>
      </c>
      <c r="Q51" s="2894" t="s">
        <v>2818</v>
      </c>
      <c r="R51" s="2894" t="s">
        <v>2818</v>
      </c>
      <c r="S51" s="2894" t="s">
        <v>2818</v>
      </c>
      <c r="T51" s="2894" t="s">
        <v>2818</v>
      </c>
      <c r="U51" s="2894" t="s">
        <v>2818</v>
      </c>
      <c r="V51" s="2894" t="s">
        <v>2818</v>
      </c>
      <c r="W51" s="2894" t="s">
        <v>3170</v>
      </c>
      <c r="X51" s="2894" t="s">
        <v>3190</v>
      </c>
      <c r="Y51" s="2894" t="s">
        <v>3191</v>
      </c>
      <c r="Z51" s="2894" t="s">
        <v>3100</v>
      </c>
      <c r="AA51" s="2894" t="s">
        <v>3100</v>
      </c>
      <c r="AB51" s="2894" t="s">
        <v>3188</v>
      </c>
      <c r="AC51" s="2894" t="s">
        <v>3173</v>
      </c>
      <c r="AD51" s="2894" t="s">
        <v>3101</v>
      </c>
      <c r="AE51" s="2894">
        <v>1000</v>
      </c>
      <c r="AF51" s="2894">
        <v>2800</v>
      </c>
      <c r="AG51" s="2894">
        <v>2800</v>
      </c>
      <c r="AH51" s="2894">
        <v>1279.42</v>
      </c>
      <c r="AI51" s="2894">
        <v>1279.42</v>
      </c>
      <c r="AJ51" s="2894">
        <v>19191.22</v>
      </c>
      <c r="AK51" s="2894">
        <v>19191.22</v>
      </c>
      <c r="AL51" s="2894" t="s">
        <v>2818</v>
      </c>
      <c r="AM51" s="2894" t="s">
        <v>2818</v>
      </c>
      <c r="AN51" s="2894">
        <v>0</v>
      </c>
      <c r="AO51" s="2894" t="s">
        <v>3174</v>
      </c>
      <c r="AP51" s="2894" t="s">
        <v>2818</v>
      </c>
      <c r="AQ51" s="2894" t="s">
        <v>2818</v>
      </c>
      <c r="AR51" s="2894" t="s">
        <v>2818</v>
      </c>
      <c r="AS51" s="2894" t="s">
        <v>3087</v>
      </c>
    </row>
    <row r="52" spans="1:45" s="3187" customFormat="1">
      <c r="A52" s="3187" t="s">
        <v>3102</v>
      </c>
      <c r="B52" s="3187" t="s">
        <v>3082</v>
      </c>
      <c r="C52" s="3187" t="s">
        <v>3083</v>
      </c>
      <c r="D52" s="3187" t="s">
        <v>3175</v>
      </c>
      <c r="E52" s="3187" t="s">
        <v>2818</v>
      </c>
      <c r="F52" s="3187" t="s">
        <v>3102</v>
      </c>
      <c r="G52" s="3187" t="s">
        <v>3084</v>
      </c>
      <c r="H52" s="3187" t="s">
        <v>3192</v>
      </c>
      <c r="I52" s="3187" t="s">
        <v>3193</v>
      </c>
      <c r="J52" s="3187">
        <v>26666.7</v>
      </c>
      <c r="K52" s="3187">
        <v>48000.06</v>
      </c>
      <c r="L52" s="3187" t="s">
        <v>3103</v>
      </c>
      <c r="M52" s="3187" t="s">
        <v>2818</v>
      </c>
      <c r="N52" s="3187" t="s">
        <v>3194</v>
      </c>
      <c r="O52" s="3187" t="s">
        <v>3195</v>
      </c>
      <c r="P52" s="3187" t="s">
        <v>2818</v>
      </c>
      <c r="Q52" s="3187" t="s">
        <v>2818</v>
      </c>
      <c r="R52" s="3187" t="s">
        <v>2818</v>
      </c>
      <c r="S52" s="3187" t="s">
        <v>2818</v>
      </c>
      <c r="T52" s="3187" t="s">
        <v>2818</v>
      </c>
      <c r="U52" s="3187" t="s">
        <v>2818</v>
      </c>
      <c r="V52" s="3187" t="s">
        <v>2818</v>
      </c>
      <c r="W52" s="3187" t="s">
        <v>3170</v>
      </c>
      <c r="X52" s="3187" t="s">
        <v>3111</v>
      </c>
      <c r="Y52" s="3187" t="s">
        <v>3191</v>
      </c>
      <c r="Z52" s="3187" t="s">
        <v>3100</v>
      </c>
      <c r="AA52" s="3187" t="s">
        <v>3100</v>
      </c>
      <c r="AB52" s="3187" t="s">
        <v>3192</v>
      </c>
      <c r="AC52" s="3187" t="s">
        <v>3173</v>
      </c>
      <c r="AD52" s="3187" t="s">
        <v>3104</v>
      </c>
      <c r="AE52" s="3187">
        <v>3760</v>
      </c>
      <c r="AF52" s="3187">
        <v>12850</v>
      </c>
      <c r="AG52" s="3187">
        <v>12850</v>
      </c>
      <c r="AH52" s="3187">
        <v>321.25</v>
      </c>
      <c r="AI52" s="3187">
        <v>321.25</v>
      </c>
      <c r="AJ52" s="3187">
        <v>2677.07</v>
      </c>
      <c r="AK52" s="3187">
        <v>2677.07</v>
      </c>
      <c r="AL52" s="3187" t="s">
        <v>2818</v>
      </c>
      <c r="AM52" s="3187" t="s">
        <v>2818</v>
      </c>
      <c r="AN52" s="3187">
        <v>0</v>
      </c>
      <c r="AO52" s="3187" t="s">
        <v>3174</v>
      </c>
      <c r="AP52" s="3187" t="s">
        <v>2818</v>
      </c>
      <c r="AQ52" s="3187" t="s">
        <v>2818</v>
      </c>
      <c r="AR52" s="3187" t="s">
        <v>2818</v>
      </c>
      <c r="AS52" s="3187" t="s">
        <v>3098</v>
      </c>
    </row>
    <row r="53" spans="1:45" s="2894" customFormat="1">
      <c r="A53" s="2894" t="s">
        <v>3105</v>
      </c>
      <c r="B53" s="2894" t="s">
        <v>3082</v>
      </c>
      <c r="C53" s="2894" t="s">
        <v>3083</v>
      </c>
      <c r="D53" s="2894" t="s">
        <v>3175</v>
      </c>
      <c r="E53" s="2894" t="s">
        <v>2818</v>
      </c>
      <c r="F53" s="2894" t="s">
        <v>3105</v>
      </c>
      <c r="G53" s="2894" t="s">
        <v>3084</v>
      </c>
      <c r="H53" s="2894" t="s">
        <v>3196</v>
      </c>
      <c r="I53" s="2894" t="s">
        <v>3168</v>
      </c>
      <c r="J53" s="2894">
        <v>3269</v>
      </c>
      <c r="K53" s="2894">
        <v>3273.1</v>
      </c>
      <c r="L53" s="2894" t="s">
        <v>3106</v>
      </c>
      <c r="M53" s="2894" t="s">
        <v>2818</v>
      </c>
      <c r="N53" s="2894" t="s">
        <v>3194</v>
      </c>
      <c r="O53" s="2894" t="s">
        <v>3197</v>
      </c>
      <c r="P53" s="2894" t="s">
        <v>2818</v>
      </c>
      <c r="Q53" s="2894" t="s">
        <v>2818</v>
      </c>
      <c r="R53" s="2894" t="s">
        <v>2818</v>
      </c>
      <c r="S53" s="2894" t="s">
        <v>2818</v>
      </c>
      <c r="T53" s="2894" t="s">
        <v>2818</v>
      </c>
      <c r="U53" s="2894" t="s">
        <v>2818</v>
      </c>
      <c r="V53" s="2894" t="s">
        <v>2818</v>
      </c>
      <c r="W53" s="2894" t="s">
        <v>3170</v>
      </c>
      <c r="X53" s="2894" t="s">
        <v>3198</v>
      </c>
      <c r="Y53" s="2894" t="s">
        <v>3199</v>
      </c>
      <c r="Z53" s="2894" t="s">
        <v>3107</v>
      </c>
      <c r="AA53" s="2894" t="s">
        <v>3107</v>
      </c>
      <c r="AB53" s="2894" t="s">
        <v>3196</v>
      </c>
      <c r="AC53" s="2894" t="s">
        <v>3173</v>
      </c>
      <c r="AD53" s="2894" t="s">
        <v>3108</v>
      </c>
      <c r="AE53" s="2894">
        <v>1000</v>
      </c>
      <c r="AF53" s="2894">
        <v>1800</v>
      </c>
      <c r="AG53" s="2894">
        <v>1800</v>
      </c>
      <c r="AH53" s="2894">
        <v>367.08</v>
      </c>
      <c r="AI53" s="2894">
        <v>367.08</v>
      </c>
      <c r="AJ53" s="2894">
        <v>5499.37</v>
      </c>
      <c r="AK53" s="2894">
        <v>5499.36</v>
      </c>
      <c r="AL53" s="2894" t="s">
        <v>2818</v>
      </c>
      <c r="AM53" s="2894" t="s">
        <v>2818</v>
      </c>
      <c r="AN53" s="2894">
        <v>0</v>
      </c>
      <c r="AO53" s="2894" t="s">
        <v>3174</v>
      </c>
      <c r="AP53" s="2894" t="s">
        <v>2818</v>
      </c>
      <c r="AQ53" s="2894" t="s">
        <v>2818</v>
      </c>
      <c r="AR53" s="2894" t="s">
        <v>2818</v>
      </c>
      <c r="AS53" s="2894" t="s">
        <v>3087</v>
      </c>
    </row>
    <row r="54" spans="1:45" s="2894" customFormat="1">
      <c r="A54" s="2894" t="s">
        <v>3109</v>
      </c>
      <c r="B54" s="2894" t="s">
        <v>3082</v>
      </c>
      <c r="C54" s="2894" t="s">
        <v>3083</v>
      </c>
      <c r="D54" s="2894" t="s">
        <v>3175</v>
      </c>
      <c r="E54" s="2894" t="s">
        <v>2818</v>
      </c>
      <c r="F54" s="2894" t="s">
        <v>3109</v>
      </c>
      <c r="G54" s="2894" t="s">
        <v>3084</v>
      </c>
      <c r="H54" s="2894" t="s">
        <v>3200</v>
      </c>
      <c r="I54" s="2894" t="s">
        <v>3168</v>
      </c>
      <c r="J54" s="2894">
        <v>15985.6</v>
      </c>
      <c r="K54" s="2894">
        <v>7992</v>
      </c>
      <c r="L54" s="2894" t="s">
        <v>3110</v>
      </c>
      <c r="M54" s="2894" t="s">
        <v>2818</v>
      </c>
      <c r="N54" s="2894" t="s">
        <v>3201</v>
      </c>
      <c r="O54" s="2894" t="s">
        <v>3202</v>
      </c>
      <c r="P54" s="2894" t="s">
        <v>2818</v>
      </c>
      <c r="Q54" s="2894" t="s">
        <v>2818</v>
      </c>
      <c r="R54" s="2894" t="s">
        <v>2818</v>
      </c>
      <c r="S54" s="2894" t="s">
        <v>2818</v>
      </c>
      <c r="T54" s="2894" t="s">
        <v>2818</v>
      </c>
      <c r="U54" s="2894" t="s">
        <v>2818</v>
      </c>
      <c r="V54" s="2894" t="s">
        <v>2818</v>
      </c>
      <c r="W54" s="2894" t="s">
        <v>3170</v>
      </c>
      <c r="X54" s="2894" t="s">
        <v>3203</v>
      </c>
      <c r="Y54" s="2894" t="s">
        <v>3204</v>
      </c>
      <c r="Z54" s="2894" t="s">
        <v>3111</v>
      </c>
      <c r="AA54" s="2894" t="s">
        <v>3111</v>
      </c>
      <c r="AB54" s="2894" t="s">
        <v>3200</v>
      </c>
      <c r="AC54" s="2894" t="s">
        <v>3173</v>
      </c>
      <c r="AD54" s="2894" t="s">
        <v>3112</v>
      </c>
      <c r="AE54" s="2894">
        <v>1820</v>
      </c>
      <c r="AF54" s="2894">
        <v>1820</v>
      </c>
      <c r="AG54" s="2894">
        <v>1820</v>
      </c>
      <c r="AH54" s="2894">
        <v>75.900000000000006</v>
      </c>
      <c r="AI54" s="2894">
        <v>75.900000000000006</v>
      </c>
      <c r="AJ54" s="2894">
        <v>2277.27</v>
      </c>
      <c r="AK54" s="2894">
        <v>2277.2800000000002</v>
      </c>
      <c r="AL54" s="2894" t="s">
        <v>2818</v>
      </c>
      <c r="AM54" s="2894" t="s">
        <v>2818</v>
      </c>
      <c r="AN54" s="2894">
        <v>0</v>
      </c>
      <c r="AO54" s="2894" t="s">
        <v>3174</v>
      </c>
      <c r="AP54" s="2894" t="s">
        <v>2818</v>
      </c>
      <c r="AQ54" s="2894" t="s">
        <v>2818</v>
      </c>
      <c r="AR54" s="2894" t="s">
        <v>2818</v>
      </c>
      <c r="AS54" s="2894" t="s">
        <v>3113</v>
      </c>
    </row>
    <row r="55" spans="1:45" s="2894" customFormat="1">
      <c r="A55" s="2894" t="s">
        <v>3109</v>
      </c>
      <c r="B55" s="2894" t="s">
        <v>3082</v>
      </c>
      <c r="C55" s="2894" t="s">
        <v>3083</v>
      </c>
      <c r="D55" s="2894" t="s">
        <v>3175</v>
      </c>
      <c r="E55" s="2894" t="s">
        <v>2818</v>
      </c>
      <c r="F55" s="2894" t="s">
        <v>3109</v>
      </c>
      <c r="G55" s="2894" t="s">
        <v>3084</v>
      </c>
      <c r="H55" s="2894" t="s">
        <v>3205</v>
      </c>
      <c r="I55" s="2894" t="s">
        <v>3168</v>
      </c>
      <c r="J55" s="2894">
        <v>38413.300000000003</v>
      </c>
      <c r="K55" s="2894">
        <v>65299</v>
      </c>
      <c r="L55" s="2894" t="s">
        <v>3114</v>
      </c>
      <c r="M55" s="2894" t="s">
        <v>2818</v>
      </c>
      <c r="N55" s="2894" t="s">
        <v>3201</v>
      </c>
      <c r="O55" s="2894" t="s">
        <v>3202</v>
      </c>
      <c r="P55" s="2894" t="s">
        <v>2818</v>
      </c>
      <c r="Q55" s="2894" t="s">
        <v>2818</v>
      </c>
      <c r="R55" s="2894" t="s">
        <v>2818</v>
      </c>
      <c r="S55" s="2894" t="s">
        <v>2818</v>
      </c>
      <c r="T55" s="2894" t="s">
        <v>2818</v>
      </c>
      <c r="U55" s="2894" t="s">
        <v>2818</v>
      </c>
      <c r="V55" s="2894" t="s">
        <v>2818</v>
      </c>
      <c r="W55" s="2894" t="s">
        <v>3170</v>
      </c>
      <c r="X55" s="2894" t="s">
        <v>3203</v>
      </c>
      <c r="Y55" s="2894" t="s">
        <v>3204</v>
      </c>
      <c r="Z55" s="2894" t="s">
        <v>3111</v>
      </c>
      <c r="AA55" s="2894" t="s">
        <v>3111</v>
      </c>
      <c r="AB55" s="2894" t="s">
        <v>3205</v>
      </c>
      <c r="AC55" s="2894" t="s">
        <v>3173</v>
      </c>
      <c r="AD55" s="2894" t="s">
        <v>3112</v>
      </c>
      <c r="AE55" s="2894">
        <v>7760</v>
      </c>
      <c r="AF55" s="2894">
        <v>7760</v>
      </c>
      <c r="AG55" s="2894">
        <v>7760</v>
      </c>
      <c r="AH55" s="2894">
        <v>134.68</v>
      </c>
      <c r="AI55" s="2894">
        <v>134.68</v>
      </c>
      <c r="AJ55" s="2894">
        <v>1188.3699999999999</v>
      </c>
      <c r="AK55" s="2894">
        <v>1188.3800000000001</v>
      </c>
      <c r="AL55" s="2894" t="s">
        <v>2818</v>
      </c>
      <c r="AM55" s="2894" t="s">
        <v>2818</v>
      </c>
      <c r="AN55" s="2894">
        <v>0</v>
      </c>
      <c r="AO55" s="2894" t="s">
        <v>3174</v>
      </c>
      <c r="AP55" s="2894" t="s">
        <v>2818</v>
      </c>
      <c r="AQ55" s="2894" t="s">
        <v>2818</v>
      </c>
      <c r="AR55" s="2894" t="s">
        <v>2818</v>
      </c>
      <c r="AS55" s="2894" t="s">
        <v>3113</v>
      </c>
    </row>
    <row r="56" spans="1:45" s="2894" customFormat="1">
      <c r="A56" s="2894" t="s">
        <v>3115</v>
      </c>
      <c r="B56" s="2894" t="s">
        <v>3082</v>
      </c>
      <c r="C56" s="2894" t="s">
        <v>3083</v>
      </c>
      <c r="D56" s="2894" t="s">
        <v>3175</v>
      </c>
      <c r="E56" s="2894" t="s">
        <v>2818</v>
      </c>
      <c r="F56" s="2894" t="s">
        <v>3115</v>
      </c>
      <c r="G56" s="2894" t="s">
        <v>3084</v>
      </c>
      <c r="H56" s="2894" t="s">
        <v>3206</v>
      </c>
      <c r="I56" s="2894" t="s">
        <v>3207</v>
      </c>
      <c r="J56" s="2894">
        <v>7000.3</v>
      </c>
      <c r="K56" s="2894">
        <v>2099.88</v>
      </c>
      <c r="L56" s="2894" t="s">
        <v>3116</v>
      </c>
      <c r="M56" s="2894" t="s">
        <v>2818</v>
      </c>
      <c r="N56" s="2894" t="s">
        <v>3208</v>
      </c>
      <c r="O56" s="2894" t="s">
        <v>3197</v>
      </c>
      <c r="P56" s="2894" t="s">
        <v>2818</v>
      </c>
      <c r="Q56" s="2894" t="s">
        <v>2818</v>
      </c>
      <c r="R56" s="2894" t="s">
        <v>2818</v>
      </c>
      <c r="S56" s="2894" t="s">
        <v>2818</v>
      </c>
      <c r="T56" s="2894" t="s">
        <v>2818</v>
      </c>
      <c r="U56" s="2894" t="s">
        <v>2818</v>
      </c>
      <c r="V56" s="2894" t="s">
        <v>2818</v>
      </c>
      <c r="W56" s="2894" t="s">
        <v>3209</v>
      </c>
      <c r="X56" s="2894" t="s">
        <v>3210</v>
      </c>
      <c r="Y56" s="2894" t="s">
        <v>3211</v>
      </c>
      <c r="Z56" s="2894" t="s">
        <v>3117</v>
      </c>
      <c r="AA56" s="2894" t="s">
        <v>3117</v>
      </c>
      <c r="AB56" s="2894" t="s">
        <v>3206</v>
      </c>
      <c r="AC56" s="2894" t="s">
        <v>3173</v>
      </c>
      <c r="AD56" s="2894" t="s">
        <v>3118</v>
      </c>
      <c r="AE56" s="2894">
        <v>950</v>
      </c>
      <c r="AF56" s="2894">
        <v>3210</v>
      </c>
      <c r="AG56" s="2894">
        <v>4900</v>
      </c>
      <c r="AH56" s="2894">
        <v>305.7</v>
      </c>
      <c r="AI56" s="2894">
        <v>466.65</v>
      </c>
      <c r="AJ56" s="2894">
        <v>15286.58</v>
      </c>
      <c r="AK56" s="2894">
        <v>23334.66</v>
      </c>
      <c r="AL56" s="2894" t="s">
        <v>2818</v>
      </c>
      <c r="AM56" s="2894" t="s">
        <v>2818</v>
      </c>
      <c r="AN56" s="2894">
        <v>52.65</v>
      </c>
      <c r="AO56" s="2894" t="s">
        <v>2818</v>
      </c>
      <c r="AP56" s="2894" t="s">
        <v>2818</v>
      </c>
      <c r="AQ56" s="2894" t="s">
        <v>2818</v>
      </c>
      <c r="AR56" s="2894" t="s">
        <v>2818</v>
      </c>
      <c r="AS56" s="2894" t="s">
        <v>3119</v>
      </c>
    </row>
    <row r="57" spans="1:45" s="2894" customFormat="1">
      <c r="A57" s="2894" t="s">
        <v>3115</v>
      </c>
      <c r="B57" s="2894" t="s">
        <v>3082</v>
      </c>
      <c r="C57" s="2894" t="s">
        <v>3083</v>
      </c>
      <c r="D57" s="2894" t="s">
        <v>3175</v>
      </c>
      <c r="E57" s="2894" t="s">
        <v>2818</v>
      </c>
      <c r="F57" s="2894" t="s">
        <v>3115</v>
      </c>
      <c r="G57" s="2894" t="s">
        <v>3084</v>
      </c>
      <c r="H57" s="2894" t="s">
        <v>3212</v>
      </c>
      <c r="I57" s="2894" t="s">
        <v>3177</v>
      </c>
      <c r="J57" s="2894">
        <v>62254</v>
      </c>
      <c r="K57" s="2894">
        <v>124502.6</v>
      </c>
      <c r="L57" s="2894" t="s">
        <v>3120</v>
      </c>
      <c r="M57" s="2894" t="s">
        <v>2818</v>
      </c>
      <c r="N57" s="2894" t="s">
        <v>3213</v>
      </c>
      <c r="O57" s="2894" t="s">
        <v>3214</v>
      </c>
      <c r="P57" s="2894" t="s">
        <v>2818</v>
      </c>
      <c r="Q57" s="2894" t="s">
        <v>2818</v>
      </c>
      <c r="R57" s="2894" t="s">
        <v>2818</v>
      </c>
      <c r="S57" s="2894" t="s">
        <v>2818</v>
      </c>
      <c r="T57" s="2894" t="s">
        <v>2818</v>
      </c>
      <c r="U57" s="2894" t="s">
        <v>2818</v>
      </c>
      <c r="V57" s="2894" t="s">
        <v>2818</v>
      </c>
      <c r="W57" s="2894" t="s">
        <v>3209</v>
      </c>
      <c r="X57" s="2894" t="s">
        <v>3215</v>
      </c>
      <c r="Y57" s="2894" t="s">
        <v>3216</v>
      </c>
      <c r="Z57" s="2894" t="s">
        <v>3121</v>
      </c>
      <c r="AA57" s="2894" t="s">
        <v>3121</v>
      </c>
      <c r="AB57" s="2894" t="s">
        <v>3212</v>
      </c>
      <c r="AC57" s="2894" t="s">
        <v>3173</v>
      </c>
      <c r="AD57" s="2894" t="s">
        <v>3122</v>
      </c>
      <c r="AE57" s="2894">
        <v>5870</v>
      </c>
      <c r="AF57" s="2894">
        <v>18400</v>
      </c>
      <c r="AG57" s="2894">
        <v>18400</v>
      </c>
      <c r="AH57" s="2894">
        <v>197.04</v>
      </c>
      <c r="AI57" s="2894">
        <v>197.04</v>
      </c>
      <c r="AJ57" s="2894">
        <v>1477.88</v>
      </c>
      <c r="AK57" s="2894">
        <v>1477.88</v>
      </c>
      <c r="AL57" s="2894" t="s">
        <v>2818</v>
      </c>
      <c r="AM57" s="2894" t="s">
        <v>2818</v>
      </c>
      <c r="AN57" s="2894">
        <v>0</v>
      </c>
      <c r="AO57" s="2894" t="s">
        <v>3174</v>
      </c>
      <c r="AP57" s="2894" t="s">
        <v>2818</v>
      </c>
      <c r="AQ57" s="2894" t="s">
        <v>2818</v>
      </c>
      <c r="AR57" s="2894" t="s">
        <v>2818</v>
      </c>
      <c r="AS57" s="2894" t="s">
        <v>3119</v>
      </c>
    </row>
    <row r="58" spans="1:45" s="2894" customFormat="1">
      <c r="A58" s="2894" t="s">
        <v>3102</v>
      </c>
      <c r="B58" s="2894" t="s">
        <v>3082</v>
      </c>
      <c r="C58" s="2894" t="s">
        <v>3083</v>
      </c>
      <c r="D58" s="2894" t="s">
        <v>3175</v>
      </c>
      <c r="E58" s="2894" t="s">
        <v>2818</v>
      </c>
      <c r="F58" s="2894" t="s">
        <v>3102</v>
      </c>
      <c r="G58" s="2894" t="s">
        <v>3084</v>
      </c>
      <c r="H58" s="2894" t="s">
        <v>3217</v>
      </c>
      <c r="I58" s="2894" t="s">
        <v>3218</v>
      </c>
      <c r="J58" s="2894">
        <v>84002.7</v>
      </c>
      <c r="K58" s="2894">
        <v>126004</v>
      </c>
      <c r="L58" s="2894" t="s">
        <v>3123</v>
      </c>
      <c r="M58" s="2894" t="s">
        <v>2818</v>
      </c>
      <c r="N58" s="2894" t="s">
        <v>3182</v>
      </c>
      <c r="O58" s="2894" t="s">
        <v>3195</v>
      </c>
      <c r="P58" s="2894" t="s">
        <v>2818</v>
      </c>
      <c r="Q58" s="2894" t="s">
        <v>2818</v>
      </c>
      <c r="R58" s="2894" t="s">
        <v>2818</v>
      </c>
      <c r="S58" s="2894" t="s">
        <v>2818</v>
      </c>
      <c r="T58" s="2894" t="s">
        <v>2818</v>
      </c>
      <c r="U58" s="2894" t="s">
        <v>2818</v>
      </c>
      <c r="V58" s="2894" t="s">
        <v>2818</v>
      </c>
      <c r="W58" s="2894" t="s">
        <v>3209</v>
      </c>
      <c r="X58" s="2894" t="s">
        <v>3219</v>
      </c>
      <c r="Y58" s="2894" t="s">
        <v>3216</v>
      </c>
      <c r="Z58" s="2894" t="s">
        <v>3121</v>
      </c>
      <c r="AA58" s="2894" t="s">
        <v>3121</v>
      </c>
      <c r="AB58" s="2894" t="s">
        <v>3217</v>
      </c>
      <c r="AC58" s="2894" t="s">
        <v>3173</v>
      </c>
      <c r="AD58" s="2894" t="s">
        <v>3124</v>
      </c>
      <c r="AE58" s="2894">
        <v>10230</v>
      </c>
      <c r="AF58" s="2894">
        <v>34190</v>
      </c>
      <c r="AG58" s="2894">
        <v>34190</v>
      </c>
      <c r="AH58" s="2894">
        <v>271.33999999999997</v>
      </c>
      <c r="AI58" s="2894">
        <v>271.33999999999997</v>
      </c>
      <c r="AJ58" s="2894">
        <v>2713.4</v>
      </c>
      <c r="AK58" s="2894">
        <v>2713.4</v>
      </c>
      <c r="AL58" s="2894" t="s">
        <v>2818</v>
      </c>
      <c r="AM58" s="2894" t="s">
        <v>2818</v>
      </c>
      <c r="AN58" s="2894">
        <v>0</v>
      </c>
      <c r="AO58" s="2894" t="s">
        <v>3174</v>
      </c>
      <c r="AP58" s="2894" t="s">
        <v>2818</v>
      </c>
      <c r="AQ58" s="2894" t="s">
        <v>2818</v>
      </c>
      <c r="AR58" s="2894" t="s">
        <v>2818</v>
      </c>
      <c r="AS58" s="2894" t="s">
        <v>3098</v>
      </c>
    </row>
    <row r="59" spans="1:45" s="2894" customFormat="1">
      <c r="A59" s="2894" t="s">
        <v>3125</v>
      </c>
      <c r="B59" s="2894" t="s">
        <v>3082</v>
      </c>
      <c r="C59" s="2894" t="s">
        <v>3083</v>
      </c>
      <c r="D59" s="2894" t="s">
        <v>3166</v>
      </c>
      <c r="E59" s="2894" t="s">
        <v>2818</v>
      </c>
      <c r="F59" s="2894" t="s">
        <v>3125</v>
      </c>
      <c r="G59" s="2894" t="s">
        <v>3084</v>
      </c>
      <c r="H59" s="2894" t="s">
        <v>3220</v>
      </c>
      <c r="I59" s="2894" t="s">
        <v>3177</v>
      </c>
      <c r="J59" s="2894">
        <v>6709.5</v>
      </c>
      <c r="K59" s="2894">
        <v>24154.2</v>
      </c>
      <c r="L59" s="2894" t="s">
        <v>3126</v>
      </c>
      <c r="M59" s="2894" t="s">
        <v>2818</v>
      </c>
      <c r="N59" s="2894" t="s">
        <v>3201</v>
      </c>
      <c r="O59" s="2894" t="s">
        <v>3221</v>
      </c>
      <c r="P59" s="2894" t="s">
        <v>2818</v>
      </c>
      <c r="Q59" s="2894" t="s">
        <v>2818</v>
      </c>
      <c r="R59" s="2894" t="s">
        <v>2818</v>
      </c>
      <c r="S59" s="2894" t="s">
        <v>2818</v>
      </c>
      <c r="T59" s="2894" t="s">
        <v>2818</v>
      </c>
      <c r="U59" s="2894" t="s">
        <v>2818</v>
      </c>
      <c r="V59" s="2894" t="s">
        <v>2818</v>
      </c>
      <c r="W59" s="2894" t="s">
        <v>3209</v>
      </c>
      <c r="X59" s="2894" t="s">
        <v>3222</v>
      </c>
      <c r="Y59" s="2894" t="s">
        <v>3223</v>
      </c>
      <c r="Z59" s="2894" t="s">
        <v>3127</v>
      </c>
      <c r="AA59" s="2894" t="s">
        <v>3127</v>
      </c>
      <c r="AB59" s="2894" t="s">
        <v>3220</v>
      </c>
      <c r="AC59" s="2894" t="s">
        <v>3173</v>
      </c>
      <c r="AD59" s="2894" t="s">
        <v>3128</v>
      </c>
      <c r="AE59" s="2894">
        <v>5500</v>
      </c>
      <c r="AF59" s="2894">
        <v>15200</v>
      </c>
      <c r="AG59" s="2894">
        <v>15200</v>
      </c>
      <c r="AH59" s="2894">
        <v>1510.3</v>
      </c>
      <c r="AI59" s="2894">
        <v>1510.3</v>
      </c>
      <c r="AJ59" s="2894">
        <v>6292.9</v>
      </c>
      <c r="AK59" s="2894">
        <v>6292.89</v>
      </c>
      <c r="AL59" s="2894" t="s">
        <v>2818</v>
      </c>
      <c r="AM59" s="2894" t="s">
        <v>2818</v>
      </c>
      <c r="AN59" s="2894">
        <v>0</v>
      </c>
      <c r="AO59" s="2894" t="s">
        <v>3174</v>
      </c>
      <c r="AP59" s="2894" t="s">
        <v>2818</v>
      </c>
      <c r="AQ59" s="2894" t="s">
        <v>2818</v>
      </c>
      <c r="AR59" s="2894" t="s">
        <v>2818</v>
      </c>
      <c r="AS59" s="2894" t="s">
        <v>3098</v>
      </c>
    </row>
    <row r="60" spans="1:45" s="2894" customFormat="1">
      <c r="A60" s="2894" t="s">
        <v>3129</v>
      </c>
      <c r="B60" s="2894" t="s">
        <v>3082</v>
      </c>
      <c r="C60" s="2894" t="s">
        <v>3083</v>
      </c>
      <c r="D60" s="2894" t="s">
        <v>3175</v>
      </c>
      <c r="E60" s="2894" t="s">
        <v>2818</v>
      </c>
      <c r="F60" s="2894" t="s">
        <v>3129</v>
      </c>
      <c r="G60" s="2894" t="s">
        <v>3084</v>
      </c>
      <c r="H60" s="2894" t="s">
        <v>3224</v>
      </c>
      <c r="I60" s="2894" t="s">
        <v>3177</v>
      </c>
      <c r="J60" s="2894">
        <v>13385.4</v>
      </c>
      <c r="K60" s="2894">
        <v>26770.799999999999</v>
      </c>
      <c r="L60" s="2894" t="s">
        <v>3094</v>
      </c>
      <c r="M60" s="2894" t="s">
        <v>2818</v>
      </c>
      <c r="N60" s="2894" t="s">
        <v>3201</v>
      </c>
      <c r="O60" s="2894" t="s">
        <v>3225</v>
      </c>
      <c r="P60" s="2894" t="s">
        <v>2818</v>
      </c>
      <c r="Q60" s="2894" t="s">
        <v>2818</v>
      </c>
      <c r="R60" s="2894" t="s">
        <v>2818</v>
      </c>
      <c r="S60" s="2894" t="s">
        <v>2818</v>
      </c>
      <c r="T60" s="2894" t="s">
        <v>2818</v>
      </c>
      <c r="U60" s="2894" t="s">
        <v>2818</v>
      </c>
      <c r="V60" s="2894" t="s">
        <v>2818</v>
      </c>
      <c r="W60" s="2894" t="s">
        <v>3209</v>
      </c>
      <c r="X60" s="2894" t="s">
        <v>3226</v>
      </c>
      <c r="Y60" s="2894" t="s">
        <v>3227</v>
      </c>
      <c r="Z60" s="2894" t="s">
        <v>3130</v>
      </c>
      <c r="AA60" s="2894" t="s">
        <v>3130</v>
      </c>
      <c r="AB60" s="2894" t="s">
        <v>3224</v>
      </c>
      <c r="AC60" s="2894" t="s">
        <v>3173</v>
      </c>
      <c r="AD60" s="2894" t="s">
        <v>3131</v>
      </c>
      <c r="AE60" s="2894">
        <v>1280</v>
      </c>
      <c r="AF60" s="2894">
        <v>4010</v>
      </c>
      <c r="AG60" s="2894">
        <v>4010</v>
      </c>
      <c r="AH60" s="2894">
        <v>199.72</v>
      </c>
      <c r="AI60" s="2894">
        <v>199.72</v>
      </c>
      <c r="AJ60" s="2894">
        <v>1497.9</v>
      </c>
      <c r="AK60" s="2894">
        <v>1497.9</v>
      </c>
      <c r="AL60" s="2894" t="s">
        <v>2818</v>
      </c>
      <c r="AM60" s="2894" t="s">
        <v>2818</v>
      </c>
      <c r="AN60" s="2894">
        <v>0</v>
      </c>
      <c r="AO60" s="2894" t="s">
        <v>3174</v>
      </c>
      <c r="AP60" s="2894" t="s">
        <v>2818</v>
      </c>
      <c r="AQ60" s="2894" t="s">
        <v>2818</v>
      </c>
      <c r="AR60" s="2894" t="s">
        <v>2818</v>
      </c>
      <c r="AS60" s="2894" t="s">
        <v>3092</v>
      </c>
    </row>
    <row r="61" spans="1:45" s="2894" customFormat="1">
      <c r="A61" s="2894" t="s">
        <v>3132</v>
      </c>
      <c r="B61" s="2894" t="s">
        <v>3082</v>
      </c>
      <c r="C61" s="2894" t="s">
        <v>3083</v>
      </c>
      <c r="D61" s="2894" t="s">
        <v>3175</v>
      </c>
      <c r="E61" s="2894" t="s">
        <v>2818</v>
      </c>
      <c r="F61" s="2894" t="s">
        <v>3132</v>
      </c>
      <c r="G61" s="2894" t="s">
        <v>3084</v>
      </c>
      <c r="H61" s="2894" t="s">
        <v>3228</v>
      </c>
      <c r="I61" s="2894" t="s">
        <v>3168</v>
      </c>
      <c r="J61" s="2894">
        <v>33298.9</v>
      </c>
      <c r="K61" s="2894">
        <v>49948.35</v>
      </c>
      <c r="L61" s="2894" t="s">
        <v>3123</v>
      </c>
      <c r="M61" s="2894" t="s">
        <v>2818</v>
      </c>
      <c r="N61" s="2894" t="s">
        <v>3194</v>
      </c>
      <c r="O61" s="2894" t="s">
        <v>3229</v>
      </c>
      <c r="P61" s="2894" t="s">
        <v>2818</v>
      </c>
      <c r="Q61" s="2894" t="s">
        <v>2818</v>
      </c>
      <c r="R61" s="2894" t="s">
        <v>2818</v>
      </c>
      <c r="S61" s="2894" t="s">
        <v>2818</v>
      </c>
      <c r="T61" s="2894" t="s">
        <v>2818</v>
      </c>
      <c r="U61" s="2894" t="s">
        <v>2818</v>
      </c>
      <c r="V61" s="2894" t="s">
        <v>2818</v>
      </c>
      <c r="W61" s="2894" t="s">
        <v>3209</v>
      </c>
      <c r="X61" s="2894" t="s">
        <v>3230</v>
      </c>
      <c r="Y61" s="2894" t="s">
        <v>3231</v>
      </c>
      <c r="Z61" s="2894" t="s">
        <v>3133</v>
      </c>
      <c r="AA61" s="2894" t="s">
        <v>3133</v>
      </c>
      <c r="AB61" s="2894" t="s">
        <v>3228</v>
      </c>
      <c r="AC61" s="2894" t="s">
        <v>3173</v>
      </c>
      <c r="AD61" s="2894" t="s">
        <v>3134</v>
      </c>
      <c r="AE61" s="2894">
        <v>3630</v>
      </c>
      <c r="AF61" s="2894">
        <v>11830</v>
      </c>
      <c r="AG61" s="2894">
        <v>11830</v>
      </c>
      <c r="AH61" s="2894">
        <v>236.84</v>
      </c>
      <c r="AI61" s="2894">
        <v>236.84</v>
      </c>
      <c r="AJ61" s="2894">
        <v>2368.44</v>
      </c>
      <c r="AK61" s="2894">
        <v>2368.44</v>
      </c>
      <c r="AL61" s="2894" t="s">
        <v>2818</v>
      </c>
      <c r="AM61" s="2894" t="s">
        <v>2818</v>
      </c>
      <c r="AN61" s="2894">
        <v>0</v>
      </c>
      <c r="AO61" s="2894" t="s">
        <v>3174</v>
      </c>
      <c r="AP61" s="2894" t="s">
        <v>2818</v>
      </c>
      <c r="AQ61" s="2894" t="s">
        <v>2818</v>
      </c>
      <c r="AR61" s="2894" t="s">
        <v>2818</v>
      </c>
      <c r="AS61" s="2894" t="s">
        <v>3092</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1" t="s">
        <v>522</v>
      </c>
      <c r="D4" s="3382"/>
      <c r="E4" s="3407" t="s">
        <v>523</v>
      </c>
      <c r="F4" s="3408"/>
      <c r="G4" s="3381" t="s">
        <v>524</v>
      </c>
      <c r="H4" s="3382"/>
      <c r="I4" s="3381" t="s">
        <v>525</v>
      </c>
      <c r="J4" s="3382"/>
      <c r="K4" s="514" t="s">
        <v>526</v>
      </c>
      <c r="L4" s="2118"/>
      <c r="M4" s="2119"/>
      <c r="N4" s="2119"/>
      <c r="O4" s="2119"/>
      <c r="P4" s="3383" t="s">
        <v>527</v>
      </c>
      <c r="Q4" s="3384"/>
      <c r="R4" s="3369" t="s">
        <v>523</v>
      </c>
      <c r="S4" s="3370"/>
      <c r="T4" s="3369" t="s">
        <v>524</v>
      </c>
      <c r="U4" s="3370"/>
      <c r="V4" s="3389" t="s">
        <v>525</v>
      </c>
      <c r="W4" s="3389"/>
      <c r="X4" s="1553"/>
      <c r="Y4" s="3369" t="s">
        <v>527</v>
      </c>
      <c r="Z4" s="3370"/>
      <c r="AA4" s="3364" t="s">
        <v>523</v>
      </c>
      <c r="AB4" s="3365" t="s">
        <v>524</v>
      </c>
      <c r="AC4" s="3364" t="s">
        <v>525</v>
      </c>
    </row>
    <row r="5" spans="1:29" ht="15">
      <c r="A5" s="515"/>
      <c r="B5" s="516"/>
      <c r="C5" s="3392" t="s">
        <v>2926</v>
      </c>
      <c r="D5" s="3393"/>
      <c r="E5" s="3409" t="s">
        <v>2927</v>
      </c>
      <c r="F5" s="3410"/>
      <c r="G5" s="3392" t="s">
        <v>2928</v>
      </c>
      <c r="H5" s="3393"/>
      <c r="I5" s="3392" t="s">
        <v>2929</v>
      </c>
      <c r="J5" s="3393"/>
      <c r="K5" s="514"/>
      <c r="L5" s="2118"/>
      <c r="M5" s="2119"/>
      <c r="N5" s="2119"/>
      <c r="O5" s="2119"/>
      <c r="P5" s="3385"/>
      <c r="Q5" s="3386"/>
      <c r="R5" s="3371"/>
      <c r="S5" s="3372"/>
      <c r="T5" s="3371"/>
      <c r="U5" s="3372"/>
      <c r="V5" s="3389"/>
      <c r="W5" s="3389"/>
      <c r="X5" s="1553"/>
      <c r="Y5" s="3371"/>
      <c r="Z5" s="3372"/>
      <c r="AA5" s="3365"/>
      <c r="AB5" s="3365"/>
      <c r="AC5" s="3365"/>
    </row>
    <row r="6" spans="1:29" ht="15.75" thickBot="1">
      <c r="A6" s="517"/>
      <c r="B6" s="518"/>
      <c r="C6" s="3390" t="s">
        <v>2930</v>
      </c>
      <c r="D6" s="3391"/>
      <c r="E6" s="3411" t="s">
        <v>2930</v>
      </c>
      <c r="F6" s="3412"/>
      <c r="G6" s="3390" t="s">
        <v>2930</v>
      </c>
      <c r="H6" s="3391"/>
      <c r="I6" s="3390" t="s">
        <v>2930</v>
      </c>
      <c r="J6" s="3391"/>
      <c r="K6" s="514" t="s">
        <v>528</v>
      </c>
      <c r="L6" s="2118"/>
      <c r="M6" s="2119"/>
      <c r="N6" s="2119"/>
      <c r="O6" s="2119"/>
      <c r="P6" s="3387"/>
      <c r="Q6" s="3388"/>
      <c r="R6" s="3371"/>
      <c r="S6" s="3372"/>
      <c r="T6" s="3373"/>
      <c r="U6" s="3374"/>
      <c r="V6" s="3389"/>
      <c r="W6" s="3389"/>
      <c r="X6" s="1553"/>
      <c r="Y6" s="3373"/>
      <c r="Z6" s="3374"/>
      <c r="AA6" s="3366"/>
      <c r="AB6" s="3366"/>
      <c r="AC6" s="3366"/>
    </row>
    <row r="7" spans="1:29" s="1216" customFormat="1" ht="15.75" thickBot="1">
      <c r="A7" s="2867"/>
      <c r="B7" s="2874" t="s">
        <v>529</v>
      </c>
      <c r="C7" s="519">
        <f>'数据-取费表'!B2</f>
        <v>43693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7" t="s">
        <v>530</v>
      </c>
      <c r="Q7" s="3376"/>
      <c r="R7" s="1554" t="s">
        <v>8</v>
      </c>
      <c r="S7" s="1555">
        <f t="shared" ref="S7:S15" si="0">F7</f>
        <v>0</v>
      </c>
      <c r="T7" s="1554" t="s">
        <v>8</v>
      </c>
      <c r="U7" s="1555">
        <f t="shared" ref="U7:U15" si="1">H7</f>
        <v>0</v>
      </c>
      <c r="V7" s="1554" t="s">
        <v>8</v>
      </c>
      <c r="W7" s="1555">
        <f t="shared" ref="W7:W15" si="2">J7</f>
        <v>0</v>
      </c>
      <c r="X7" s="1556"/>
      <c r="Y7" s="3367" t="s">
        <v>530</v>
      </c>
      <c r="Z7" s="3368"/>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7" t="s">
        <v>533</v>
      </c>
      <c r="Q8" s="3368"/>
      <c r="R8" s="1554" t="s">
        <v>8</v>
      </c>
      <c r="S8" s="1555">
        <f t="shared" si="0"/>
        <v>0</v>
      </c>
      <c r="T8" s="1554" t="s">
        <v>8</v>
      </c>
      <c r="U8" s="1555">
        <f t="shared" si="1"/>
        <v>0</v>
      </c>
      <c r="V8" s="1554" t="s">
        <v>8</v>
      </c>
      <c r="W8" s="1555">
        <f t="shared" si="2"/>
        <v>0</v>
      </c>
      <c r="X8" s="1556"/>
      <c r="Y8" s="3367" t="s">
        <v>533</v>
      </c>
      <c r="Z8" s="3368"/>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5" t="s">
        <v>535</v>
      </c>
      <c r="Q9" s="1147" t="str">
        <f t="shared" ref="Q9:Q15" si="6">B9</f>
        <v>用途</v>
      </c>
      <c r="R9" s="1554" t="s">
        <v>8</v>
      </c>
      <c r="S9" s="1555">
        <f t="shared" si="0"/>
        <v>100</v>
      </c>
      <c r="T9" s="1554" t="s">
        <v>8</v>
      </c>
      <c r="U9" s="1555">
        <f t="shared" si="1"/>
        <v>100</v>
      </c>
      <c r="V9" s="1554" t="s">
        <v>8</v>
      </c>
      <c r="W9" s="1555">
        <f t="shared" si="2"/>
        <v>100</v>
      </c>
      <c r="X9" s="1556"/>
      <c r="Y9" s="333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5"/>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5"/>
      <c r="Q11" s="1147" t="str">
        <f t="shared" si="6"/>
        <v>容积率</v>
      </c>
      <c r="R11" s="1554" t="s">
        <v>8</v>
      </c>
      <c r="S11" s="1555" t="e">
        <f t="shared" si="0"/>
        <v>#N/A</v>
      </c>
      <c r="T11" s="1554" t="s">
        <v>8</v>
      </c>
      <c r="U11" s="1555" t="e">
        <f t="shared" si="1"/>
        <v>#N/A</v>
      </c>
      <c r="V11" s="1554" t="s">
        <v>8</v>
      </c>
      <c r="W11" s="1555" t="e">
        <f t="shared" si="2"/>
        <v>#N/A</v>
      </c>
      <c r="X11" s="1556"/>
      <c r="Y11" s="333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5"/>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5"/>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5"/>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7" t="s">
        <v>540</v>
      </c>
      <c r="Q15" s="1558" t="str">
        <f t="shared" si="6"/>
        <v>产业集聚程度</v>
      </c>
      <c r="R15" s="1559" t="s">
        <v>8</v>
      </c>
      <c r="S15" s="1560">
        <f t="shared" si="0"/>
        <v>100</v>
      </c>
      <c r="T15" s="1559" t="s">
        <v>8</v>
      </c>
      <c r="U15" s="1560">
        <f t="shared" si="1"/>
        <v>100</v>
      </c>
      <c r="V15" s="1559" t="s">
        <v>8</v>
      </c>
      <c r="W15" s="1560">
        <f t="shared" si="2"/>
        <v>100</v>
      </c>
      <c r="X15" s="1553"/>
      <c r="Y15" s="337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8"/>
      <c r="Q16" s="1558"/>
      <c r="R16" s="1559"/>
      <c r="S16" s="1560"/>
      <c r="T16" s="1559"/>
      <c r="U16" s="1560"/>
      <c r="V16" s="1559"/>
      <c r="W16" s="1560"/>
      <c r="X16" s="1553"/>
      <c r="Y16" s="337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78"/>
      <c r="Q17" s="1558" t="str">
        <f>B17</f>
        <v>交通便捷度</v>
      </c>
      <c r="R17" s="1559" t="s">
        <v>8</v>
      </c>
      <c r="S17" s="1560">
        <f>F17</f>
        <v>100</v>
      </c>
      <c r="T17" s="1559" t="s">
        <v>8</v>
      </c>
      <c r="U17" s="1560">
        <f>H17</f>
        <v>100</v>
      </c>
      <c r="V17" s="1559" t="s">
        <v>8</v>
      </c>
      <c r="W17" s="1560">
        <f>J17</f>
        <v>100</v>
      </c>
      <c r="X17" s="1553"/>
      <c r="Y17" s="337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8"/>
      <c r="Q18" s="1558"/>
      <c r="R18" s="1559"/>
      <c r="S18" s="1560"/>
      <c r="T18" s="1559"/>
      <c r="U18" s="1560"/>
      <c r="V18" s="1559"/>
      <c r="W18" s="1560"/>
      <c r="X18" s="1553"/>
      <c r="Y18" s="3378"/>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78"/>
      <c r="Q19" s="1558" t="str">
        <f>B19</f>
        <v>公共配套设施</v>
      </c>
      <c r="R19" s="1559" t="s">
        <v>8</v>
      </c>
      <c r="S19" s="1560">
        <f>F19</f>
        <v>100</v>
      </c>
      <c r="T19" s="1559" t="s">
        <v>8</v>
      </c>
      <c r="U19" s="1560">
        <f>H19</f>
        <v>100</v>
      </c>
      <c r="V19" s="1559" t="s">
        <v>8</v>
      </c>
      <c r="W19" s="1560">
        <f>J19</f>
        <v>100</v>
      </c>
      <c r="X19" s="1553"/>
      <c r="Y19" s="337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78"/>
      <c r="Q20" s="1558"/>
      <c r="R20" s="1559"/>
      <c r="S20" s="1560"/>
      <c r="T20" s="1559"/>
      <c r="U20" s="1560"/>
      <c r="V20" s="1559"/>
      <c r="W20" s="1560"/>
      <c r="X20" s="1553"/>
      <c r="Y20" s="3378"/>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78"/>
      <c r="Q21" s="2543" t="str">
        <f>B21</f>
        <v>基础设施水平</v>
      </c>
      <c r="R21" s="1559" t="s">
        <v>8</v>
      </c>
      <c r="S21" s="1560">
        <f>F21</f>
        <v>100</v>
      </c>
      <c r="T21" s="1559" t="s">
        <v>8</v>
      </c>
      <c r="U21" s="1560">
        <f>H21</f>
        <v>100</v>
      </c>
      <c r="V21" s="1559" t="s">
        <v>8</v>
      </c>
      <c r="W21" s="1560">
        <f>J21</f>
        <v>100</v>
      </c>
      <c r="X21" s="2545"/>
      <c r="Y21" s="337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78"/>
      <c r="Q22" s="2543"/>
      <c r="R22" s="1559"/>
      <c r="S22" s="1560"/>
      <c r="T22" s="1559"/>
      <c r="U22" s="1560"/>
      <c r="V22" s="1559"/>
      <c r="W22" s="1560"/>
      <c r="X22" s="2545"/>
      <c r="Y22" s="3378"/>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78"/>
      <c r="Q23" s="1558" t="str">
        <f>B23</f>
        <v>环境质量</v>
      </c>
      <c r="R23" s="1559" t="s">
        <v>8</v>
      </c>
      <c r="S23" s="1560">
        <f>F23</f>
        <v>100</v>
      </c>
      <c r="T23" s="1559" t="s">
        <v>8</v>
      </c>
      <c r="U23" s="1560">
        <f>H23</f>
        <v>100</v>
      </c>
      <c r="V23" s="1559" t="s">
        <v>8</v>
      </c>
      <c r="W23" s="1560">
        <f>J23</f>
        <v>100</v>
      </c>
      <c r="X23" s="1553"/>
      <c r="Y23" s="337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78"/>
      <c r="Q24" s="1558"/>
      <c r="R24" s="1559"/>
      <c r="S24" s="1560"/>
      <c r="T24" s="1559"/>
      <c r="U24" s="1560"/>
      <c r="V24" s="1559"/>
      <c r="W24" s="1560"/>
      <c r="X24" s="1553"/>
      <c r="Y24" s="337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78"/>
      <c r="Q25" s="1558">
        <f>B25</f>
        <v>111</v>
      </c>
      <c r="R25" s="1559" t="s">
        <v>8</v>
      </c>
      <c r="S25" s="1560">
        <f>F25</f>
        <v>100</v>
      </c>
      <c r="T25" s="1559" t="s">
        <v>8</v>
      </c>
      <c r="U25" s="1560">
        <f>H25</f>
        <v>100</v>
      </c>
      <c r="V25" s="1559" t="s">
        <v>8</v>
      </c>
      <c r="W25" s="1560">
        <f>J25</f>
        <v>100</v>
      </c>
      <c r="X25" s="1553"/>
      <c r="Y25" s="337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78"/>
      <c r="Q26" s="1558">
        <f t="shared" ref="Q26:Q40" si="11">B26</f>
        <v>111</v>
      </c>
      <c r="R26" s="1559" t="s">
        <v>8</v>
      </c>
      <c r="S26" s="1560">
        <f>F26</f>
        <v>100</v>
      </c>
      <c r="T26" s="1559" t="s">
        <v>8</v>
      </c>
      <c r="U26" s="1560">
        <f>H26</f>
        <v>100</v>
      </c>
      <c r="V26" s="1559" t="s">
        <v>8</v>
      </c>
      <c r="W26" s="1560">
        <f>J26</f>
        <v>100</v>
      </c>
      <c r="X26" s="1553"/>
      <c r="Y26" s="3378"/>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78"/>
      <c r="Q27" s="1147">
        <f t="shared" si="11"/>
        <v>111</v>
      </c>
      <c r="R27" s="1554" t="s">
        <v>8</v>
      </c>
      <c r="S27" s="1555">
        <f>F27</f>
        <v>100</v>
      </c>
      <c r="T27" s="1554" t="s">
        <v>8</v>
      </c>
      <c r="U27" s="1555">
        <f>H27</f>
        <v>100</v>
      </c>
      <c r="V27" s="1554" t="s">
        <v>8</v>
      </c>
      <c r="W27" s="1555">
        <f>J27</f>
        <v>100</v>
      </c>
      <c r="X27" s="1556"/>
      <c r="Y27" s="3378"/>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78"/>
      <c r="Q28" s="1558">
        <f t="shared" si="11"/>
        <v>111</v>
      </c>
      <c r="R28" s="1559" t="s">
        <v>8</v>
      </c>
      <c r="S28" s="1560">
        <f t="shared" ref="S28:S40" si="12">F28</f>
        <v>100</v>
      </c>
      <c r="T28" s="1559" t="s">
        <v>8</v>
      </c>
      <c r="U28" s="1560">
        <f t="shared" ref="U28:U40" si="13">H28</f>
        <v>100</v>
      </c>
      <c r="V28" s="1559" t="s">
        <v>8</v>
      </c>
      <c r="W28" s="1560">
        <f t="shared" ref="W28:W40" si="14">J28</f>
        <v>100</v>
      </c>
      <c r="X28" s="1553"/>
      <c r="Y28" s="3378"/>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79" t="s">
        <v>550</v>
      </c>
      <c r="Q29" s="1558" t="str">
        <f t="shared" si="11"/>
        <v>建筑类型</v>
      </c>
      <c r="R29" s="1559" t="s">
        <v>8</v>
      </c>
      <c r="S29" s="1560">
        <f t="shared" si="12"/>
        <v>100</v>
      </c>
      <c r="T29" s="1559" t="s">
        <v>8</v>
      </c>
      <c r="U29" s="1560">
        <f t="shared" si="13"/>
        <v>100</v>
      </c>
      <c r="V29" s="1559" t="s">
        <v>8</v>
      </c>
      <c r="W29" s="1560">
        <f t="shared" si="14"/>
        <v>100</v>
      </c>
      <c r="X29" s="1553"/>
      <c r="Y29" s="3380"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0"/>
      <c r="Q30" s="1590" t="str">
        <f t="shared" si="11"/>
        <v>项目建筑规模</v>
      </c>
      <c r="R30" s="1563" t="s">
        <v>8</v>
      </c>
      <c r="S30" s="1564" t="e">
        <f t="shared" si="12"/>
        <v>#N/A</v>
      </c>
      <c r="T30" s="1563" t="s">
        <v>8</v>
      </c>
      <c r="U30" s="1564" t="e">
        <f t="shared" si="13"/>
        <v>#N/A</v>
      </c>
      <c r="V30" s="1563" t="s">
        <v>8</v>
      </c>
      <c r="W30" s="1564" t="e">
        <f t="shared" si="14"/>
        <v>#N/A</v>
      </c>
      <c r="X30" s="1565"/>
      <c r="Y30" s="338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0"/>
      <c r="Q31" s="1558" t="str">
        <f t="shared" si="11"/>
        <v>建筑结构</v>
      </c>
      <c r="R31" s="1559" t="s">
        <v>8</v>
      </c>
      <c r="S31" s="1560">
        <f t="shared" si="12"/>
        <v>100</v>
      </c>
      <c r="T31" s="1559" t="s">
        <v>8</v>
      </c>
      <c r="U31" s="1560">
        <f t="shared" si="13"/>
        <v>100</v>
      </c>
      <c r="V31" s="1559" t="s">
        <v>8</v>
      </c>
      <c r="W31" s="1560">
        <f t="shared" si="14"/>
        <v>100</v>
      </c>
      <c r="X31" s="1553"/>
      <c r="Y31" s="338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0"/>
      <c r="Q32" s="1558" t="str">
        <f t="shared" si="11"/>
        <v>公共部分装修</v>
      </c>
      <c r="R32" s="1559" t="s">
        <v>8</v>
      </c>
      <c r="S32" s="1560">
        <f t="shared" si="12"/>
        <v>100</v>
      </c>
      <c r="T32" s="1559" t="s">
        <v>8</v>
      </c>
      <c r="U32" s="1560">
        <f t="shared" si="13"/>
        <v>100</v>
      </c>
      <c r="V32" s="1559" t="s">
        <v>8</v>
      </c>
      <c r="W32" s="1560">
        <f t="shared" si="14"/>
        <v>100</v>
      </c>
      <c r="X32" s="1553"/>
      <c r="Y32" s="3380"/>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0"/>
      <c r="Q33" s="1558" t="str">
        <f t="shared" si="11"/>
        <v>成新度</v>
      </c>
      <c r="R33" s="1559" t="s">
        <v>8</v>
      </c>
      <c r="S33" s="1560" t="e">
        <f t="shared" si="12"/>
        <v>#N/A</v>
      </c>
      <c r="T33" s="1559" t="s">
        <v>8</v>
      </c>
      <c r="U33" s="1560" t="e">
        <f t="shared" si="13"/>
        <v>#N/A</v>
      </c>
      <c r="V33" s="1559" t="s">
        <v>8</v>
      </c>
      <c r="W33" s="1560" t="e">
        <f t="shared" si="14"/>
        <v>#N/A</v>
      </c>
      <c r="X33" s="1553"/>
      <c r="Y33" s="3380"/>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0"/>
      <c r="Q34" s="1147" t="str">
        <f t="shared" si="11"/>
        <v>物业管理</v>
      </c>
      <c r="R34" s="1554" t="s">
        <v>8</v>
      </c>
      <c r="S34" s="1555">
        <f t="shared" si="12"/>
        <v>100</v>
      </c>
      <c r="T34" s="1554" t="s">
        <v>8</v>
      </c>
      <c r="U34" s="1555">
        <f t="shared" si="13"/>
        <v>100</v>
      </c>
      <c r="V34" s="1554" t="s">
        <v>8</v>
      </c>
      <c r="W34" s="1555">
        <f t="shared" si="14"/>
        <v>100</v>
      </c>
      <c r="X34" s="1556"/>
      <c r="Y34" s="3380"/>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0" t="s">
        <v>550</v>
      </c>
      <c r="Q35" s="1558" t="str">
        <f t="shared" si="11"/>
        <v>市政基础设施</v>
      </c>
      <c r="R35" s="1559" t="s">
        <v>8</v>
      </c>
      <c r="S35" s="1560">
        <f t="shared" si="12"/>
        <v>100</v>
      </c>
      <c r="T35" s="1559" t="s">
        <v>8</v>
      </c>
      <c r="U35" s="1560">
        <f t="shared" si="13"/>
        <v>100</v>
      </c>
      <c r="V35" s="1559" t="s">
        <v>8</v>
      </c>
      <c r="W35" s="1560">
        <f t="shared" si="14"/>
        <v>100</v>
      </c>
      <c r="X35" s="1553"/>
      <c r="Y35" s="338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0"/>
      <c r="Q36" s="1558" t="str">
        <f t="shared" si="11"/>
        <v>内部装修</v>
      </c>
      <c r="R36" s="1559" t="s">
        <v>8</v>
      </c>
      <c r="S36" s="1560">
        <f t="shared" si="12"/>
        <v>100</v>
      </c>
      <c r="T36" s="1559" t="s">
        <v>8</v>
      </c>
      <c r="U36" s="1560">
        <f t="shared" si="13"/>
        <v>100</v>
      </c>
      <c r="V36" s="1559" t="s">
        <v>8</v>
      </c>
      <c r="W36" s="1560">
        <f t="shared" si="14"/>
        <v>100</v>
      </c>
      <c r="X36" s="1553"/>
      <c r="Y36" s="338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0"/>
      <c r="Q37" s="1558" t="str">
        <f t="shared" si="11"/>
        <v>内部装修状况</v>
      </c>
      <c r="R37" s="1559" t="s">
        <v>8</v>
      </c>
      <c r="S37" s="1560">
        <f t="shared" si="12"/>
        <v>100</v>
      </c>
      <c r="T37" s="1559" t="s">
        <v>8</v>
      </c>
      <c r="U37" s="1560">
        <f t="shared" si="13"/>
        <v>100</v>
      </c>
      <c r="V37" s="1559" t="s">
        <v>8</v>
      </c>
      <c r="W37" s="1560">
        <f t="shared" si="14"/>
        <v>100</v>
      </c>
      <c r="X37" s="1553"/>
      <c r="Y37" s="3380"/>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0"/>
      <c r="Q38" s="1590">
        <f t="shared" si="11"/>
        <v>111</v>
      </c>
      <c r="R38" s="1563" t="s">
        <v>8</v>
      </c>
      <c r="S38" s="1564">
        <f t="shared" si="12"/>
        <v>100</v>
      </c>
      <c r="T38" s="1563" t="s">
        <v>8</v>
      </c>
      <c r="U38" s="1564">
        <f t="shared" si="13"/>
        <v>100</v>
      </c>
      <c r="V38" s="1563" t="s">
        <v>8</v>
      </c>
      <c r="W38" s="1564">
        <f t="shared" si="14"/>
        <v>100</v>
      </c>
      <c r="X38" s="1565"/>
      <c r="Y38" s="338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0"/>
      <c r="Q39" s="1558">
        <f t="shared" si="11"/>
        <v>111</v>
      </c>
      <c r="R39" s="1559" t="s">
        <v>8</v>
      </c>
      <c r="S39" s="1560">
        <f t="shared" si="12"/>
        <v>100</v>
      </c>
      <c r="T39" s="1559" t="s">
        <v>8</v>
      </c>
      <c r="U39" s="1560">
        <f t="shared" si="13"/>
        <v>100</v>
      </c>
      <c r="V39" s="1559" t="s">
        <v>8</v>
      </c>
      <c r="W39" s="1560">
        <f t="shared" si="14"/>
        <v>100</v>
      </c>
      <c r="X39" s="1553"/>
      <c r="Y39" s="338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2"/>
      <c r="Q40" s="1558">
        <f t="shared" si="11"/>
        <v>111</v>
      </c>
      <c r="R40" s="1559" t="s">
        <v>8</v>
      </c>
      <c r="S40" s="1560">
        <f t="shared" si="12"/>
        <v>100</v>
      </c>
      <c r="T40" s="1559" t="s">
        <v>8</v>
      </c>
      <c r="U40" s="1560">
        <f t="shared" si="13"/>
        <v>100</v>
      </c>
      <c r="V40" s="1559" t="s">
        <v>8</v>
      </c>
      <c r="W40" s="1560">
        <f t="shared" si="14"/>
        <v>100</v>
      </c>
      <c r="X40" s="1553"/>
      <c r="Y40" s="3482"/>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5" t="str">
        <f>A41</f>
        <v>成交单价（元/平方米）</v>
      </c>
      <c r="Q41" s="3375"/>
      <c r="R41" s="3481">
        <f>E41</f>
        <v>0</v>
      </c>
      <c r="S41" s="3481"/>
      <c r="T41" s="3481">
        <f>G41</f>
        <v>0</v>
      </c>
      <c r="U41" s="3481"/>
      <c r="V41" s="3481">
        <f>I41</f>
        <v>0</v>
      </c>
      <c r="W41" s="3481"/>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75" t="str">
        <f>A42</f>
        <v>比较价格（元/平方米）</v>
      </c>
      <c r="Q42" s="3375"/>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5"/>
      <c r="Y42" s="1545"/>
      <c r="Z42" s="1545"/>
      <c r="AA42" s="1545"/>
      <c r="AB42" s="1545"/>
      <c r="AC42" s="1545"/>
    </row>
    <row r="43" spans="1:29" ht="15.75" thickBot="1">
      <c r="A43" s="621" t="s">
        <v>2932</v>
      </c>
      <c r="B43" s="622"/>
      <c r="C43" s="2600" t="e">
        <f>R43</f>
        <v>#DIV/0!</v>
      </c>
      <c r="D43" s="2600"/>
      <c r="E43" s="2600"/>
      <c r="F43" s="2600"/>
      <c r="G43" s="2600"/>
      <c r="H43" s="2600"/>
      <c r="I43" s="2600"/>
      <c r="J43" s="2600"/>
      <c r="K43" s="1598"/>
      <c r="L43" s="2129"/>
      <c r="M43" s="2130"/>
      <c r="N43" s="2130"/>
      <c r="O43" s="2130"/>
      <c r="P43" s="3398" t="str">
        <f>A43</f>
        <v>估价对象XX用房的比较价格（楼面单价，元/平方米）</v>
      </c>
      <c r="Q43" s="3399"/>
      <c r="R43" s="3480" t="e">
        <f>IF(F1="售价",ROUND(AVERAGE(R42:V42),0),ROUND(AVERAGE(R42:V42),1))</f>
        <v>#DIV/0!</v>
      </c>
      <c r="S43" s="3480"/>
      <c r="T43" s="3480"/>
      <c r="U43" s="3480"/>
      <c r="V43" s="3480"/>
      <c r="W43" s="348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1" t="s">
        <v>798</v>
      </c>
      <c r="D4" s="3382"/>
      <c r="E4" s="3381" t="s">
        <v>799</v>
      </c>
      <c r="F4" s="3382"/>
      <c r="G4" s="3381" t="s">
        <v>800</v>
      </c>
      <c r="H4" s="3382"/>
      <c r="I4" s="3381" t="s">
        <v>801</v>
      </c>
      <c r="J4" s="3382"/>
      <c r="K4" s="514" t="s">
        <v>802</v>
      </c>
      <c r="L4" s="2118"/>
      <c r="M4" s="2119"/>
      <c r="N4" s="2119"/>
      <c r="O4" s="2119"/>
      <c r="P4" s="3383" t="s">
        <v>803</v>
      </c>
      <c r="Q4" s="3384"/>
      <c r="R4" s="3369" t="s">
        <v>799</v>
      </c>
      <c r="S4" s="3370"/>
      <c r="T4" s="3369" t="s">
        <v>800</v>
      </c>
      <c r="U4" s="3370"/>
      <c r="V4" s="3389" t="s">
        <v>801</v>
      </c>
      <c r="W4" s="3389"/>
      <c r="X4" s="1553"/>
      <c r="Y4" s="3369" t="s">
        <v>803</v>
      </c>
      <c r="Z4" s="3370"/>
      <c r="AA4" s="3364" t="s">
        <v>799</v>
      </c>
      <c r="AB4" s="3365" t="s">
        <v>800</v>
      </c>
      <c r="AC4" s="3364" t="s">
        <v>801</v>
      </c>
    </row>
    <row r="5" spans="1:29" ht="15">
      <c r="A5" s="515"/>
      <c r="B5" s="516"/>
      <c r="C5" s="3392" t="s">
        <v>2926</v>
      </c>
      <c r="D5" s="3393"/>
      <c r="E5" s="3392" t="s">
        <v>2927</v>
      </c>
      <c r="F5" s="3393"/>
      <c r="G5" s="3392" t="s">
        <v>2928</v>
      </c>
      <c r="H5" s="3393"/>
      <c r="I5" s="3392" t="s">
        <v>2929</v>
      </c>
      <c r="J5" s="3393"/>
      <c r="K5" s="514"/>
      <c r="L5" s="2118"/>
      <c r="M5" s="2119"/>
      <c r="N5" s="2119"/>
      <c r="O5" s="2119"/>
      <c r="P5" s="3385"/>
      <c r="Q5" s="3386"/>
      <c r="R5" s="3371"/>
      <c r="S5" s="3372"/>
      <c r="T5" s="3371"/>
      <c r="U5" s="3372"/>
      <c r="V5" s="3389"/>
      <c r="W5" s="3389"/>
      <c r="X5" s="1553"/>
      <c r="Y5" s="3371"/>
      <c r="Z5" s="3372"/>
      <c r="AA5" s="3365"/>
      <c r="AB5" s="3365"/>
      <c r="AC5" s="3365"/>
    </row>
    <row r="6" spans="1:29" ht="15.75" thickBot="1">
      <c r="A6" s="517"/>
      <c r="B6" s="518"/>
      <c r="C6" s="3390" t="s">
        <v>2930</v>
      </c>
      <c r="D6" s="3391"/>
      <c r="E6" s="3396" t="s">
        <v>2930</v>
      </c>
      <c r="F6" s="3397"/>
      <c r="G6" s="3390" t="s">
        <v>2930</v>
      </c>
      <c r="H6" s="3391"/>
      <c r="I6" s="3390" t="s">
        <v>2930</v>
      </c>
      <c r="J6" s="3391"/>
      <c r="K6" s="514" t="s">
        <v>528</v>
      </c>
      <c r="L6" s="2118"/>
      <c r="M6" s="2119"/>
      <c r="N6" s="2119"/>
      <c r="O6" s="2119"/>
      <c r="P6" s="3387"/>
      <c r="Q6" s="3388"/>
      <c r="R6" s="3371"/>
      <c r="S6" s="3372"/>
      <c r="T6" s="3373"/>
      <c r="U6" s="3374"/>
      <c r="V6" s="3389"/>
      <c r="W6" s="3389"/>
      <c r="X6" s="1553"/>
      <c r="Y6" s="3373"/>
      <c r="Z6" s="3374"/>
      <c r="AA6" s="3366"/>
      <c r="AB6" s="3366"/>
      <c r="AC6" s="3366"/>
    </row>
    <row r="7" spans="1:29" s="1216" customFormat="1" ht="15.75" thickBot="1">
      <c r="A7" s="2867"/>
      <c r="B7" s="2874" t="s">
        <v>529</v>
      </c>
      <c r="C7" s="519">
        <f>'数据-取费表'!B2</f>
        <v>43693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7" t="s">
        <v>530</v>
      </c>
      <c r="Q7" s="3376"/>
      <c r="R7" s="1554" t="s">
        <v>8</v>
      </c>
      <c r="S7" s="1555">
        <f t="shared" ref="S7:S14" si="0">F7</f>
        <v>0</v>
      </c>
      <c r="T7" s="1554" t="s">
        <v>8</v>
      </c>
      <c r="U7" s="1555">
        <f t="shared" ref="U7:U14" si="1">H7</f>
        <v>0</v>
      </c>
      <c r="V7" s="1554" t="s">
        <v>8</v>
      </c>
      <c r="W7" s="1555">
        <f t="shared" ref="W7:W14" si="2">J7</f>
        <v>0</v>
      </c>
      <c r="X7" s="1556"/>
      <c r="Y7" s="3367" t="s">
        <v>530</v>
      </c>
      <c r="Z7" s="3368"/>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7" t="s">
        <v>533</v>
      </c>
      <c r="Q8" s="3368"/>
      <c r="R8" s="1554" t="s">
        <v>8</v>
      </c>
      <c r="S8" s="1555">
        <f t="shared" si="0"/>
        <v>0</v>
      </c>
      <c r="T8" s="1554" t="s">
        <v>8</v>
      </c>
      <c r="U8" s="1555">
        <f t="shared" si="1"/>
        <v>0</v>
      </c>
      <c r="V8" s="1554" t="s">
        <v>8</v>
      </c>
      <c r="W8" s="1555">
        <f t="shared" si="2"/>
        <v>0</v>
      </c>
      <c r="X8" s="1556"/>
      <c r="Y8" s="3367" t="s">
        <v>533</v>
      </c>
      <c r="Z8" s="3368"/>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5" t="s">
        <v>535</v>
      </c>
      <c r="Q9" s="1147" t="str">
        <f t="shared" ref="Q9:Q14" si="6">B9</f>
        <v>用途</v>
      </c>
      <c r="R9" s="1554" t="s">
        <v>8</v>
      </c>
      <c r="S9" s="1555">
        <f t="shared" si="0"/>
        <v>100</v>
      </c>
      <c r="T9" s="1554" t="s">
        <v>8</v>
      </c>
      <c r="U9" s="1555">
        <f t="shared" si="1"/>
        <v>100</v>
      </c>
      <c r="V9" s="1554" t="s">
        <v>8</v>
      </c>
      <c r="W9" s="1555">
        <f t="shared" si="2"/>
        <v>100</v>
      </c>
      <c r="X9" s="1556"/>
      <c r="Y9" s="3332"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5"/>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5"/>
      <c r="Q11" s="1147">
        <f t="shared" si="6"/>
        <v>111</v>
      </c>
      <c r="R11" s="1554" t="s">
        <v>8</v>
      </c>
      <c r="S11" s="1555">
        <f t="shared" si="0"/>
        <v>100</v>
      </c>
      <c r="T11" s="1554" t="s">
        <v>8</v>
      </c>
      <c r="U11" s="1555">
        <f t="shared" si="1"/>
        <v>100</v>
      </c>
      <c r="V11" s="1554" t="s">
        <v>8</v>
      </c>
      <c r="W11" s="1555">
        <f t="shared" si="2"/>
        <v>100</v>
      </c>
      <c r="X11" s="1556"/>
      <c r="Y11" s="3332"/>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5"/>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5"/>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
      <c r="A14" s="2865" t="s">
        <v>2754</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7" t="s">
        <v>540</v>
      </c>
      <c r="Q14" s="1558" t="str">
        <f t="shared" si="6"/>
        <v>交通便捷度</v>
      </c>
      <c r="R14" s="1559" t="s">
        <v>8</v>
      </c>
      <c r="S14" s="1560">
        <f t="shared" si="0"/>
        <v>100</v>
      </c>
      <c r="T14" s="1559" t="s">
        <v>8</v>
      </c>
      <c r="U14" s="1560">
        <f t="shared" si="1"/>
        <v>100</v>
      </c>
      <c r="V14" s="1559" t="s">
        <v>8</v>
      </c>
      <c r="W14" s="1560">
        <f t="shared" si="2"/>
        <v>100</v>
      </c>
      <c r="X14" s="1553"/>
      <c r="Y14" s="3377"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78"/>
      <c r="Q15" s="1558"/>
      <c r="R15" s="1559"/>
      <c r="S15" s="1560"/>
      <c r="T15" s="1559"/>
      <c r="U15" s="1560"/>
      <c r="V15" s="1559"/>
      <c r="W15" s="1560"/>
      <c r="X15" s="1553"/>
      <c r="Y15" s="3378"/>
      <c r="Z15" s="1561"/>
      <c r="AA15" s="1562">
        <v>1</v>
      </c>
      <c r="AB15" s="1562">
        <v>1</v>
      </c>
      <c r="AC15" s="1562">
        <v>1</v>
      </c>
    </row>
    <row r="16" spans="1:29" ht="15">
      <c r="A16" s="515"/>
      <c r="B16" s="2567"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78"/>
      <c r="Q16" s="1558" t="str">
        <f>B16</f>
        <v>公共配套设施</v>
      </c>
      <c r="R16" s="1559" t="s">
        <v>8</v>
      </c>
      <c r="S16" s="1560">
        <f>F16</f>
        <v>100</v>
      </c>
      <c r="T16" s="1559" t="s">
        <v>8</v>
      </c>
      <c r="U16" s="1560">
        <f>H16</f>
        <v>100</v>
      </c>
      <c r="V16" s="1559" t="s">
        <v>8</v>
      </c>
      <c r="W16" s="1560">
        <f>J16</f>
        <v>100</v>
      </c>
      <c r="X16" s="1553"/>
      <c r="Y16" s="337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78"/>
      <c r="Q17" s="1558"/>
      <c r="R17" s="1559"/>
      <c r="S17" s="1560"/>
      <c r="T17" s="1559"/>
      <c r="U17" s="1560"/>
      <c r="V17" s="1559"/>
      <c r="W17" s="1560"/>
      <c r="X17" s="1553"/>
      <c r="Y17" s="3378"/>
      <c r="Z17" s="1561"/>
      <c r="AA17" s="1562">
        <v>1</v>
      </c>
      <c r="AB17" s="1562">
        <v>1</v>
      </c>
      <c r="AC17" s="1562">
        <v>1</v>
      </c>
    </row>
    <row r="18" spans="1:29" ht="15">
      <c r="A18" s="515"/>
      <c r="B18" s="2555"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78"/>
      <c r="Q18" s="2543" t="str">
        <f>B18</f>
        <v>基础设施水平</v>
      </c>
      <c r="R18" s="1559" t="s">
        <v>8</v>
      </c>
      <c r="S18" s="1560">
        <f>F18</f>
        <v>100</v>
      </c>
      <c r="T18" s="1559" t="s">
        <v>8</v>
      </c>
      <c r="U18" s="1560">
        <f>H18</f>
        <v>100</v>
      </c>
      <c r="V18" s="1559" t="s">
        <v>8</v>
      </c>
      <c r="W18" s="1560">
        <f>J18</f>
        <v>100</v>
      </c>
      <c r="X18" s="2545"/>
      <c r="Y18" s="337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78"/>
      <c r="Q19" s="2543"/>
      <c r="R19" s="1559"/>
      <c r="S19" s="1560"/>
      <c r="T19" s="1559"/>
      <c r="U19" s="1560"/>
      <c r="V19" s="1559"/>
      <c r="W19" s="1560"/>
      <c r="X19" s="2545"/>
      <c r="Y19" s="3378"/>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78"/>
      <c r="Q20" s="1558" t="str">
        <f>B20</f>
        <v>自然及人文环境</v>
      </c>
      <c r="R20" s="1559" t="s">
        <v>8</v>
      </c>
      <c r="S20" s="1560">
        <f>F20</f>
        <v>100</v>
      </c>
      <c r="T20" s="1559" t="s">
        <v>8</v>
      </c>
      <c r="U20" s="1560">
        <f>H20</f>
        <v>100</v>
      </c>
      <c r="V20" s="1559" t="s">
        <v>8</v>
      </c>
      <c r="W20" s="1560">
        <f>J20</f>
        <v>100</v>
      </c>
      <c r="X20" s="1553"/>
      <c r="Y20" s="337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78"/>
      <c r="Q21" s="1558"/>
      <c r="R21" s="1559"/>
      <c r="S21" s="1560"/>
      <c r="T21" s="1559"/>
      <c r="U21" s="1560"/>
      <c r="V21" s="1559"/>
      <c r="W21" s="1560"/>
      <c r="X21" s="1553"/>
      <c r="Y21" s="337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78"/>
      <c r="Q22" s="1558" t="str">
        <f>B22</f>
        <v>楼层</v>
      </c>
      <c r="R22" s="1559" t="s">
        <v>8</v>
      </c>
      <c r="S22" s="1560">
        <f>F22</f>
        <v>100</v>
      </c>
      <c r="T22" s="1559" t="s">
        <v>8</v>
      </c>
      <c r="U22" s="1560">
        <f>H22</f>
        <v>100</v>
      </c>
      <c r="V22" s="1559" t="s">
        <v>8</v>
      </c>
      <c r="W22" s="1560">
        <f>J22</f>
        <v>100</v>
      </c>
      <c r="X22" s="1553"/>
      <c r="Y22" s="337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78"/>
      <c r="Q23" s="1558">
        <f>B23</f>
        <v>111</v>
      </c>
      <c r="R23" s="1559" t="s">
        <v>8</v>
      </c>
      <c r="S23" s="1560">
        <f>F23</f>
        <v>100</v>
      </c>
      <c r="T23" s="1559" t="s">
        <v>8</v>
      </c>
      <c r="U23" s="1560">
        <f>H23</f>
        <v>100</v>
      </c>
      <c r="V23" s="1559" t="s">
        <v>8</v>
      </c>
      <c r="W23" s="1560">
        <f>J23</f>
        <v>100</v>
      </c>
      <c r="X23" s="1553"/>
      <c r="Y23" s="337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78"/>
      <c r="Q24" s="1558">
        <f t="shared" ref="Q24:Q36" si="11">B24</f>
        <v>111</v>
      </c>
      <c r="R24" s="1559" t="s">
        <v>8</v>
      </c>
      <c r="S24" s="1560">
        <f>F24</f>
        <v>100</v>
      </c>
      <c r="T24" s="1559" t="s">
        <v>8</v>
      </c>
      <c r="U24" s="1560">
        <f>H24</f>
        <v>100</v>
      </c>
      <c r="V24" s="1559" t="s">
        <v>8</v>
      </c>
      <c r="W24" s="1560">
        <f>J24</f>
        <v>100</v>
      </c>
      <c r="X24" s="1553"/>
      <c r="Y24" s="3378"/>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78"/>
      <c r="Q25" s="1147">
        <f t="shared" si="11"/>
        <v>111</v>
      </c>
      <c r="R25" s="1554" t="s">
        <v>8</v>
      </c>
      <c r="S25" s="1555">
        <f>F25</f>
        <v>100</v>
      </c>
      <c r="T25" s="1554" t="s">
        <v>8</v>
      </c>
      <c r="U25" s="1555">
        <f>H25</f>
        <v>100</v>
      </c>
      <c r="V25" s="1554" t="s">
        <v>8</v>
      </c>
      <c r="W25" s="1555">
        <f>J25</f>
        <v>100</v>
      </c>
      <c r="X25" s="1556"/>
      <c r="Y25" s="3378"/>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7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0"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0"/>
      <c r="Q27" s="1590" t="str">
        <f t="shared" si="11"/>
        <v>项目停车位配比</v>
      </c>
      <c r="R27" s="1563" t="s">
        <v>8</v>
      </c>
      <c r="S27" s="1564">
        <f t="shared" si="12"/>
        <v>100</v>
      </c>
      <c r="T27" s="1563" t="s">
        <v>8</v>
      </c>
      <c r="U27" s="1564">
        <f t="shared" si="13"/>
        <v>100</v>
      </c>
      <c r="V27" s="1563" t="s">
        <v>8</v>
      </c>
      <c r="W27" s="1564">
        <f t="shared" si="14"/>
        <v>100</v>
      </c>
      <c r="X27" s="1565"/>
      <c r="Y27" s="3380"/>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0"/>
      <c r="Q28" s="1558" t="str">
        <f t="shared" si="11"/>
        <v>公共部分装修</v>
      </c>
      <c r="R28" s="1559" t="s">
        <v>8</v>
      </c>
      <c r="S28" s="1560">
        <f t="shared" si="12"/>
        <v>100</v>
      </c>
      <c r="T28" s="1559" t="s">
        <v>8</v>
      </c>
      <c r="U28" s="1560">
        <f t="shared" si="13"/>
        <v>100</v>
      </c>
      <c r="V28" s="1559" t="s">
        <v>8</v>
      </c>
      <c r="W28" s="1560">
        <f t="shared" si="14"/>
        <v>100</v>
      </c>
      <c r="X28" s="1553"/>
      <c r="Y28" s="3380"/>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0"/>
      <c r="Q29" s="1558" t="str">
        <f t="shared" si="11"/>
        <v>成新率</v>
      </c>
      <c r="R29" s="1559" t="s">
        <v>8</v>
      </c>
      <c r="S29" s="1560" t="e">
        <f t="shared" si="12"/>
        <v>#N/A</v>
      </c>
      <c r="T29" s="1559" t="s">
        <v>8</v>
      </c>
      <c r="U29" s="1560" t="e">
        <f t="shared" si="13"/>
        <v>#N/A</v>
      </c>
      <c r="V29" s="1559" t="s">
        <v>8</v>
      </c>
      <c r="W29" s="1560" t="e">
        <f t="shared" si="14"/>
        <v>#N/A</v>
      </c>
      <c r="X29" s="1553"/>
      <c r="Y29" s="3380"/>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0"/>
      <c r="Q30" s="1558" t="str">
        <f t="shared" si="11"/>
        <v>物业等级</v>
      </c>
      <c r="R30" s="1559" t="s">
        <v>8</v>
      </c>
      <c r="S30" s="1560">
        <f t="shared" si="12"/>
        <v>100</v>
      </c>
      <c r="T30" s="1559" t="s">
        <v>8</v>
      </c>
      <c r="U30" s="1560">
        <f t="shared" si="13"/>
        <v>100</v>
      </c>
      <c r="V30" s="1559" t="s">
        <v>8</v>
      </c>
      <c r="W30" s="1560">
        <f t="shared" si="14"/>
        <v>100</v>
      </c>
      <c r="X30" s="1553"/>
      <c r="Y30" s="3380"/>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0"/>
      <c r="Q31" s="1147" t="str">
        <f t="shared" si="11"/>
        <v>停车位面积</v>
      </c>
      <c r="R31" s="1554" t="s">
        <v>8</v>
      </c>
      <c r="S31" s="1555" t="e">
        <f t="shared" si="12"/>
        <v>#N/A</v>
      </c>
      <c r="T31" s="1554" t="s">
        <v>8</v>
      </c>
      <c r="U31" s="1555" t="e">
        <f t="shared" si="13"/>
        <v>#N/A</v>
      </c>
      <c r="V31" s="1554" t="s">
        <v>8</v>
      </c>
      <c r="W31" s="1555" t="e">
        <f t="shared" si="14"/>
        <v>#N/A</v>
      </c>
      <c r="X31" s="1556"/>
      <c r="Y31" s="3380"/>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0" t="s">
        <v>550</v>
      </c>
      <c r="Q32" s="1558" t="str">
        <f t="shared" si="11"/>
        <v>车位类型</v>
      </c>
      <c r="R32" s="1559" t="s">
        <v>8</v>
      </c>
      <c r="S32" s="1560">
        <f t="shared" si="12"/>
        <v>100</v>
      </c>
      <c r="T32" s="1559" t="s">
        <v>8</v>
      </c>
      <c r="U32" s="1560">
        <f t="shared" si="13"/>
        <v>100</v>
      </c>
      <c r="V32" s="1559" t="s">
        <v>8</v>
      </c>
      <c r="W32" s="1560">
        <f t="shared" si="14"/>
        <v>100</v>
      </c>
      <c r="X32" s="1553"/>
      <c r="Y32" s="3380"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0"/>
      <c r="Q33" s="1558" t="str">
        <f t="shared" si="11"/>
        <v>是否直接入户</v>
      </c>
      <c r="R33" s="1559" t="s">
        <v>8</v>
      </c>
      <c r="S33" s="1560">
        <f t="shared" si="12"/>
        <v>100</v>
      </c>
      <c r="T33" s="1559" t="s">
        <v>8</v>
      </c>
      <c r="U33" s="1560">
        <f t="shared" si="13"/>
        <v>100</v>
      </c>
      <c r="V33" s="1559" t="s">
        <v>8</v>
      </c>
      <c r="W33" s="1560">
        <f t="shared" si="14"/>
        <v>100</v>
      </c>
      <c r="X33" s="1553"/>
      <c r="Y33" s="338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0"/>
      <c r="Q34" s="1558">
        <f t="shared" si="11"/>
        <v>111</v>
      </c>
      <c r="R34" s="1559" t="s">
        <v>8</v>
      </c>
      <c r="S34" s="1560">
        <f t="shared" si="12"/>
        <v>100</v>
      </c>
      <c r="T34" s="1559" t="s">
        <v>8</v>
      </c>
      <c r="U34" s="1560">
        <f t="shared" si="13"/>
        <v>100</v>
      </c>
      <c r="V34" s="1559" t="s">
        <v>8</v>
      </c>
      <c r="W34" s="1560">
        <f t="shared" si="14"/>
        <v>100</v>
      </c>
      <c r="X34" s="1553"/>
      <c r="Y34" s="3380"/>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0"/>
      <c r="Q35" s="1590">
        <f t="shared" si="11"/>
        <v>111</v>
      </c>
      <c r="R35" s="1563" t="s">
        <v>8</v>
      </c>
      <c r="S35" s="1564">
        <f t="shared" si="12"/>
        <v>100</v>
      </c>
      <c r="T35" s="1563" t="s">
        <v>8</v>
      </c>
      <c r="U35" s="1564">
        <f t="shared" si="13"/>
        <v>100</v>
      </c>
      <c r="V35" s="1563" t="s">
        <v>8</v>
      </c>
      <c r="W35" s="1564">
        <f t="shared" si="14"/>
        <v>100</v>
      </c>
      <c r="X35" s="1565"/>
      <c r="Y35" s="338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0"/>
      <c r="Q36" s="1558">
        <f t="shared" si="11"/>
        <v>111</v>
      </c>
      <c r="R36" s="1559" t="s">
        <v>8</v>
      </c>
      <c r="S36" s="1560">
        <f t="shared" si="12"/>
        <v>100</v>
      </c>
      <c r="T36" s="1559" t="s">
        <v>8</v>
      </c>
      <c r="U36" s="1560">
        <f t="shared" si="13"/>
        <v>100</v>
      </c>
      <c r="V36" s="1559" t="s">
        <v>8</v>
      </c>
      <c r="W36" s="1560">
        <f t="shared" si="14"/>
        <v>100</v>
      </c>
      <c r="X36" s="1553"/>
      <c r="Y36" s="3380"/>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75" t="str">
        <f>A37</f>
        <v>成交单价</v>
      </c>
      <c r="Q37" s="3375"/>
      <c r="R37" s="3481">
        <f>E37</f>
        <v>0</v>
      </c>
      <c r="S37" s="3481"/>
      <c r="T37" s="3481">
        <f>G37</f>
        <v>0</v>
      </c>
      <c r="U37" s="3481"/>
      <c r="V37" s="3481">
        <f>I37</f>
        <v>0</v>
      </c>
      <c r="W37" s="3481"/>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375" t="str">
        <f>A38</f>
        <v>比较价格（元/平方米）</v>
      </c>
      <c r="Q38" s="3375"/>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5"/>
      <c r="Y38" s="1545"/>
      <c r="Z38" s="1545"/>
      <c r="AA38" s="1545"/>
      <c r="AB38" s="1545"/>
      <c r="AC38" s="1545"/>
    </row>
    <row r="39" spans="1:29" ht="15.75" thickBot="1">
      <c r="A39" s="621" t="s">
        <v>2932</v>
      </c>
      <c r="B39" s="622"/>
      <c r="C39" s="2600" t="e">
        <f>R39</f>
        <v>#DIV/0!</v>
      </c>
      <c r="D39" s="2600"/>
      <c r="E39" s="2600"/>
      <c r="F39" s="2600"/>
      <c r="G39" s="2600"/>
      <c r="H39" s="2600"/>
      <c r="I39" s="2600"/>
      <c r="J39" s="2600"/>
      <c r="K39" s="1598"/>
      <c r="L39" s="2129"/>
      <c r="M39" s="2130"/>
      <c r="N39" s="2130"/>
      <c r="O39" s="2130"/>
      <c r="P39" s="3398" t="str">
        <f>A39</f>
        <v>估价对象XX用房的比较价格（楼面单价，元/平方米）</v>
      </c>
      <c r="Q39" s="3399"/>
      <c r="R39" s="3480" t="e">
        <f>IF(F1="售价",ROUND(AVERAGE(R38:V38),0),ROUND(AVERAGE(R38:V38),1))</f>
        <v>#DIV/0!</v>
      </c>
      <c r="S39" s="3480"/>
      <c r="T39" s="3480"/>
      <c r="U39" s="3480"/>
      <c r="V39" s="3480"/>
      <c r="W39" s="348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1" t="s">
        <v>798</v>
      </c>
      <c r="D4" s="3382"/>
      <c r="E4" s="3407" t="s">
        <v>799</v>
      </c>
      <c r="F4" s="3408"/>
      <c r="G4" s="3381" t="s">
        <v>800</v>
      </c>
      <c r="H4" s="3382"/>
      <c r="I4" s="3381" t="s">
        <v>801</v>
      </c>
      <c r="J4" s="3382"/>
      <c r="K4" s="514" t="s">
        <v>802</v>
      </c>
      <c r="L4" s="2118"/>
      <c r="M4" s="2119"/>
      <c r="N4" s="2119"/>
      <c r="O4" s="2119"/>
      <c r="P4" s="3383" t="s">
        <v>803</v>
      </c>
      <c r="Q4" s="3384"/>
      <c r="R4" s="3369" t="s">
        <v>799</v>
      </c>
      <c r="S4" s="3370"/>
      <c r="T4" s="3369" t="s">
        <v>800</v>
      </c>
      <c r="U4" s="3370"/>
      <c r="V4" s="3389" t="s">
        <v>801</v>
      </c>
      <c r="W4" s="3389"/>
      <c r="X4" s="1553"/>
      <c r="Y4" s="3369" t="s">
        <v>803</v>
      </c>
      <c r="Z4" s="3370"/>
      <c r="AA4" s="3364" t="s">
        <v>799</v>
      </c>
      <c r="AB4" s="3365" t="s">
        <v>800</v>
      </c>
      <c r="AC4" s="3364" t="s">
        <v>801</v>
      </c>
    </row>
    <row r="5" spans="1:29" ht="15">
      <c r="A5" s="515"/>
      <c r="B5" s="516"/>
      <c r="C5" s="3392" t="s">
        <v>2926</v>
      </c>
      <c r="D5" s="3393"/>
      <c r="E5" s="3409" t="s">
        <v>2927</v>
      </c>
      <c r="F5" s="3410"/>
      <c r="G5" s="3392" t="s">
        <v>2928</v>
      </c>
      <c r="H5" s="3393"/>
      <c r="I5" s="3392" t="s">
        <v>2929</v>
      </c>
      <c r="J5" s="3393"/>
      <c r="K5" s="514"/>
      <c r="L5" s="2118"/>
      <c r="M5" s="2119"/>
      <c r="N5" s="2119"/>
      <c r="O5" s="2119"/>
      <c r="P5" s="3385"/>
      <c r="Q5" s="3386"/>
      <c r="R5" s="3371"/>
      <c r="S5" s="3372"/>
      <c r="T5" s="3371"/>
      <c r="U5" s="3372"/>
      <c r="V5" s="3389"/>
      <c r="W5" s="3389"/>
      <c r="X5" s="1553"/>
      <c r="Y5" s="3371"/>
      <c r="Z5" s="3372"/>
      <c r="AA5" s="3365"/>
      <c r="AB5" s="3365"/>
      <c r="AC5" s="3365"/>
    </row>
    <row r="6" spans="1:29" ht="15.75" thickBot="1">
      <c r="A6" s="517"/>
      <c r="B6" s="518"/>
      <c r="C6" s="3390" t="s">
        <v>2930</v>
      </c>
      <c r="D6" s="3391"/>
      <c r="E6" s="3411" t="s">
        <v>2930</v>
      </c>
      <c r="F6" s="3412"/>
      <c r="G6" s="3390" t="s">
        <v>2930</v>
      </c>
      <c r="H6" s="3391"/>
      <c r="I6" s="3390" t="s">
        <v>2930</v>
      </c>
      <c r="J6" s="3391"/>
      <c r="K6" s="514" t="s">
        <v>528</v>
      </c>
      <c r="L6" s="2118"/>
      <c r="M6" s="2119"/>
      <c r="N6" s="2119"/>
      <c r="O6" s="2119"/>
      <c r="P6" s="3387"/>
      <c r="Q6" s="3388"/>
      <c r="R6" s="3371"/>
      <c r="S6" s="3372"/>
      <c r="T6" s="3373"/>
      <c r="U6" s="3374"/>
      <c r="V6" s="3389"/>
      <c r="W6" s="3389"/>
      <c r="X6" s="1553"/>
      <c r="Y6" s="3373"/>
      <c r="Z6" s="3374"/>
      <c r="AA6" s="3366"/>
      <c r="AB6" s="3366"/>
      <c r="AC6" s="3366"/>
    </row>
    <row r="7" spans="1:29" s="1216" customFormat="1" ht="15.75" thickBot="1">
      <c r="A7" s="2867"/>
      <c r="B7" s="2874" t="s">
        <v>529</v>
      </c>
      <c r="C7" s="519">
        <f>'数据-取费表'!B2</f>
        <v>43693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7" t="s">
        <v>530</v>
      </c>
      <c r="Q7" s="3376"/>
      <c r="R7" s="1554" t="s">
        <v>8</v>
      </c>
      <c r="S7" s="1555">
        <f t="shared" ref="S7:S14" si="0">F7</f>
        <v>0</v>
      </c>
      <c r="T7" s="1554" t="s">
        <v>8</v>
      </c>
      <c r="U7" s="1555">
        <f t="shared" ref="U7:U14" si="1">H7</f>
        <v>0</v>
      </c>
      <c r="V7" s="1554" t="s">
        <v>8</v>
      </c>
      <c r="W7" s="1555">
        <f t="shared" ref="W7:W14" si="2">J7</f>
        <v>0</v>
      </c>
      <c r="X7" s="1556"/>
      <c r="Y7" s="3367" t="s">
        <v>530</v>
      </c>
      <c r="Z7" s="3368"/>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7" t="s">
        <v>533</v>
      </c>
      <c r="Q8" s="3368"/>
      <c r="R8" s="1554" t="s">
        <v>8</v>
      </c>
      <c r="S8" s="1555">
        <f t="shared" si="0"/>
        <v>0</v>
      </c>
      <c r="T8" s="1554" t="s">
        <v>8</v>
      </c>
      <c r="U8" s="1555">
        <f t="shared" si="1"/>
        <v>0</v>
      </c>
      <c r="V8" s="1554" t="s">
        <v>8</v>
      </c>
      <c r="W8" s="1555">
        <f t="shared" si="2"/>
        <v>0</v>
      </c>
      <c r="X8" s="1556"/>
      <c r="Y8" s="3367" t="s">
        <v>533</v>
      </c>
      <c r="Z8" s="3368"/>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5" t="s">
        <v>535</v>
      </c>
      <c r="Q9" s="1147" t="str">
        <f t="shared" ref="Q9:Q14" si="6">B9</f>
        <v>用途</v>
      </c>
      <c r="R9" s="1554" t="s">
        <v>8</v>
      </c>
      <c r="S9" s="1555">
        <f t="shared" si="0"/>
        <v>100</v>
      </c>
      <c r="T9" s="1554" t="s">
        <v>8</v>
      </c>
      <c r="U9" s="1555">
        <f t="shared" si="1"/>
        <v>100</v>
      </c>
      <c r="V9" s="1554" t="s">
        <v>8</v>
      </c>
      <c r="W9" s="1555">
        <f t="shared" si="2"/>
        <v>100</v>
      </c>
      <c r="X9" s="1556"/>
      <c r="Y9" s="3332"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5"/>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5"/>
      <c r="Q11" s="1147">
        <f t="shared" si="6"/>
        <v>111</v>
      </c>
      <c r="R11" s="1554" t="s">
        <v>8</v>
      </c>
      <c r="S11" s="1555">
        <f t="shared" si="0"/>
        <v>100</v>
      </c>
      <c r="T11" s="1554" t="s">
        <v>8</v>
      </c>
      <c r="U11" s="1555">
        <f t="shared" si="1"/>
        <v>100</v>
      </c>
      <c r="V11" s="1554" t="s">
        <v>8</v>
      </c>
      <c r="W11" s="1555">
        <f t="shared" si="2"/>
        <v>100</v>
      </c>
      <c r="X11" s="1556"/>
      <c r="Y11" s="3332"/>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5"/>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5"/>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
      <c r="A14" s="2865" t="s">
        <v>2754</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7" t="s">
        <v>540</v>
      </c>
      <c r="Q14" s="1558" t="str">
        <f t="shared" si="6"/>
        <v>交通便捷度</v>
      </c>
      <c r="R14" s="1559" t="s">
        <v>8</v>
      </c>
      <c r="S14" s="1560">
        <f t="shared" si="0"/>
        <v>100</v>
      </c>
      <c r="T14" s="1559" t="s">
        <v>8</v>
      </c>
      <c r="U14" s="1560">
        <f t="shared" si="1"/>
        <v>100</v>
      </c>
      <c r="V14" s="1559" t="s">
        <v>8</v>
      </c>
      <c r="W14" s="1560">
        <f t="shared" si="2"/>
        <v>100</v>
      </c>
      <c r="X14" s="1553"/>
      <c r="Y14" s="337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78"/>
      <c r="Q15" s="1558"/>
      <c r="R15" s="1559"/>
      <c r="S15" s="1560"/>
      <c r="T15" s="1559"/>
      <c r="U15" s="1560"/>
      <c r="V15" s="1559"/>
      <c r="W15" s="1560"/>
      <c r="X15" s="1553"/>
      <c r="Y15" s="3378"/>
      <c r="Z15" s="1561"/>
      <c r="AA15" s="1562">
        <v>1</v>
      </c>
      <c r="AB15" s="1562">
        <v>1</v>
      </c>
      <c r="AC15" s="1562">
        <v>1</v>
      </c>
    </row>
    <row r="16" spans="1:29" ht="15">
      <c r="A16" s="532"/>
      <c r="B16" s="2567"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78"/>
      <c r="Q16" s="1558" t="str">
        <f>B16</f>
        <v>公共配套设施</v>
      </c>
      <c r="R16" s="1559" t="s">
        <v>8</v>
      </c>
      <c r="S16" s="1560">
        <f>F16</f>
        <v>100</v>
      </c>
      <c r="T16" s="1559" t="s">
        <v>8</v>
      </c>
      <c r="U16" s="1560">
        <f>H16</f>
        <v>100</v>
      </c>
      <c r="V16" s="1559" t="s">
        <v>8</v>
      </c>
      <c r="W16" s="1560">
        <f>J16</f>
        <v>100</v>
      </c>
      <c r="X16" s="1553"/>
      <c r="Y16" s="337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78"/>
      <c r="Q17" s="1558"/>
      <c r="R17" s="1559"/>
      <c r="S17" s="1560"/>
      <c r="T17" s="1559"/>
      <c r="U17" s="1560"/>
      <c r="V17" s="1559"/>
      <c r="W17" s="1560"/>
      <c r="X17" s="1553"/>
      <c r="Y17" s="3378"/>
      <c r="Z17" s="1561"/>
      <c r="AA17" s="1562">
        <v>1</v>
      </c>
      <c r="AB17" s="1562">
        <v>1</v>
      </c>
      <c r="AC17" s="1562">
        <v>1</v>
      </c>
    </row>
    <row r="18" spans="1:29" ht="15">
      <c r="A18" s="532"/>
      <c r="B18" s="2555"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78"/>
      <c r="Q18" s="2543" t="str">
        <f>B18</f>
        <v>基础设施水平</v>
      </c>
      <c r="R18" s="1559" t="s">
        <v>8</v>
      </c>
      <c r="S18" s="1560">
        <f>F18</f>
        <v>100</v>
      </c>
      <c r="T18" s="1559" t="s">
        <v>8</v>
      </c>
      <c r="U18" s="1560">
        <f>H18</f>
        <v>100</v>
      </c>
      <c r="V18" s="1559" t="s">
        <v>8</v>
      </c>
      <c r="W18" s="1560">
        <f>J18</f>
        <v>100</v>
      </c>
      <c r="X18" s="2545"/>
      <c r="Y18" s="337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78"/>
      <c r="Q19" s="2543"/>
      <c r="R19" s="1559"/>
      <c r="S19" s="1560"/>
      <c r="T19" s="1559"/>
      <c r="U19" s="1560"/>
      <c r="V19" s="1559"/>
      <c r="W19" s="1560"/>
      <c r="X19" s="2545"/>
      <c r="Y19" s="3378"/>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78"/>
      <c r="Q20" s="1558" t="str">
        <f>B20</f>
        <v>自然及人文环境</v>
      </c>
      <c r="R20" s="1559" t="s">
        <v>8</v>
      </c>
      <c r="S20" s="1560">
        <f>F20</f>
        <v>100</v>
      </c>
      <c r="T20" s="1559" t="s">
        <v>8</v>
      </c>
      <c r="U20" s="1560">
        <f>H20</f>
        <v>100</v>
      </c>
      <c r="V20" s="1559" t="s">
        <v>8</v>
      </c>
      <c r="W20" s="1560">
        <f>J20</f>
        <v>100</v>
      </c>
      <c r="X20" s="1553"/>
      <c r="Y20" s="337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78"/>
      <c r="Q21" s="1558"/>
      <c r="R21" s="1559"/>
      <c r="S21" s="1560"/>
      <c r="T21" s="1559"/>
      <c r="U21" s="1560"/>
      <c r="V21" s="1559"/>
      <c r="W21" s="1560"/>
      <c r="X21" s="1553"/>
      <c r="Y21" s="337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78"/>
      <c r="Q22" s="1558" t="str">
        <f>B22</f>
        <v>楼层</v>
      </c>
      <c r="R22" s="1559" t="s">
        <v>8</v>
      </c>
      <c r="S22" s="1560">
        <f>F22</f>
        <v>100</v>
      </c>
      <c r="T22" s="1559" t="s">
        <v>8</v>
      </c>
      <c r="U22" s="1560">
        <f>H22</f>
        <v>100</v>
      </c>
      <c r="V22" s="1559" t="s">
        <v>8</v>
      </c>
      <c r="W22" s="1560">
        <f>J22</f>
        <v>100</v>
      </c>
      <c r="X22" s="1553"/>
      <c r="Y22" s="337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78"/>
      <c r="Q23" s="1558">
        <f>B23</f>
        <v>111</v>
      </c>
      <c r="R23" s="1559" t="s">
        <v>8</v>
      </c>
      <c r="S23" s="1560">
        <f>F23</f>
        <v>100</v>
      </c>
      <c r="T23" s="1559" t="s">
        <v>8</v>
      </c>
      <c r="U23" s="1560">
        <f>H23</f>
        <v>100</v>
      </c>
      <c r="V23" s="1559" t="s">
        <v>8</v>
      </c>
      <c r="W23" s="1560">
        <f>J23</f>
        <v>100</v>
      </c>
      <c r="X23" s="1553"/>
      <c r="Y23" s="337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78"/>
      <c r="Q24" s="1558">
        <f t="shared" ref="Q24:Q34" si="11">B24</f>
        <v>111</v>
      </c>
      <c r="R24" s="1559" t="s">
        <v>8</v>
      </c>
      <c r="S24" s="1560">
        <f>F24</f>
        <v>100</v>
      </c>
      <c r="T24" s="1559" t="s">
        <v>8</v>
      </c>
      <c r="U24" s="1560">
        <f>H24</f>
        <v>100</v>
      </c>
      <c r="V24" s="1559" t="s">
        <v>8</v>
      </c>
      <c r="W24" s="1560">
        <f>J24</f>
        <v>100</v>
      </c>
      <c r="X24" s="1553"/>
      <c r="Y24" s="3378"/>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78"/>
      <c r="Q25" s="1147">
        <f t="shared" si="11"/>
        <v>111</v>
      </c>
      <c r="R25" s="1554" t="s">
        <v>8</v>
      </c>
      <c r="S25" s="1555">
        <f>F25</f>
        <v>100</v>
      </c>
      <c r="T25" s="1554" t="s">
        <v>8</v>
      </c>
      <c r="U25" s="1555">
        <f>H25</f>
        <v>100</v>
      </c>
      <c r="V25" s="1554" t="s">
        <v>8</v>
      </c>
      <c r="W25" s="1555">
        <f>J25</f>
        <v>100</v>
      </c>
      <c r="X25" s="1556"/>
      <c r="Y25" s="3378"/>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7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0"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0"/>
      <c r="Q27" s="1590" t="str">
        <f t="shared" si="11"/>
        <v>成新率</v>
      </c>
      <c r="R27" s="1563" t="s">
        <v>8</v>
      </c>
      <c r="S27" s="1564" t="e">
        <f t="shared" si="12"/>
        <v>#N/A</v>
      </c>
      <c r="T27" s="1563" t="s">
        <v>8</v>
      </c>
      <c r="U27" s="1564" t="e">
        <f t="shared" si="13"/>
        <v>#N/A</v>
      </c>
      <c r="V27" s="1563" t="s">
        <v>8</v>
      </c>
      <c r="W27" s="1564" t="e">
        <f t="shared" si="14"/>
        <v>#N/A</v>
      </c>
      <c r="X27" s="1565"/>
      <c r="Y27" s="338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0"/>
      <c r="Q28" s="1558" t="str">
        <f t="shared" si="11"/>
        <v>物业等级</v>
      </c>
      <c r="R28" s="1559" t="s">
        <v>8</v>
      </c>
      <c r="S28" s="1560">
        <f t="shared" si="12"/>
        <v>100</v>
      </c>
      <c r="T28" s="1559" t="s">
        <v>8</v>
      </c>
      <c r="U28" s="1560">
        <f t="shared" si="13"/>
        <v>100</v>
      </c>
      <c r="V28" s="1559" t="s">
        <v>8</v>
      </c>
      <c r="W28" s="1560">
        <f t="shared" si="14"/>
        <v>100</v>
      </c>
      <c r="X28" s="1553"/>
      <c r="Y28" s="3380"/>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0"/>
      <c r="Q29" s="1558" t="str">
        <f t="shared" si="11"/>
        <v>有无电梯</v>
      </c>
      <c r="R29" s="1559" t="s">
        <v>8</v>
      </c>
      <c r="S29" s="1560">
        <f t="shared" si="12"/>
        <v>100</v>
      </c>
      <c r="T29" s="1559" t="s">
        <v>8</v>
      </c>
      <c r="U29" s="1560">
        <f t="shared" si="13"/>
        <v>100</v>
      </c>
      <c r="V29" s="1559" t="s">
        <v>8</v>
      </c>
      <c r="W29" s="1560">
        <f t="shared" si="14"/>
        <v>100</v>
      </c>
      <c r="X29" s="1553"/>
      <c r="Y29" s="3380"/>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0"/>
      <c r="Q30" s="1558" t="str">
        <f t="shared" si="11"/>
        <v>建筑面积</v>
      </c>
      <c r="R30" s="1559" t="s">
        <v>8</v>
      </c>
      <c r="S30" s="1560" t="e">
        <f t="shared" si="12"/>
        <v>#N/A</v>
      </c>
      <c r="T30" s="1559" t="s">
        <v>8</v>
      </c>
      <c r="U30" s="1560" t="e">
        <f t="shared" si="13"/>
        <v>#N/A</v>
      </c>
      <c r="V30" s="1559" t="s">
        <v>8</v>
      </c>
      <c r="W30" s="1560" t="e">
        <f t="shared" si="14"/>
        <v>#N/A</v>
      </c>
      <c r="X30" s="1553"/>
      <c r="Y30" s="3380"/>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0"/>
      <c r="Q31" s="1147" t="str">
        <f t="shared" si="11"/>
        <v>是否封闭</v>
      </c>
      <c r="R31" s="1554" t="s">
        <v>8</v>
      </c>
      <c r="S31" s="1555">
        <f t="shared" si="12"/>
        <v>100</v>
      </c>
      <c r="T31" s="1554" t="s">
        <v>8</v>
      </c>
      <c r="U31" s="1555">
        <f t="shared" si="13"/>
        <v>100</v>
      </c>
      <c r="V31" s="1554" t="s">
        <v>8</v>
      </c>
      <c r="W31" s="1555">
        <f t="shared" si="14"/>
        <v>100</v>
      </c>
      <c r="X31" s="1556"/>
      <c r="Y31" s="3380"/>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0" t="s">
        <v>550</v>
      </c>
      <c r="Q32" s="1558">
        <f t="shared" si="11"/>
        <v>111</v>
      </c>
      <c r="R32" s="1559" t="s">
        <v>8</v>
      </c>
      <c r="S32" s="1560">
        <f t="shared" si="12"/>
        <v>100</v>
      </c>
      <c r="T32" s="1559" t="s">
        <v>8</v>
      </c>
      <c r="U32" s="1560">
        <f t="shared" si="13"/>
        <v>100</v>
      </c>
      <c r="V32" s="1559" t="s">
        <v>8</v>
      </c>
      <c r="W32" s="1560">
        <f t="shared" si="14"/>
        <v>100</v>
      </c>
      <c r="X32" s="1553"/>
      <c r="Y32" s="3380"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0"/>
      <c r="Q33" s="1558">
        <f t="shared" si="11"/>
        <v>111</v>
      </c>
      <c r="R33" s="1559" t="s">
        <v>8</v>
      </c>
      <c r="S33" s="1560">
        <f t="shared" si="12"/>
        <v>100</v>
      </c>
      <c r="T33" s="1559" t="s">
        <v>8</v>
      </c>
      <c r="U33" s="1560">
        <f t="shared" si="13"/>
        <v>100</v>
      </c>
      <c r="V33" s="1559" t="s">
        <v>8</v>
      </c>
      <c r="W33" s="1560">
        <f t="shared" si="14"/>
        <v>100</v>
      </c>
      <c r="X33" s="1553"/>
      <c r="Y33" s="338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0"/>
      <c r="Q34" s="1558">
        <f t="shared" si="11"/>
        <v>111</v>
      </c>
      <c r="R34" s="1559" t="s">
        <v>8</v>
      </c>
      <c r="S34" s="1560">
        <f t="shared" si="12"/>
        <v>100</v>
      </c>
      <c r="T34" s="1559" t="s">
        <v>8</v>
      </c>
      <c r="U34" s="1560">
        <f t="shared" si="13"/>
        <v>100</v>
      </c>
      <c r="V34" s="1559" t="s">
        <v>8</v>
      </c>
      <c r="W34" s="1560">
        <f t="shared" si="14"/>
        <v>100</v>
      </c>
      <c r="X34" s="1553"/>
      <c r="Y34" s="3380"/>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5" t="str">
        <f>A35</f>
        <v>成交单价（元/平方米）</v>
      </c>
      <c r="Q35" s="3375"/>
      <c r="R35" s="3481">
        <f>E35</f>
        <v>0</v>
      </c>
      <c r="S35" s="3481"/>
      <c r="T35" s="3481">
        <f>G35</f>
        <v>0</v>
      </c>
      <c r="U35" s="3481"/>
      <c r="V35" s="3481">
        <f>I35</f>
        <v>0</v>
      </c>
      <c r="W35" s="3481"/>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75" t="str">
        <f>A36</f>
        <v>比较价格（元/平方米）</v>
      </c>
      <c r="Q36" s="3375"/>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5"/>
      <c r="Y36" s="1545"/>
      <c r="Z36" s="1545"/>
      <c r="AA36" s="1545"/>
      <c r="AB36" s="1545"/>
      <c r="AC36" s="1545"/>
    </row>
    <row r="37" spans="1:29" ht="15.75" thickBot="1">
      <c r="A37" s="621" t="s">
        <v>2932</v>
      </c>
      <c r="B37" s="622"/>
      <c r="C37" s="2600" t="e">
        <f>R37</f>
        <v>#DIV/0!</v>
      </c>
      <c r="D37" s="2600"/>
      <c r="E37" s="2600"/>
      <c r="F37" s="2600"/>
      <c r="G37" s="2600"/>
      <c r="H37" s="2600"/>
      <c r="I37" s="2600"/>
      <c r="J37" s="2600"/>
      <c r="K37" s="1598"/>
      <c r="L37" s="2129"/>
      <c r="M37" s="2130"/>
      <c r="N37" s="2130"/>
      <c r="O37" s="2130"/>
      <c r="P37" s="3398" t="str">
        <f>A37</f>
        <v>估价对象XX用房的比较价格（楼面单价，元/平方米）</v>
      </c>
      <c r="Q37" s="3399"/>
      <c r="R37" s="3480" t="e">
        <f>IF(F1="售价",ROUND(AVERAGE(R36:V36),0),ROUND(AVERAGE(R36:V36),1))</f>
        <v>#DIV/0!</v>
      </c>
      <c r="S37" s="3480"/>
      <c r="T37" s="3480"/>
      <c r="U37" s="3480"/>
      <c r="V37" s="3480"/>
      <c r="W37" s="348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93.75">
      <c r="A7" s="2828" t="s">
        <v>2748</v>
      </c>
    </row>
    <row r="8" spans="1:4" ht="18.75">
      <c r="A8" s="1779" t="s">
        <v>1906</v>
      </c>
    </row>
    <row r="9" spans="1:4" ht="75">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2019年8月16日（评估专业人员勘察现场之日）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2" t="s">
        <v>2304</v>
      </c>
      <c r="D1" s="3493"/>
      <c r="E1" s="3493"/>
      <c r="F1" s="3493"/>
      <c r="G1" s="3493"/>
      <c r="H1" s="3493"/>
      <c r="I1" s="3493"/>
      <c r="J1" s="3493"/>
      <c r="K1" s="3493"/>
      <c r="L1" s="3493"/>
      <c r="M1" s="3493"/>
      <c r="N1" s="3493"/>
      <c r="O1" s="3493"/>
      <c r="P1" s="3493"/>
      <c r="Q1" s="3493"/>
      <c r="R1" s="3493"/>
      <c r="S1" s="3494"/>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2924</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2923</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43693</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792" t="s">
        <v>2040</v>
      </c>
      <c r="B2" s="1792"/>
      <c r="C2" s="1792"/>
      <c r="D2" s="1792"/>
      <c r="E2" s="1792"/>
      <c r="F2" s="1792"/>
      <c r="G2" s="1792"/>
      <c r="H2" s="1792"/>
      <c r="I2" s="1793"/>
      <c r="J2" s="1793"/>
      <c r="K2" s="1794" t="str">
        <f>"估价期日："&amp;TEXT(项目基本情况!D3,"yyyy年m月d日;;")</f>
        <v>估价期日：2019年8月16日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6" t="s">
        <v>2029</v>
      </c>
      <c r="B3" s="3196" t="s">
        <v>2731</v>
      </c>
      <c r="C3" s="3197" t="s">
        <v>2030</v>
      </c>
      <c r="D3" s="3196" t="s">
        <v>2735</v>
      </c>
      <c r="E3" s="3199" t="s">
        <v>2031</v>
      </c>
      <c r="F3" s="3199"/>
      <c r="G3" s="3199"/>
      <c r="H3" s="3199" t="s">
        <v>2032</v>
      </c>
      <c r="I3" s="3199"/>
      <c r="J3" s="3199"/>
      <c r="K3" s="3197" t="s">
        <v>2033</v>
      </c>
      <c r="L3" s="3197" t="s">
        <v>2034</v>
      </c>
      <c r="M3" s="3196" t="s">
        <v>2732</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13" t="s">
        <v>2042</v>
      </c>
      <c r="F4" s="2613" t="s">
        <v>2744</v>
      </c>
      <c r="G4" s="2613" t="s">
        <v>2036</v>
      </c>
      <c r="H4" s="2613" t="s">
        <v>2037</v>
      </c>
      <c r="I4" s="2613" t="s">
        <v>2745</v>
      </c>
      <c r="J4" s="2613" t="s">
        <v>2036</v>
      </c>
      <c r="K4" s="3197"/>
      <c r="L4" s="3197"/>
      <c r="M4" s="3196"/>
      <c r="N4" s="3198"/>
      <c r="O4" s="3196"/>
      <c r="P4" s="3197"/>
      <c r="Q4" s="3197"/>
      <c r="R4" s="3197"/>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49527.1</v>
      </c>
      <c r="O5" s="1795">
        <f>项目基本情况!C21</f>
        <v>104102.39999999998</v>
      </c>
      <c r="P5" s="1795">
        <f ca="1">结果表!E42</f>
        <v>3730</v>
      </c>
      <c r="Q5" s="1795">
        <f ca="1">结果表!D42</f>
        <v>1775</v>
      </c>
      <c r="R5" s="1796">
        <f ca="1">结果表!C42</f>
        <v>18474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7">
        <f ca="1">结果表!O39</f>
        <v>18474</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7"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3" t="s">
        <v>2065</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2066</v>
      </c>
      <c r="B5" s="3206"/>
      <c r="C5" s="3206"/>
      <c r="D5" s="3206"/>
    </row>
    <row r="6" spans="1:4">
      <c r="A6" s="3203" t="s">
        <v>2044</v>
      </c>
      <c r="B6" s="3203"/>
      <c r="C6" s="3203"/>
      <c r="D6" s="3203"/>
    </row>
    <row r="7" spans="1:4" ht="33" customHeight="1">
      <c r="A7" s="3203" t="s">
        <v>2575</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6" t="s">
        <v>2068</v>
      </c>
      <c r="B12" s="3206"/>
      <c r="C12" s="3206"/>
      <c r="D12" s="3206"/>
    </row>
    <row r="13" spans="1:4">
      <c r="A13" s="3204" t="s">
        <v>2746</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2702</v>
      </c>
      <c r="B17" s="3203"/>
      <c r="C17" s="3203"/>
      <c r="D17" s="3203"/>
    </row>
    <row r="18" spans="1:4">
      <c r="A18" s="3203" t="s">
        <v>2694</v>
      </c>
      <c r="B18" s="3203"/>
      <c r="C18" s="3203"/>
      <c r="D18" s="3203"/>
    </row>
    <row r="19" spans="1:4">
      <c r="A19" s="2823" t="s">
        <v>2695</v>
      </c>
      <c r="B19" s="2823" t="s">
        <v>2696</v>
      </c>
      <c r="C19" s="2823" t="s">
        <v>2697</v>
      </c>
      <c r="D19" s="2823" t="s">
        <v>2698</v>
      </c>
    </row>
    <row r="20" spans="1:4">
      <c r="A20" s="2823" t="str">
        <f>项目基本情况!B4</f>
        <v>吴薇</v>
      </c>
      <c r="B20" s="2823">
        <f ca="1">项目基本情况!C4</f>
        <v>2002110125</v>
      </c>
      <c r="C20" s="2825"/>
      <c r="D20" s="1785" t="s">
        <v>2703</v>
      </c>
    </row>
    <row r="21" spans="1:4">
      <c r="A21" s="2823" t="str">
        <f>项目基本情况!D4</f>
        <v>郑燚</v>
      </c>
      <c r="B21" s="2823">
        <f ca="1">项目基本情况!E4</f>
        <v>2014110011</v>
      </c>
      <c r="C21" s="2825"/>
      <c r="D21" s="1785" t="s">
        <v>2704</v>
      </c>
    </row>
    <row r="23" spans="1:4">
      <c r="A23" s="3203" t="s">
        <v>2699</v>
      </c>
      <c r="B23" s="3203"/>
      <c r="C23" s="3203"/>
      <c r="D23" s="3203"/>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5" t="s">
        <v>53</v>
      </c>
      <c r="B15" s="3216" t="s">
        <v>846</v>
      </c>
      <c r="C15" s="3212"/>
    </row>
    <row r="16" spans="1:7" ht="14.25">
      <c r="A16" s="3215"/>
      <c r="B16" s="3213" t="s">
        <v>54</v>
      </c>
      <c r="C16" s="1168" t="s">
        <v>53</v>
      </c>
    </row>
    <row r="17" spans="1:3" ht="14.25">
      <c r="A17" s="3215"/>
      <c r="B17" s="3213"/>
      <c r="C17" s="1168" t="s">
        <v>55</v>
      </c>
    </row>
    <row r="18" spans="1:3" ht="14.25">
      <c r="A18" s="3215"/>
      <c r="B18" s="3213"/>
      <c r="C18" s="1168" t="s">
        <v>56</v>
      </c>
    </row>
    <row r="19" spans="1:3" ht="14.25">
      <c r="A19" s="3215"/>
      <c r="B19" s="3211" t="s">
        <v>57</v>
      </c>
      <c r="C19" s="3212"/>
    </row>
    <row r="20" spans="1:3" ht="14.25">
      <c r="A20" s="1169" t="s">
        <v>58</v>
      </c>
      <c r="B20" s="1170"/>
      <c r="C20" s="1171"/>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2" t="s">
        <v>837</v>
      </c>
    </row>
    <row r="25" spans="1:3" ht="14.25">
      <c r="A25" s="3214"/>
      <c r="B25" s="3218"/>
      <c r="C25" s="1172" t="s">
        <v>838</v>
      </c>
    </row>
    <row r="26" spans="1:3" ht="14.25">
      <c r="A26" s="3214"/>
      <c r="B26" s="3218"/>
      <c r="C26" s="1172" t="s">
        <v>839</v>
      </c>
    </row>
    <row r="27" spans="1:3" ht="14.25">
      <c r="A27" s="3214"/>
      <c r="B27" s="3218"/>
      <c r="C27" s="1172" t="s">
        <v>840</v>
      </c>
    </row>
    <row r="28" spans="1:3" ht="14.25">
      <c r="A28" s="3214"/>
      <c r="B28" s="3218"/>
      <c r="C28" s="1172" t="s">
        <v>841</v>
      </c>
    </row>
    <row r="29" spans="1:3" ht="14.25">
      <c r="A29" s="3214"/>
      <c r="B29" s="3218"/>
      <c r="C29" s="1172" t="s">
        <v>842</v>
      </c>
    </row>
    <row r="30" spans="1:3" ht="14.25">
      <c r="A30" s="3214"/>
      <c r="B30" s="3218"/>
      <c r="C30" s="1172" t="s">
        <v>843</v>
      </c>
    </row>
    <row r="31" spans="1:3" ht="14.25">
      <c r="A31" s="3214"/>
      <c r="B31" s="3218"/>
      <c r="C31" s="1172" t="s">
        <v>844</v>
      </c>
    </row>
    <row r="32" spans="1:3" ht="14.25">
      <c r="A32" s="3214"/>
      <c r="B32" s="3218"/>
      <c r="C32" s="1172" t="s">
        <v>1646</v>
      </c>
    </row>
    <row r="33" spans="1:3" ht="14.25">
      <c r="A33" s="3214"/>
      <c r="B33" s="3208" t="s">
        <v>1652</v>
      </c>
      <c r="C33" s="1172" t="s">
        <v>1647</v>
      </c>
    </row>
    <row r="34" spans="1:3" ht="14.25">
      <c r="A34" s="3214"/>
      <c r="B34" s="3209"/>
      <c r="C34" s="1177" t="s">
        <v>1648</v>
      </c>
    </row>
    <row r="35" spans="1:3" ht="14.25">
      <c r="A35" s="3214"/>
      <c r="B35" s="3209"/>
      <c r="C35" s="1178" t="s">
        <v>1649</v>
      </c>
    </row>
    <row r="36" spans="1:3" ht="14.25">
      <c r="A36" s="3214"/>
      <c r="B36" s="3209"/>
      <c r="C36" s="1178" t="s">
        <v>1650</v>
      </c>
    </row>
    <row r="37" spans="1:3" ht="14.25">
      <c r="A37" s="3214"/>
      <c r="B37" s="321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43713</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2574</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1" t="s">
        <v>2951</v>
      </c>
      <c r="C18" s="1540"/>
    </row>
    <row r="19" spans="1:3">
      <c r="A19" s="8" t="s">
        <v>120</v>
      </c>
      <c r="B19" s="3061"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1"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c r="D53" s="1752"/>
      <c r="E53" s="1752"/>
    </row>
    <row r="54" spans="1:5">
      <c r="A54" s="3221"/>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1"/>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1"/>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1"/>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案例</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2019-09-04T17:41:15Z</dcterms:modified>
</cp:coreProperties>
</file>