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55" windowHeight="8685" tabRatio="875" firstSheet="13" activeTab="1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8" r:id="rId30"/>
    <sheet name="不动产收益法" sheetId="15"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酒店收入计算 (2)" sheetId="69" r:id="rId41"/>
    <sheet name="存贷款利率" sheetId="65" state="hidden" r:id="rId42"/>
    <sheet name="Sheet1" sheetId="70" r:id="rId43"/>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39" l="1"/>
  <c r="C31" i="69" l="1"/>
  <c r="D31" i="69"/>
  <c r="E26" i="57"/>
  <c r="C31" i="57"/>
  <c r="G19" i="6"/>
  <c r="E48" i="39" l="1"/>
  <c r="E40" i="39" l="1"/>
  <c r="E7" i="39"/>
  <c r="C28" i="69"/>
  <c r="C28" i="57"/>
  <c r="C29" i="69"/>
  <c r="K13" i="3"/>
  <c r="I13" i="3"/>
  <c r="I48" i="39" l="1"/>
  <c r="G48" i="39"/>
  <c r="C27" i="57" l="1"/>
  <c r="C14" i="15" l="1"/>
  <c r="C30" i="57"/>
  <c r="D30" i="69"/>
  <c r="C30" i="69"/>
  <c r="C27" i="69"/>
  <c r="I23" i="69"/>
  <c r="D20" i="69"/>
  <c r="I19" i="69"/>
  <c r="I18" i="69"/>
  <c r="I17" i="69"/>
  <c r="I20" i="69" s="1"/>
  <c r="E15" i="69"/>
  <c r="I14" i="69"/>
  <c r="I13" i="69"/>
  <c r="I12" i="69"/>
  <c r="I15" i="69" s="1"/>
  <c r="I9" i="69"/>
  <c r="I8" i="69"/>
  <c r="I7" i="69"/>
  <c r="M6" i="69"/>
  <c r="I6" i="69"/>
  <c r="M5" i="69"/>
  <c r="I5" i="69"/>
  <c r="I4" i="69"/>
  <c r="I3" i="69"/>
  <c r="I10" i="69" l="1"/>
  <c r="I21" i="69" s="1"/>
  <c r="D1" i="69" s="1"/>
  <c r="E10" i="69" s="1"/>
  <c r="C32" i="69"/>
  <c r="E26" i="69" l="1"/>
  <c r="M6" i="57"/>
  <c r="M5" i="57"/>
  <c r="Z6" i="1" l="1"/>
  <c r="Z20" i="1" s="1"/>
  <c r="I40" i="39"/>
  <c r="G40" i="39"/>
  <c r="F19" i="6" l="1"/>
  <c r="A3" i="3"/>
  <c r="C40" i="39" s="1"/>
  <c r="D3" i="4"/>
  <c r="I9" i="39"/>
  <c r="G9" i="39"/>
  <c r="E9" i="39"/>
  <c r="I7" i="39"/>
  <c r="G7" i="39"/>
  <c r="AH5" i="59" l="1"/>
  <c r="AG5" i="59"/>
  <c r="AE5" i="59"/>
  <c r="AF5" i="59" s="1"/>
  <c r="AD5" i="59"/>
  <c r="Q5" i="59"/>
  <c r="Q6" i="59"/>
  <c r="Q7" i="59"/>
  <c r="P5" i="59"/>
  <c r="P6" i="59"/>
  <c r="P7" i="59"/>
  <c r="O5" i="59"/>
  <c r="O6" i="59"/>
  <c r="O7" i="59"/>
  <c r="N5" i="59"/>
  <c r="N6" i="59"/>
  <c r="N7" i="59"/>
  <c r="AH6" i="59"/>
  <c r="AG6" i="59"/>
  <c r="AE6" i="59"/>
  <c r="AF6" i="59"/>
  <c r="AD6" i="59"/>
  <c r="F25" i="12"/>
  <c r="AH7" i="59"/>
  <c r="AG7" i="59"/>
  <c r="AE7" i="59"/>
  <c r="AF7" i="59"/>
  <c r="AD7"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s="1"/>
  <c r="AF3" i="59" s="1"/>
  <c r="I3" i="59"/>
  <c r="AH9" i="59"/>
  <c r="AG9" i="59"/>
  <c r="AE9" i="59"/>
  <c r="AF9" i="59" s="1"/>
  <c r="AD9" i="59"/>
  <c r="Q9" i="59"/>
  <c r="Q10" i="59"/>
  <c r="P9" i="59"/>
  <c r="P10" i="59"/>
  <c r="O9" i="59"/>
  <c r="O10" i="59"/>
  <c r="N9" i="59"/>
  <c r="N10" i="59"/>
  <c r="AH10" i="59"/>
  <c r="AG10" i="59"/>
  <c r="AE10" i="59"/>
  <c r="AF10" i="59"/>
  <c r="AD10" i="59"/>
  <c r="Q11" i="59"/>
  <c r="P11" i="59"/>
  <c r="O11" i="59"/>
  <c r="N11" i="59"/>
  <c r="M19" i="46"/>
  <c r="J50" i="15"/>
  <c r="D13" i="59"/>
  <c r="AH11" i="59"/>
  <c r="AG11" i="59"/>
  <c r="AE11" i="59"/>
  <c r="AF11" i="59"/>
  <c r="AD11" i="59"/>
  <c r="AE12" i="59"/>
  <c r="AF12" i="59" s="1"/>
  <c r="AG12" i="59"/>
  <c r="AH12" i="59"/>
  <c r="AD12" i="59"/>
  <c r="Q12" i="59"/>
  <c r="P12" i="59"/>
  <c r="O12" i="59"/>
  <c r="N12" i="59"/>
  <c r="N13" i="59"/>
  <c r="Q13" i="59"/>
  <c r="P13" i="59"/>
  <c r="O13" i="59"/>
  <c r="K59" i="15"/>
  <c r="Q74" i="44"/>
  <c r="Q61" i="44"/>
  <c r="Q60" i="44"/>
  <c r="Q53" i="44"/>
  <c r="J51" i="44"/>
  <c r="J52" i="44" s="1"/>
  <c r="M48" i="44"/>
  <c r="A16" i="55"/>
  <c r="A15" i="55"/>
  <c r="B66" i="63" s="1"/>
  <c r="A10" i="55"/>
  <c r="B61" i="63" s="1"/>
  <c r="A9" i="55"/>
  <c r="B60" i="63" s="1"/>
  <c r="A8" i="55"/>
  <c r="B59" i="63" s="1"/>
  <c r="A6" i="54"/>
  <c r="A8" i="54"/>
  <c r="B53" i="63" s="1"/>
  <c r="A7" i="54"/>
  <c r="A28" i="51"/>
  <c r="A27" i="51"/>
  <c r="B20" i="63" s="1"/>
  <c r="Q14" i="59"/>
  <c r="O14" i="59"/>
  <c r="N15" i="59"/>
  <c r="O15" i="59"/>
  <c r="P15" i="59"/>
  <c r="Q15" i="59"/>
  <c r="N14" i="59"/>
  <c r="P14" i="59"/>
  <c r="B16" i="59"/>
  <c r="K75" i="9"/>
  <c r="K6" i="4"/>
  <c r="B22" i="31"/>
  <c r="E15" i="66"/>
  <c r="F15" i="66"/>
  <c r="E16" i="66"/>
  <c r="F16" i="66"/>
  <c r="E17" i="66"/>
  <c r="F17" i="66"/>
  <c r="E18" i="66"/>
  <c r="F18" i="66"/>
  <c r="E19" i="66"/>
  <c r="F19" i="66"/>
  <c r="E20" i="66"/>
  <c r="F20" i="66"/>
  <c r="E21" i="66"/>
  <c r="F21" i="66"/>
  <c r="E22" i="66"/>
  <c r="F22" i="66"/>
  <c r="E23" i="66"/>
  <c r="F23" i="66"/>
  <c r="B3" i="66"/>
  <c r="U16" i="59"/>
  <c r="E15" i="59"/>
  <c r="E14" i="59" s="1"/>
  <c r="E12" i="59"/>
  <c r="E11" i="59" s="1"/>
  <c r="F12" i="59"/>
  <c r="V12" i="59" s="1"/>
  <c r="U12" i="59"/>
  <c r="AD3" i="59"/>
  <c r="AG3"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H27" i="59"/>
  <c r="AG27" i="59"/>
  <c r="AE27" i="59"/>
  <c r="AF27" i="59" s="1"/>
  <c r="AD27" i="59"/>
  <c r="AD28" i="59"/>
  <c r="AE28" i="59"/>
  <c r="AF28" i="59" s="1"/>
  <c r="AG28" i="59"/>
  <c r="AH28" i="59"/>
  <c r="X19" i="59"/>
  <c r="S2" i="31"/>
  <c r="M2" i="31"/>
  <c r="N2" i="31"/>
  <c r="O2" i="31"/>
  <c r="P2" i="31"/>
  <c r="Q2" i="31"/>
  <c r="R2" i="31"/>
  <c r="C12" i="59"/>
  <c r="C11" i="59"/>
  <c r="C3" i="65"/>
  <c r="C1" i="65"/>
  <c r="N1" i="65" s="1"/>
  <c r="T12" i="59"/>
  <c r="D12"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64" s="1"/>
  <c r="C56" i="10"/>
  <c r="A26" i="51" s="1"/>
  <c r="B19" i="63" s="1"/>
  <c r="C55" i="10"/>
  <c r="C54" i="10"/>
  <c r="B49" i="63"/>
  <c r="B44" i="63"/>
  <c r="B40" i="63"/>
  <c r="B30" i="63"/>
  <c r="B27" i="63"/>
  <c r="B25" i="63"/>
  <c r="A11" i="51"/>
  <c r="A26" i="64"/>
  <c r="K39" i="9"/>
  <c r="K40" i="9"/>
  <c r="B58" i="63"/>
  <c r="B51" i="63"/>
  <c r="A46" i="9"/>
  <c r="K41" i="9"/>
  <c r="B8" i="63"/>
  <c r="A21" i="55"/>
  <c r="B71" i="63" s="1"/>
  <c r="A20" i="55"/>
  <c r="B69" i="63" s="1"/>
  <c r="B26" i="63"/>
  <c r="B28" i="63"/>
  <c r="B29" i="63"/>
  <c r="B31" i="63"/>
  <c r="B33" i="63"/>
  <c r="B35" i="63"/>
  <c r="B36" i="63"/>
  <c r="B37" i="63"/>
  <c r="B63" i="63"/>
  <c r="B64" i="63"/>
  <c r="B68" i="63"/>
  <c r="D51" i="10"/>
  <c r="B10" i="63"/>
  <c r="B51" i="10"/>
  <c r="B17" i="63"/>
  <c r="A15" i="51"/>
  <c r="B12" i="63" s="1"/>
  <c r="A14" i="51"/>
  <c r="B11" i="63" s="1"/>
  <c r="A4" i="55"/>
  <c r="B57" i="63" s="1"/>
  <c r="B41" i="63"/>
  <c r="G5" i="54"/>
  <c r="B34" i="63"/>
  <c r="E5" i="54"/>
  <c r="B32" i="63"/>
  <c r="R2" i="54"/>
  <c r="B24" i="63"/>
  <c r="B49" i="50"/>
  <c r="B5" i="63" s="1"/>
  <c r="B40" i="50"/>
  <c r="B3" i="63" s="1"/>
  <c r="B67" i="63"/>
  <c r="I19" i="46"/>
  <c r="Q16" i="59"/>
  <c r="F16" i="59" s="1"/>
  <c r="V16" i="59" s="1"/>
  <c r="P16" i="59"/>
  <c r="E16" i="59" s="1"/>
  <c r="O16" i="59"/>
  <c r="C16" i="59" s="1"/>
  <c r="N16" i="59"/>
  <c r="D77" i="59"/>
  <c r="F76" i="59"/>
  <c r="E76" i="59"/>
  <c r="E75" i="59" s="1"/>
  <c r="E74" i="59" s="1"/>
  <c r="C76" i="59"/>
  <c r="D76" i="59"/>
  <c r="B76" i="59"/>
  <c r="F75" i="59"/>
  <c r="F74" i="59" s="1"/>
  <c r="B75" i="59"/>
  <c r="B74" i="59" s="1"/>
  <c r="D73" i="59"/>
  <c r="F72" i="59"/>
  <c r="E72" i="59"/>
  <c r="E71" i="59" s="1"/>
  <c r="E70" i="59"/>
  <c r="C72" i="59"/>
  <c r="D72" i="59"/>
  <c r="B72" i="59"/>
  <c r="F71" i="59"/>
  <c r="F70" i="59" s="1"/>
  <c r="B71" i="59"/>
  <c r="B70" i="59" s="1"/>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U64" i="59" s="1"/>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E56" i="59"/>
  <c r="E55" i="59" s="1"/>
  <c r="P55" i="59"/>
  <c r="C56" i="59"/>
  <c r="B56" i="59"/>
  <c r="D53" i="59"/>
  <c r="Q52" i="59"/>
  <c r="P52" i="59"/>
  <c r="O52" i="59"/>
  <c r="N52" i="59"/>
  <c r="Q51" i="59"/>
  <c r="P51" i="59"/>
  <c r="O51" i="59"/>
  <c r="N51" i="59"/>
  <c r="Q50" i="59"/>
  <c r="P50" i="59"/>
  <c r="O50" i="59"/>
  <c r="N50" i="59"/>
  <c r="Q49" i="59"/>
  <c r="F50" i="59" s="1"/>
  <c r="P49" i="59"/>
  <c r="E50" i="59" s="1"/>
  <c r="E51" i="59" s="1"/>
  <c r="E52" i="59" s="1"/>
  <c r="U52" i="59" s="1"/>
  <c r="O49" i="59"/>
  <c r="C50" i="59"/>
  <c r="D50" i="59" s="1"/>
  <c r="N49" i="59"/>
  <c r="B50" i="59"/>
  <c r="B51" i="59" s="1"/>
  <c r="B52" i="59" s="1"/>
  <c r="S52" i="59" s="1"/>
  <c r="D49" i="59"/>
  <c r="Q48" i="59"/>
  <c r="P48" i="59"/>
  <c r="O48" i="59"/>
  <c r="N48" i="59"/>
  <c r="Q47" i="59"/>
  <c r="P47" i="59"/>
  <c r="O47" i="59"/>
  <c r="N47" i="59"/>
  <c r="Q46" i="59"/>
  <c r="P46" i="59"/>
  <c r="O46" i="59"/>
  <c r="N46" i="59"/>
  <c r="B47" i="59" s="1"/>
  <c r="B48" i="59" s="1"/>
  <c r="S48" i="59" s="1"/>
  <c r="Q45" i="59"/>
  <c r="F46" i="59"/>
  <c r="F47" i="59" s="1"/>
  <c r="F48" i="59" s="1"/>
  <c r="V48" i="59" s="1"/>
  <c r="P45" i="59"/>
  <c r="E46" i="59"/>
  <c r="E47" i="59" s="1"/>
  <c r="E48" i="59" s="1"/>
  <c r="U48" i="59" s="1"/>
  <c r="O45" i="59"/>
  <c r="C46" i="59" s="1"/>
  <c r="D46" i="59" s="1"/>
  <c r="N45" i="59"/>
  <c r="B46" i="59" s="1"/>
  <c r="D45" i="59"/>
  <c r="Q44" i="59"/>
  <c r="P44" i="59"/>
  <c r="O44" i="59"/>
  <c r="N44" i="59"/>
  <c r="Q43" i="59"/>
  <c r="P43" i="59"/>
  <c r="O43" i="59"/>
  <c r="N43" i="59"/>
  <c r="Q42" i="59"/>
  <c r="P42" i="59"/>
  <c r="O42" i="59"/>
  <c r="N42" i="59"/>
  <c r="Q41" i="59"/>
  <c r="F42" i="59" s="1"/>
  <c r="P41" i="59"/>
  <c r="E42" i="59" s="1"/>
  <c r="E43" i="59" s="1"/>
  <c r="E44" i="59" s="1"/>
  <c r="U44" i="59" s="1"/>
  <c r="O41" i="59"/>
  <c r="C42" i="59"/>
  <c r="D42" i="59" s="1"/>
  <c r="N41" i="59"/>
  <c r="B42" i="59"/>
  <c r="B43" i="59" s="1"/>
  <c r="B44" i="59" s="1"/>
  <c r="S44" i="59" s="1"/>
  <c r="D41" i="59"/>
  <c r="Q40" i="59"/>
  <c r="P40" i="59"/>
  <c r="O40" i="59"/>
  <c r="N40" i="59"/>
  <c r="Q39" i="59"/>
  <c r="P39" i="59"/>
  <c r="O39" i="59"/>
  <c r="N39" i="59"/>
  <c r="Q38" i="59"/>
  <c r="P38" i="59"/>
  <c r="O38" i="59"/>
  <c r="N38" i="59"/>
  <c r="B39" i="59" s="1"/>
  <c r="B40" i="59" s="1"/>
  <c r="Q37" i="59"/>
  <c r="F38" i="59"/>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c r="P33" i="59"/>
  <c r="E34" i="59"/>
  <c r="E35" i="59" s="1"/>
  <c r="E36" i="59"/>
  <c r="U36" i="59" s="1"/>
  <c r="O33" i="59"/>
  <c r="C34" i="59" s="1"/>
  <c r="N33" i="59"/>
  <c r="B34" i="59" s="1"/>
  <c r="B35" i="59" s="1"/>
  <c r="B36" i="59" s="1"/>
  <c r="S36" i="59"/>
  <c r="D33" i="59"/>
  <c r="Q32" i="59"/>
  <c r="P32" i="59"/>
  <c r="O32" i="59"/>
  <c r="N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c r="B32" i="59" s="1"/>
  <c r="S32" i="59" s="1"/>
  <c r="D29" i="59"/>
  <c r="Q28" i="59"/>
  <c r="P28" i="59"/>
  <c r="O28" i="59"/>
  <c r="N28" i="59"/>
  <c r="Q27" i="59"/>
  <c r="AB27" i="59" s="1"/>
  <c r="P27" i="59"/>
  <c r="O27" i="59"/>
  <c r="Y27" i="59"/>
  <c r="Z27" i="59" s="1"/>
  <c r="N27" i="59"/>
  <c r="X27" i="59" s="1"/>
  <c r="Q26" i="59"/>
  <c r="AB26" i="59" s="1"/>
  <c r="P26" i="59"/>
  <c r="O26" i="59"/>
  <c r="N26" i="59"/>
  <c r="Q25" i="59"/>
  <c r="P25" i="59"/>
  <c r="O25" i="59"/>
  <c r="C26" i="59"/>
  <c r="N25" i="59"/>
  <c r="B26" i="59"/>
  <c r="B27" i="59" s="1"/>
  <c r="B28" i="59"/>
  <c r="S28" i="59" s="1"/>
  <c r="D25" i="59"/>
  <c r="Q24" i="59"/>
  <c r="P24" i="59"/>
  <c r="O24" i="59"/>
  <c r="N24" i="59"/>
  <c r="X24" i="59" s="1"/>
  <c r="Q23" i="59"/>
  <c r="P23" i="59"/>
  <c r="O23" i="59"/>
  <c r="N23" i="59"/>
  <c r="X23" i="59" s="1"/>
  <c r="Q22" i="59"/>
  <c r="P22" i="59"/>
  <c r="O22" i="59"/>
  <c r="N22" i="59"/>
  <c r="X22" i="59" s="1"/>
  <c r="Q21" i="59"/>
  <c r="F22" i="59"/>
  <c r="P21" i="59"/>
  <c r="E22" i="59"/>
  <c r="E23" i="59" s="1"/>
  <c r="E24" i="59"/>
  <c r="U24" i="59" s="1"/>
  <c r="O21" i="59"/>
  <c r="N21" i="59"/>
  <c r="D21" i="59"/>
  <c r="Q20" i="59"/>
  <c r="AB20" i="59" s="1"/>
  <c r="P20" i="59"/>
  <c r="O20" i="59"/>
  <c r="Y20" i="59" s="1"/>
  <c r="Z20" i="59" s="1"/>
  <c r="N20" i="59"/>
  <c r="Q19" i="59"/>
  <c r="AB19" i="59" s="1"/>
  <c r="P19" i="59"/>
  <c r="O19" i="59"/>
  <c r="Y19" i="59" s="1"/>
  <c r="Z19" i="59" s="1"/>
  <c r="N19" i="59"/>
  <c r="Q18" i="59"/>
  <c r="AB18" i="59" s="1"/>
  <c r="P18" i="59"/>
  <c r="O18" i="59"/>
  <c r="N18" i="59"/>
  <c r="Q17" i="59"/>
  <c r="P17" i="59"/>
  <c r="O17" i="59"/>
  <c r="C18" i="59"/>
  <c r="N17" i="59"/>
  <c r="B18" i="59"/>
  <c r="B19" i="59" s="1"/>
  <c r="D17" i="59"/>
  <c r="X14" i="59"/>
  <c r="AA13" i="59"/>
  <c r="AB13" i="59"/>
  <c r="B20" i="59"/>
  <c r="S20" i="59" s="1"/>
  <c r="E18" i="59"/>
  <c r="E19" i="59" s="1"/>
  <c r="E20" i="59"/>
  <c r="U20" i="59" s="1"/>
  <c r="S40" i="59"/>
  <c r="F23" i="59"/>
  <c r="F24" i="59" s="1"/>
  <c r="V24" i="59"/>
  <c r="F35" i="59"/>
  <c r="F36" i="59"/>
  <c r="V36" i="59" s="1"/>
  <c r="F43" i="59"/>
  <c r="F44" i="59" s="1"/>
  <c r="V44" i="59" s="1"/>
  <c r="F51" i="59"/>
  <c r="F52" i="59" s="1"/>
  <c r="V52" i="59"/>
  <c r="D18" i="59"/>
  <c r="D26" i="59"/>
  <c r="C35" i="59"/>
  <c r="D35" i="59"/>
  <c r="D34" i="59"/>
  <c r="C39" i="59"/>
  <c r="C40" i="59" s="1"/>
  <c r="D40" i="59" s="1"/>
  <c r="D38" i="59"/>
  <c r="C43" i="59"/>
  <c r="C44" i="59" s="1"/>
  <c r="D44" i="59" s="1"/>
  <c r="C47" i="59"/>
  <c r="C51" i="59"/>
  <c r="C52" i="59" s="1"/>
  <c r="D52" i="59" s="1"/>
  <c r="E54" i="59"/>
  <c r="P53" i="59" s="1"/>
  <c r="T56" i="59"/>
  <c r="O56" i="59"/>
  <c r="D56" i="59"/>
  <c r="C55" i="59"/>
  <c r="P56" i="59"/>
  <c r="U56" i="59"/>
  <c r="C59" i="59"/>
  <c r="E59" i="59"/>
  <c r="E58" i="59" s="1"/>
  <c r="D60" i="59"/>
  <c r="E63" i="59"/>
  <c r="E62" i="59" s="1"/>
  <c r="C67" i="59"/>
  <c r="E67" i="59"/>
  <c r="E66" i="59" s="1"/>
  <c r="D68" i="59"/>
  <c r="C71" i="59"/>
  <c r="C75" i="59"/>
  <c r="D75" i="59" s="1"/>
  <c r="U16" i="4"/>
  <c r="S16" i="4"/>
  <c r="Q16" i="4"/>
  <c r="O16" i="4"/>
  <c r="N16" i="4" s="1"/>
  <c r="M16" i="4"/>
  <c r="K16" i="4"/>
  <c r="L16" i="4" s="1"/>
  <c r="P54" i="59"/>
  <c r="C74" i="59"/>
  <c r="D74" i="59" s="1"/>
  <c r="D67" i="59"/>
  <c r="C66" i="59"/>
  <c r="D66" i="59"/>
  <c r="D59" i="59"/>
  <c r="C58" i="59"/>
  <c r="D58" i="59" s="1"/>
  <c r="C54" i="59"/>
  <c r="D54" i="59" s="1"/>
  <c r="O55" i="59"/>
  <c r="D55" i="59"/>
  <c r="D71" i="59"/>
  <c r="C70" i="59"/>
  <c r="D70" i="59" s="1"/>
  <c r="D51" i="59"/>
  <c r="D43" i="59"/>
  <c r="D39" i="59"/>
  <c r="T40" i="59"/>
  <c r="T44" i="59"/>
  <c r="T52" i="59"/>
  <c r="O54" i="59"/>
  <c r="O53"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c r="Q21" i="37"/>
  <c r="Z21" i="37" s="1"/>
  <c r="F21" i="37"/>
  <c r="AA21" i="37"/>
  <c r="C21" i="37"/>
  <c r="E77" i="37"/>
  <c r="F77" i="37" s="1"/>
  <c r="G77" i="37"/>
  <c r="D77" i="37"/>
  <c r="Z21" i="34"/>
  <c r="Q21" i="34"/>
  <c r="C21" i="34"/>
  <c r="D84" i="34"/>
  <c r="F21" i="34"/>
  <c r="Z21" i="33"/>
  <c r="Q21" i="33"/>
  <c r="C21" i="33"/>
  <c r="D83" i="33"/>
  <c r="E83" i="33"/>
  <c r="F83" i="33" s="1"/>
  <c r="G83" i="33"/>
  <c r="Q21" i="21"/>
  <c r="Z21" i="21" s="1"/>
  <c r="D83" i="21"/>
  <c r="E83" i="21"/>
  <c r="F83" i="21" s="1"/>
  <c r="G83" i="21" s="1"/>
  <c r="F21" i="21"/>
  <c r="AA21" i="21"/>
  <c r="C21" i="21"/>
  <c r="Z27" i="40"/>
  <c r="Q27" i="40"/>
  <c r="D96" i="40"/>
  <c r="E96" i="40" s="1"/>
  <c r="F96" i="40" s="1"/>
  <c r="F27" i="40"/>
  <c r="Z31" i="39"/>
  <c r="Q31" i="39"/>
  <c r="D105" i="39"/>
  <c r="G20" i="20"/>
  <c r="C22" i="20"/>
  <c r="S18" i="36"/>
  <c r="S21" i="37"/>
  <c r="S21" i="21"/>
  <c r="B54" i="46"/>
  <c r="E66" i="36"/>
  <c r="H18" i="35"/>
  <c r="J18" i="35"/>
  <c r="H21" i="37"/>
  <c r="J21" i="37"/>
  <c r="E84" i="34"/>
  <c r="F84" i="34"/>
  <c r="G84" i="34" s="1"/>
  <c r="J21" i="34"/>
  <c r="H21" i="34"/>
  <c r="F21" i="33"/>
  <c r="H21" i="33"/>
  <c r="J21" i="33"/>
  <c r="H21" i="21"/>
  <c r="J21" i="21"/>
  <c r="H27" i="40"/>
  <c r="F23" i="15"/>
  <c r="D22" i="15" s="1"/>
  <c r="G17" i="11"/>
  <c r="F15" i="15"/>
  <c r="F17" i="15"/>
  <c r="C17" i="15" s="1"/>
  <c r="F18" i="15"/>
  <c r="F20" i="15"/>
  <c r="F21" i="15"/>
  <c r="F33" i="15"/>
  <c r="F60" i="15" s="1"/>
  <c r="K2" i="4"/>
  <c r="K1" i="4"/>
  <c r="B1" i="4"/>
  <c r="B37" i="50" s="1"/>
  <c r="B2" i="63" s="1"/>
  <c r="C32" i="57"/>
  <c r="I23" i="57"/>
  <c r="D20" i="57"/>
  <c r="I19" i="57"/>
  <c r="I18" i="57"/>
  <c r="I17" i="57"/>
  <c r="I20" i="57" s="1"/>
  <c r="E15" i="57"/>
  <c r="I14" i="57"/>
  <c r="I13" i="57"/>
  <c r="I12" i="57"/>
  <c r="I15" i="57"/>
  <c r="I9" i="57"/>
  <c r="I8" i="57"/>
  <c r="I7" i="57"/>
  <c r="I6" i="57"/>
  <c r="I5" i="57"/>
  <c r="I4" i="57"/>
  <c r="I3" i="57"/>
  <c r="I10" i="57"/>
  <c r="I21" i="57" s="1"/>
  <c r="D1" i="57"/>
  <c r="E10"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J50" i="46" s="1"/>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c r="L12" i="31" s="1"/>
  <c r="M12" i="31" s="1"/>
  <c r="N12" i="31" s="1"/>
  <c r="O12" i="31" s="1"/>
  <c r="P12" i="31" s="1"/>
  <c r="Q12" i="31" s="1"/>
  <c r="R12" i="31" s="1"/>
  <c r="S12" i="3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C9" i="12" s="1"/>
  <c r="E32" i="6"/>
  <c r="E20" i="6"/>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O5" i="3" s="1"/>
  <c r="BP19" i="3"/>
  <c r="BQ19" i="3"/>
  <c r="BR19" i="3"/>
  <c r="BS19" i="3"/>
  <c r="BT19" i="3"/>
  <c r="H20" i="3"/>
  <c r="G20" i="3" s="1"/>
  <c r="AC20" i="3"/>
  <c r="BB20" i="3"/>
  <c r="BC20" i="3"/>
  <c r="BD20" i="3"/>
  <c r="BE20" i="3"/>
  <c r="BF20" i="3"/>
  <c r="BG20" i="3"/>
  <c r="BH20" i="3"/>
  <c r="BI20" i="3"/>
  <c r="BJ20" i="3"/>
  <c r="BK20" i="3"/>
  <c r="BM20" i="3"/>
  <c r="BN20" i="3"/>
  <c r="BO20" i="3"/>
  <c r="BP20" i="3"/>
  <c r="BR20" i="3"/>
  <c r="BR5" i="3" s="1"/>
  <c r="BS20" i="3"/>
  <c r="BT20" i="3"/>
  <c r="H481" i="3"/>
  <c r="G481" i="3"/>
  <c r="AC481" i="3"/>
  <c r="BB481" i="3"/>
  <c r="BA481" i="3" s="1"/>
  <c r="AZ481" i="3" s="1"/>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C5" i="3" s="1"/>
  <c r="BD496" i="3"/>
  <c r="BE496" i="3"/>
  <c r="BF496" i="3"/>
  <c r="BG496" i="3"/>
  <c r="BH496" i="3"/>
  <c r="BI496" i="3"/>
  <c r="BJ496" i="3"/>
  <c r="BK496" i="3"/>
  <c r="BM496" i="3"/>
  <c r="BN496" i="3"/>
  <c r="BO496" i="3"/>
  <c r="BP496" i="3"/>
  <c r="BR496" i="3"/>
  <c r="BS496" i="3"/>
  <c r="BT496" i="3"/>
  <c r="H497" i="3"/>
  <c r="G497" i="3" s="1"/>
  <c r="AC497" i="3"/>
  <c r="BB497" i="3"/>
  <c r="BC497" i="3"/>
  <c r="BA497" i="3" s="1"/>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G505" i="3" s="1"/>
  <c r="AC505" i="3"/>
  <c r="BB505" i="3"/>
  <c r="BC505" i="3"/>
  <c r="BA505" i="3" s="1"/>
  <c r="AZ505" i="3" s="1"/>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L526" i="3" s="1"/>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L534" i="3" s="1"/>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A553" i="3" s="1"/>
  <c r="BC553" i="3"/>
  <c r="BD553" i="3"/>
  <c r="BE553" i="3"/>
  <c r="BF553" i="3"/>
  <c r="BG553" i="3"/>
  <c r="BH553" i="3"/>
  <c r="BI553" i="3"/>
  <c r="BJ553" i="3"/>
  <c r="BK553" i="3"/>
  <c r="BM553" i="3"/>
  <c r="BN553" i="3"/>
  <c r="BO553" i="3"/>
  <c r="BP553" i="3"/>
  <c r="BQ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L568" i="3" s="1"/>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D113" i="33"/>
  <c r="E113" i="33" s="1"/>
  <c r="F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c r="G111" i="39" s="1"/>
  <c r="H111" i="39" s="1"/>
  <c r="I111" i="39" s="1"/>
  <c r="J111" i="39"/>
  <c r="K111" i="39" s="1"/>
  <c r="L111" i="39" s="1"/>
  <c r="M111" i="39" s="1"/>
  <c r="D109" i="39"/>
  <c r="E109" i="39" s="1"/>
  <c r="F109" i="39" s="1"/>
  <c r="G109" i="39" s="1"/>
  <c r="H109" i="39"/>
  <c r="I109" i="39" s="1"/>
  <c r="J109" i="39" s="1"/>
  <c r="K109" i="39" s="1"/>
  <c r="L109" i="39" s="1"/>
  <c r="M109" i="39" s="1"/>
  <c r="D107" i="39"/>
  <c r="E107" i="39" s="1"/>
  <c r="F107" i="39"/>
  <c r="G107" i="39" s="1"/>
  <c r="H107" i="39" s="1"/>
  <c r="I107" i="39" s="1"/>
  <c r="J107" i="39"/>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s="1"/>
  <c r="Q27" i="39"/>
  <c r="Z27" i="39" s="1"/>
  <c r="Q25" i="39"/>
  <c r="Z25" i="39" s="1"/>
  <c r="Q23" i="39"/>
  <c r="Z23" i="39" s="1"/>
  <c r="Q21" i="39"/>
  <c r="Z21" i="39" s="1"/>
  <c r="Q19" i="39"/>
  <c r="Z19" i="39" s="1"/>
  <c r="Q17" i="39"/>
  <c r="Z17" i="39" s="1"/>
  <c r="Q16" i="39"/>
  <c r="Z16" i="39"/>
  <c r="Q15" i="39"/>
  <c r="Z15" i="39"/>
  <c r="Q14" i="39"/>
  <c r="Z14" i="39"/>
  <c r="Q13" i="39"/>
  <c r="Z13" i="39"/>
  <c r="Q12" i="39"/>
  <c r="Z12" i="39"/>
  <c r="Q11" i="39"/>
  <c r="Z11" i="39"/>
  <c r="U10" i="39"/>
  <c r="C9" i="39"/>
  <c r="C70" i="39" s="1"/>
  <c r="C20" i="36"/>
  <c r="C20" i="35"/>
  <c r="C16" i="36"/>
  <c r="C16" i="35"/>
  <c r="C14" i="36"/>
  <c r="C14" i="35"/>
  <c r="B80" i="37"/>
  <c r="B110" i="37"/>
  <c r="J39" i="37"/>
  <c r="B108" i="37"/>
  <c r="C23" i="37"/>
  <c r="C19" i="37"/>
  <c r="C17" i="37"/>
  <c r="C15" i="37"/>
  <c r="B112" i="37"/>
  <c r="D107" i="37"/>
  <c r="E107" i="37" s="1"/>
  <c r="D105" i="37"/>
  <c r="E105" i="37" s="1"/>
  <c r="F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F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B95" i="36"/>
  <c r="H34" i="36"/>
  <c r="D83" i="36"/>
  <c r="E83" i="36"/>
  <c r="F83" i="36" s="1"/>
  <c r="G83" i="36"/>
  <c r="H83" i="36" s="1"/>
  <c r="I83" i="36" s="1"/>
  <c r="J83" i="36" s="1"/>
  <c r="K83" i="36"/>
  <c r="L83" i="36" s="1"/>
  <c r="M83" i="36" s="1"/>
  <c r="D78" i="36"/>
  <c r="J26" i="36"/>
  <c r="W26" i="36" s="1"/>
  <c r="B75" i="36"/>
  <c r="B73" i="36"/>
  <c r="J24" i="36"/>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J23" i="36"/>
  <c r="H23" i="36"/>
  <c r="AB23" i="36" s="1"/>
  <c r="F23" i="36"/>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B73" i="35"/>
  <c r="B57" i="35"/>
  <c r="B61" i="35"/>
  <c r="B59" i="35"/>
  <c r="H12" i="35" s="1"/>
  <c r="B131" i="34"/>
  <c r="B129" i="34"/>
  <c r="B127" i="34"/>
  <c r="B99" i="34"/>
  <c r="B97" i="34"/>
  <c r="B95" i="34"/>
  <c r="B93" i="34"/>
  <c r="B75" i="34"/>
  <c r="B73" i="34"/>
  <c r="B71" i="34"/>
  <c r="B130" i="33"/>
  <c r="B128" i="33"/>
  <c r="H45" i="33"/>
  <c r="B126" i="33"/>
  <c r="B98" i="33"/>
  <c r="F31" i="33"/>
  <c r="AA31" i="33" s="1"/>
  <c r="B96" i="33"/>
  <c r="B94" i="33"/>
  <c r="B74" i="33"/>
  <c r="B72" i="33"/>
  <c r="B70" i="33"/>
  <c r="H12" i="33" s="1"/>
  <c r="U12" i="33" s="1"/>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AC8" i="35" s="1"/>
  <c r="H8" i="35"/>
  <c r="F8" i="35"/>
  <c r="AA8" i="35" s="1"/>
  <c r="C7" i="35"/>
  <c r="D120" i="34"/>
  <c r="E120" i="34"/>
  <c r="F120" i="34" s="1"/>
  <c r="G120" i="34" s="1"/>
  <c r="H120" i="34" s="1"/>
  <c r="I120" i="34"/>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c r="L102" i="34" s="1"/>
  <c r="M102" i="34" s="1"/>
  <c r="H33" i="34"/>
  <c r="U33" i="34"/>
  <c r="D92" i="34"/>
  <c r="E92" i="34"/>
  <c r="F92" i="34" s="1"/>
  <c r="G92" i="34"/>
  <c r="H92" i="34" s="1"/>
  <c r="I92" i="34" s="1"/>
  <c r="J92" i="34" s="1"/>
  <c r="K92" i="34"/>
  <c r="L92" i="34" s="1"/>
  <c r="M92" i="34" s="1"/>
  <c r="B91" i="34"/>
  <c r="F28" i="34"/>
  <c r="S28" i="34" s="1"/>
  <c r="B89" i="34"/>
  <c r="D88" i="34"/>
  <c r="E88" i="34" s="1"/>
  <c r="F88" i="34"/>
  <c r="G88" i="34" s="1"/>
  <c r="H88" i="34" s="1"/>
  <c r="I88" i="34" s="1"/>
  <c r="J88" i="34"/>
  <c r="K88" i="34" s="1"/>
  <c r="L88" i="34" s="1"/>
  <c r="M88" i="34" s="1"/>
  <c r="D86" i="34"/>
  <c r="E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E121" i="33" s="1"/>
  <c r="F121" i="33" s="1"/>
  <c r="F109" i="33"/>
  <c r="E109" i="33"/>
  <c r="D109" i="33"/>
  <c r="C109" i="33"/>
  <c r="D91" i="33"/>
  <c r="E91" i="33"/>
  <c r="F91" i="33" s="1"/>
  <c r="G91" i="33" s="1"/>
  <c r="H91" i="33" s="1"/>
  <c r="I91" i="33"/>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H9" i="33"/>
  <c r="AB9" i="33" s="1"/>
  <c r="F9" i="33"/>
  <c r="AA9" i="33" s="1"/>
  <c r="J8" i="33"/>
  <c r="W8" i="33" s="1"/>
  <c r="H8" i="33"/>
  <c r="U8" i="33" s="1"/>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B94" i="21"/>
  <c r="B92" i="21"/>
  <c r="J28" i="21" s="1"/>
  <c r="B90" i="21"/>
  <c r="B74" i="21"/>
  <c r="J14" i="21" s="1"/>
  <c r="AC14" i="21" s="1"/>
  <c r="B72" i="21"/>
  <c r="B70"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F43" i="21"/>
  <c r="S43" i="21" s="1"/>
  <c r="H38" i="21"/>
  <c r="AB38" i="21" s="1"/>
  <c r="H43" i="21"/>
  <c r="AB43" i="21" s="1"/>
  <c r="F32" i="21"/>
  <c r="S32" i="21" s="1"/>
  <c r="F38" i="21"/>
  <c r="S38" i="21"/>
  <c r="F36" i="21"/>
  <c r="S36" i="21"/>
  <c r="F39" i="21"/>
  <c r="AA39" i="21"/>
  <c r="J40" i="21"/>
  <c r="W40" i="21"/>
  <c r="H35" i="21"/>
  <c r="AB35" i="21"/>
  <c r="J8" i="21"/>
  <c r="AC8" i="21"/>
  <c r="J9" i="21"/>
  <c r="AC9" i="21"/>
  <c r="H8" i="21"/>
  <c r="H9" i="21"/>
  <c r="H10" i="21"/>
  <c r="U10" i="21" s="1"/>
  <c r="H39" i="21"/>
  <c r="AB39" i="21" s="1"/>
  <c r="J34" i="21"/>
  <c r="W34" i="21" s="1"/>
  <c r="H36" i="21"/>
  <c r="F35" i="21"/>
  <c r="AA35" i="21" s="1"/>
  <c r="J33" i="21"/>
  <c r="H33" i="21"/>
  <c r="U33" i="21" s="1"/>
  <c r="F33" i="21"/>
  <c r="S33" i="21" s="1"/>
  <c r="J10" i="21"/>
  <c r="AC10" i="21"/>
  <c r="H26" i="21"/>
  <c r="F19" i="21"/>
  <c r="H19" i="21"/>
  <c r="AB19" i="21" s="1"/>
  <c r="J19" i="21"/>
  <c r="W19" i="21" s="1"/>
  <c r="J26" i="21"/>
  <c r="W26" i="21"/>
  <c r="F26" i="21"/>
  <c r="AA26" i="21"/>
  <c r="AB41" i="21"/>
  <c r="S41" i="21"/>
  <c r="W41" i="21"/>
  <c r="S10" i="39"/>
  <c r="U30" i="37"/>
  <c r="E103" i="37"/>
  <c r="F103" i="37"/>
  <c r="F39" i="37"/>
  <c r="S39" i="37"/>
  <c r="F29" i="36"/>
  <c r="AA29" i="36" s="1"/>
  <c r="F16" i="36"/>
  <c r="AA16" i="36" s="1"/>
  <c r="U22" i="36"/>
  <c r="AC31" i="36"/>
  <c r="J33" i="36"/>
  <c r="W33" i="36"/>
  <c r="AC27" i="35"/>
  <c r="U31" i="35"/>
  <c r="W36" i="35"/>
  <c r="S31" i="35"/>
  <c r="F36" i="34"/>
  <c r="S36" i="34"/>
  <c r="W9" i="34"/>
  <c r="S34" i="34"/>
  <c r="H39" i="33"/>
  <c r="AB39" i="33" s="1"/>
  <c r="F26" i="33"/>
  <c r="AA26" i="33" s="1"/>
  <c r="U9" i="33"/>
  <c r="S40" i="33"/>
  <c r="S33" i="33"/>
  <c r="U38" i="33"/>
  <c r="S8" i="21"/>
  <c r="W8" i="21"/>
  <c r="H39" i="37"/>
  <c r="AB39" i="37"/>
  <c r="AB27" i="35"/>
  <c r="S10" i="40"/>
  <c r="W10" i="40"/>
  <c r="S11" i="40"/>
  <c r="U11" i="40"/>
  <c r="S36" i="40"/>
  <c r="U36" i="40"/>
  <c r="S40" i="39"/>
  <c r="S36" i="39"/>
  <c r="F11" i="21"/>
  <c r="S11" i="21" s="1"/>
  <c r="AC40" i="21"/>
  <c r="AA38" i="21"/>
  <c r="AC35" i="21"/>
  <c r="C29" i="39"/>
  <c r="C23" i="39"/>
  <c r="U36" i="39"/>
  <c r="S42" i="39"/>
  <c r="H32" i="33"/>
  <c r="AB32" i="33" s="1"/>
  <c r="H11" i="21"/>
  <c r="U11" i="21" s="1"/>
  <c r="J11" i="21"/>
  <c r="W11" i="21" s="1"/>
  <c r="F100" i="40"/>
  <c r="G100" i="40" s="1"/>
  <c r="H100" i="40" s="1"/>
  <c r="J27" i="36"/>
  <c r="W27" i="36" s="1"/>
  <c r="J34" i="36"/>
  <c r="W34" i="36" s="1"/>
  <c r="J30" i="35"/>
  <c r="W30" i="35" s="1"/>
  <c r="F22" i="35"/>
  <c r="AA22" i="35" s="1"/>
  <c r="H10" i="35"/>
  <c r="U29" i="36"/>
  <c r="J29" i="36"/>
  <c r="AC29" i="36" s="1"/>
  <c r="F12" i="36"/>
  <c r="S12" i="36" s="1"/>
  <c r="F24" i="36"/>
  <c r="AA24" i="36" s="1"/>
  <c r="F34" i="36"/>
  <c r="S34" i="36" s="1"/>
  <c r="S10" i="36"/>
  <c r="H16" i="35"/>
  <c r="U16" i="35" s="1"/>
  <c r="H33" i="35"/>
  <c r="AB33" i="35" s="1"/>
  <c r="W8" i="35"/>
  <c r="F35" i="37"/>
  <c r="S35" i="37" s="1"/>
  <c r="E101" i="37"/>
  <c r="F101" i="37"/>
  <c r="G101" i="37" s="1"/>
  <c r="H101" i="37" s="1"/>
  <c r="I101" i="37" s="1"/>
  <c r="J101" i="37"/>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F36" i="33"/>
  <c r="S36" i="33" s="1"/>
  <c r="F19" i="33"/>
  <c r="S19" i="33" s="1"/>
  <c r="J19" i="33"/>
  <c r="W19" i="33" s="1"/>
  <c r="S10" i="21"/>
  <c r="W40" i="33"/>
  <c r="F125" i="21"/>
  <c r="G125" i="21"/>
  <c r="G86" i="40"/>
  <c r="AB30" i="36"/>
  <c r="AC34" i="36"/>
  <c r="S22" i="35"/>
  <c r="H29" i="35"/>
  <c r="U34" i="37"/>
  <c r="S34" i="37"/>
  <c r="AA34" i="37"/>
  <c r="AC43" i="34"/>
  <c r="AB42"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AA14" i="21" s="1"/>
  <c r="H14" i="21"/>
  <c r="H28" i="21"/>
  <c r="F28" i="21"/>
  <c r="S28" i="21" s="1"/>
  <c r="AC28"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F11" i="35"/>
  <c r="S11" i="35"/>
  <c r="H28" i="36"/>
  <c r="U28" i="36"/>
  <c r="J11" i="36"/>
  <c r="H13" i="36"/>
  <c r="AB13" i="36" s="1"/>
  <c r="J13" i="36"/>
  <c r="W13" i="36" s="1"/>
  <c r="F13" i="36"/>
  <c r="S13" i="36" s="1"/>
  <c r="E89" i="37"/>
  <c r="F89" i="37" s="1"/>
  <c r="G89" i="37"/>
  <c r="H89" i="37" s="1"/>
  <c r="I89" i="37" s="1"/>
  <c r="J89" i="37" s="1"/>
  <c r="K89" i="37" s="1"/>
  <c r="L89" i="37" s="1"/>
  <c r="M89" i="37" s="1"/>
  <c r="J29" i="37"/>
  <c r="W29" i="37"/>
  <c r="F29" i="37"/>
  <c r="AA29" i="37"/>
  <c r="AB36" i="37"/>
  <c r="F107" i="37"/>
  <c r="J37" i="37"/>
  <c r="H37" i="37"/>
  <c r="U37" i="37" s="1"/>
  <c r="H40" i="37"/>
  <c r="J40" i="37"/>
  <c r="AC40" i="37" s="1"/>
  <c r="F40" i="37"/>
  <c r="AA40" i="37"/>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B13" i="35"/>
  <c r="J36" i="37"/>
  <c r="AC36" i="37" s="1"/>
  <c r="G105" i="37"/>
  <c r="AB28" i="36"/>
  <c r="S46" i="21"/>
  <c r="W14" i="21"/>
  <c r="W42" i="21"/>
  <c r="S46" i="33"/>
  <c r="U36" i="37"/>
  <c r="AC13" i="36"/>
  <c r="AB27" i="33"/>
  <c r="AC28" i="33"/>
  <c r="AB44" i="21"/>
  <c r="G529" i="3"/>
  <c r="G521" i="3"/>
  <c r="G513" i="3"/>
  <c r="G493" i="3"/>
  <c r="G485" i="3"/>
  <c r="G17" i="3"/>
  <c r="G565" i="3"/>
  <c r="G561" i="3"/>
  <c r="G557" i="3"/>
  <c r="G549" i="3"/>
  <c r="G545" i="3"/>
  <c r="G539" i="3"/>
  <c r="BL569" i="3"/>
  <c r="AZ569" i="3"/>
  <c r="BL561" i="3"/>
  <c r="BL557" i="3"/>
  <c r="BL545" i="3"/>
  <c r="BL535" i="3"/>
  <c r="BL511" i="3"/>
  <c r="BL501" i="3"/>
  <c r="BL491" i="3"/>
  <c r="BL483" i="3"/>
  <c r="G16" i="3"/>
  <c r="BL559" i="3"/>
  <c r="BL555" i="3"/>
  <c r="BL551" i="3"/>
  <c r="BL541" i="3"/>
  <c r="G514" i="3"/>
  <c r="BL503" i="3"/>
  <c r="BL495" i="3"/>
  <c r="BL485" i="3"/>
  <c r="G18" i="3"/>
  <c r="BA569" i="3"/>
  <c r="BA565" i="3"/>
  <c r="BA561" i="3"/>
  <c r="AZ561" i="3" s="1"/>
  <c r="BA559" i="3"/>
  <c r="AZ559" i="3" s="1"/>
  <c r="BA557" i="3"/>
  <c r="AZ557" i="3"/>
  <c r="BA555" i="3"/>
  <c r="AZ555" i="3"/>
  <c r="BA551" i="3"/>
  <c r="AZ551" i="3"/>
  <c r="BA545" i="3"/>
  <c r="BA543" i="3"/>
  <c r="AZ543" i="3" s="1"/>
  <c r="BA521" i="3"/>
  <c r="BA501" i="3"/>
  <c r="BA493" i="3"/>
  <c r="BA487" i="3"/>
  <c r="BA572" i="3"/>
  <c r="BA566" i="3"/>
  <c r="BA562" i="3"/>
  <c r="BA560" i="3"/>
  <c r="BA558" i="3"/>
  <c r="BA556" i="3"/>
  <c r="BA550" i="3"/>
  <c r="BA546" i="3"/>
  <c r="BA544" i="3"/>
  <c r="BA536" i="3"/>
  <c r="BA528" i="3"/>
  <c r="BA524" i="3"/>
  <c r="BA520" i="3"/>
  <c r="BA516" i="3"/>
  <c r="BA512" i="3"/>
  <c r="BA508" i="3"/>
  <c r="BA502" i="3"/>
  <c r="AZ502" i="3"/>
  <c r="BA492" i="3"/>
  <c r="BA488" i="3"/>
  <c r="BA484" i="3"/>
  <c r="AZ545" i="3"/>
  <c r="G566" i="3"/>
  <c r="G562" i="3"/>
  <c r="G560" i="3"/>
  <c r="G558" i="3"/>
  <c r="G556" i="3"/>
  <c r="G550" i="3"/>
  <c r="G546" i="3"/>
  <c r="BL543" i="3"/>
  <c r="AC542" i="3"/>
  <c r="G542" i="3" s="1"/>
  <c r="BQ542" i="3"/>
  <c r="BQ568" i="3"/>
  <c r="BQ566" i="3"/>
  <c r="BQ564" i="3"/>
  <c r="BL564" i="3"/>
  <c r="BQ562" i="3"/>
  <c r="BL562" i="3"/>
  <c r="BQ560" i="3"/>
  <c r="BL560" i="3" s="1"/>
  <c r="AZ560" i="3" s="1"/>
  <c r="BQ558" i="3"/>
  <c r="BL558" i="3" s="1"/>
  <c r="BQ556" i="3"/>
  <c r="BL556" i="3" s="1"/>
  <c r="AZ556" i="3"/>
  <c r="BQ554" i="3"/>
  <c r="BQ552" i="3"/>
  <c r="BQ550" i="3"/>
  <c r="BL550" i="3" s="1"/>
  <c r="AZ550" i="3" s="1"/>
  <c r="BQ548" i="3"/>
  <c r="BL548" i="3" s="1"/>
  <c r="AZ548" i="3" s="1"/>
  <c r="BQ546" i="3"/>
  <c r="BL546" i="3"/>
  <c r="BQ544" i="3"/>
  <c r="BL544" i="3"/>
  <c r="G544" i="3"/>
  <c r="G538" i="3"/>
  <c r="G530" i="3"/>
  <c r="G522" i="3"/>
  <c r="BQ540" i="3"/>
  <c r="BQ538" i="3"/>
  <c r="BL538" i="3" s="1"/>
  <c r="AZ538" i="3" s="1"/>
  <c r="BQ536" i="3"/>
  <c r="BL536" i="3" s="1"/>
  <c r="BQ534" i="3"/>
  <c r="BQ532" i="3"/>
  <c r="BQ530" i="3"/>
  <c r="BQ528" i="3"/>
  <c r="BL528" i="3" s="1"/>
  <c r="BQ526" i="3"/>
  <c r="BQ524" i="3"/>
  <c r="BL524" i="3"/>
  <c r="BQ522" i="3"/>
  <c r="BQ520" i="3"/>
  <c r="BL520" i="3" s="1"/>
  <c r="BQ518" i="3"/>
  <c r="BQ516" i="3"/>
  <c r="BL516" i="3"/>
  <c r="BQ514" i="3"/>
  <c r="BL514" i="3"/>
  <c r="BQ512" i="3"/>
  <c r="BQ510" i="3"/>
  <c r="BQ508" i="3"/>
  <c r="AC506" i="3"/>
  <c r="G506" i="3" s="1"/>
  <c r="BQ506" i="3"/>
  <c r="G502" i="3"/>
  <c r="BQ504" i="3"/>
  <c r="BQ502" i="3"/>
  <c r="BL502" i="3" s="1"/>
  <c r="BQ500" i="3"/>
  <c r="BL500" i="3" s="1"/>
  <c r="BQ498" i="3"/>
  <c r="BQ496" i="3"/>
  <c r="AC494" i="3"/>
  <c r="G494" i="3" s="1"/>
  <c r="BQ494" i="3"/>
  <c r="BL493" i="3"/>
  <c r="G492" i="3"/>
  <c r="G484" i="3"/>
  <c r="BQ492" i="3"/>
  <c r="BL492" i="3"/>
  <c r="BQ490" i="3"/>
  <c r="BQ488" i="3"/>
  <c r="BQ486" i="3"/>
  <c r="BL486" i="3" s="1"/>
  <c r="AZ486" i="3" s="1"/>
  <c r="BQ484" i="3"/>
  <c r="BL484" i="3"/>
  <c r="AZ484" i="3" s="1"/>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F10" i="35"/>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B8" i="34"/>
  <c r="AC37" i="33"/>
  <c r="AA13" i="33"/>
  <c r="AC45" i="33"/>
  <c r="U19"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G483" i="3"/>
  <c r="G515" i="3"/>
  <c r="G501"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R16" i="4"/>
  <c r="P16" i="4"/>
  <c r="D3" i="35"/>
  <c r="G4" i="4"/>
  <c r="S37" i="34"/>
  <c r="J16" i="35"/>
  <c r="W16" i="35"/>
  <c r="U42" i="21"/>
  <c r="AC26" i="36"/>
  <c r="AZ300" i="3"/>
  <c r="H13" i="39"/>
  <c r="AB13" i="39" s="1"/>
  <c r="F13" i="39"/>
  <c r="J13" i="39"/>
  <c r="AC13" i="39" s="1"/>
  <c r="AA36" i="35"/>
  <c r="H11" i="37"/>
  <c r="AB11" i="37"/>
  <c r="S42" i="33"/>
  <c r="U32" i="33"/>
  <c r="AB17" i="37"/>
  <c r="AZ524" i="3"/>
  <c r="AZ546" i="3"/>
  <c r="AA45" i="33"/>
  <c r="AC10" i="36"/>
  <c r="AC14" i="37"/>
  <c r="S25" i="35"/>
  <c r="AC29" i="37"/>
  <c r="AB28" i="33"/>
  <c r="J33" i="34"/>
  <c r="AC33" i="34"/>
  <c r="AB36" i="34"/>
  <c r="J40" i="34"/>
  <c r="W40" i="34" s="1"/>
  <c r="F16" i="35"/>
  <c r="AA16" i="35" s="1"/>
  <c r="S24" i="36"/>
  <c r="W42" i="33"/>
  <c r="J35" i="34"/>
  <c r="W35" i="34" s="1"/>
  <c r="F107" i="34"/>
  <c r="G107" i="34" s="1"/>
  <c r="H107" i="34"/>
  <c r="I107" i="34" s="1"/>
  <c r="J107" i="34" s="1"/>
  <c r="K107" i="34" s="1"/>
  <c r="L107" i="34" s="1"/>
  <c r="M107" i="34" s="1"/>
  <c r="S30" i="36"/>
  <c r="H16" i="36"/>
  <c r="AB16" i="36"/>
  <c r="G103" i="37"/>
  <c r="H103" i="37"/>
  <c r="I103" i="37" s="1"/>
  <c r="J103" i="37"/>
  <c r="K103" i="37" s="1"/>
  <c r="L103" i="37" s="1"/>
  <c r="M103" i="37" s="1"/>
  <c r="H35" i="37"/>
  <c r="AB35" i="37" s="1"/>
  <c r="S26" i="21"/>
  <c r="H32" i="21"/>
  <c r="U32" i="21" s="1"/>
  <c r="AB26" i="21"/>
  <c r="U26" i="21"/>
  <c r="AA33" i="21"/>
  <c r="U39" i="21"/>
  <c r="W9" i="21"/>
  <c r="J32" i="21"/>
  <c r="AC32" i="21" s="1"/>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H66" i="33"/>
  <c r="F10" i="33"/>
  <c r="AA10" i="33" s="1"/>
  <c r="F11" i="33"/>
  <c r="S11" i="33" s="1"/>
  <c r="J15" i="33"/>
  <c r="H19" i="33"/>
  <c r="AB19" i="33" s="1"/>
  <c r="F32" i="33"/>
  <c r="AA32" i="33" s="1"/>
  <c r="J32" i="33"/>
  <c r="F35" i="33"/>
  <c r="AA35" i="33" s="1"/>
  <c r="AB39" i="34"/>
  <c r="F11" i="34"/>
  <c r="S11" i="34"/>
  <c r="E80" i="34"/>
  <c r="F80" i="34"/>
  <c r="G80" i="34" s="1"/>
  <c r="H17" i="34"/>
  <c r="AB17" i="34"/>
  <c r="S12" i="35"/>
  <c r="AB28" i="35"/>
  <c r="U28" i="35"/>
  <c r="J13" i="33"/>
  <c r="W13" i="33" s="1"/>
  <c r="H13" i="33"/>
  <c r="U13" i="33" s="1"/>
  <c r="H29" i="33"/>
  <c r="F29" i="33"/>
  <c r="AA29" i="33" s="1"/>
  <c r="J12" i="34"/>
  <c r="AC12" i="34" s="1"/>
  <c r="H12" i="34"/>
  <c r="F12" i="34"/>
  <c r="S12" i="34" s="1"/>
  <c r="J14" i="34"/>
  <c r="W14" i="34" s="1"/>
  <c r="F14" i="34"/>
  <c r="H14" i="34"/>
  <c r="H30" i="34"/>
  <c r="AB30" i="34" s="1"/>
  <c r="F30" i="34"/>
  <c r="S30" i="34" s="1"/>
  <c r="J30" i="34"/>
  <c r="W30" i="34" s="1"/>
  <c r="H32" i="34"/>
  <c r="AB32" i="34" s="1"/>
  <c r="F32" i="34"/>
  <c r="AA32" i="34" s="1"/>
  <c r="J32" i="34"/>
  <c r="W32" i="34" s="1"/>
  <c r="H46" i="34"/>
  <c r="F46" i="34"/>
  <c r="J46" i="34"/>
  <c r="AC46" i="34" s="1"/>
  <c r="H11" i="35"/>
  <c r="U11" i="35" s="1"/>
  <c r="J11" i="35"/>
  <c r="AC11" i="35"/>
  <c r="H32" i="37"/>
  <c r="AB32" i="37" s="1"/>
  <c r="F99" i="37"/>
  <c r="G99" i="37" s="1"/>
  <c r="H99" i="37" s="1"/>
  <c r="I99" i="37" s="1"/>
  <c r="J99" i="37" s="1"/>
  <c r="K99" i="37" s="1"/>
  <c r="L99" i="37" s="1"/>
  <c r="M99" i="37" s="1"/>
  <c r="U25" i="35"/>
  <c r="U31" i="34"/>
  <c r="W40" i="37"/>
  <c r="AC45" i="21"/>
  <c r="S28" i="33"/>
  <c r="S14" i="21"/>
  <c r="AA44" i="34"/>
  <c r="AB29" i="35"/>
  <c r="U29" i="35"/>
  <c r="AC19" i="33"/>
  <c r="U43" i="34"/>
  <c r="AB43" i="34"/>
  <c r="AC34" i="37"/>
  <c r="AA35" i="37"/>
  <c r="AA32" i="21"/>
  <c r="U38" i="21"/>
  <c r="BL571" i="3"/>
  <c r="F42" i="21"/>
  <c r="AA42" i="21" s="1"/>
  <c r="AB40" i="33"/>
  <c r="U40" i="33"/>
  <c r="AA35" i="34"/>
  <c r="S35" i="34"/>
  <c r="E90" i="34"/>
  <c r="AB8" i="35"/>
  <c r="U8" i="35"/>
  <c r="J14" i="35"/>
  <c r="F14" i="35"/>
  <c r="AA14" i="35" s="1"/>
  <c r="H14" i="35"/>
  <c r="U14" i="35"/>
  <c r="E94" i="35"/>
  <c r="F94" i="35" s="1"/>
  <c r="G94" i="35"/>
  <c r="H94" i="35" s="1"/>
  <c r="I94" i="35" s="1"/>
  <c r="J94" i="35" s="1"/>
  <c r="K94" i="35" s="1"/>
  <c r="L94" i="35" s="1"/>
  <c r="M94" i="35" s="1"/>
  <c r="J32" i="35"/>
  <c r="AC32" i="35"/>
  <c r="W16" i="36"/>
  <c r="AC16" i="36"/>
  <c r="E78" i="36"/>
  <c r="F78" i="36"/>
  <c r="G78" i="36" s="1"/>
  <c r="H78" i="36"/>
  <c r="I78" i="36" s="1"/>
  <c r="J78" i="36" s="1"/>
  <c r="K78" i="36" s="1"/>
  <c r="L78" i="36" s="1"/>
  <c r="M78" i="36" s="1"/>
  <c r="F26" i="36"/>
  <c r="U34" i="36"/>
  <c r="AB34" i="36"/>
  <c r="H33" i="36"/>
  <c r="F33" i="36"/>
  <c r="AA33" i="36" s="1"/>
  <c r="H27" i="36"/>
  <c r="AB27" i="36" s="1"/>
  <c r="AA31" i="36"/>
  <c r="AC26" i="37"/>
  <c r="AB29" i="37"/>
  <c r="AA30" i="37"/>
  <c r="S30" i="37"/>
  <c r="AC30" i="37"/>
  <c r="AC31" i="37"/>
  <c r="W31" i="37"/>
  <c r="F21" i="39"/>
  <c r="S21" i="39" s="1"/>
  <c r="H21" i="39"/>
  <c r="AB21" i="39" s="1"/>
  <c r="J21" i="39"/>
  <c r="W21" i="39"/>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F34" i="39"/>
  <c r="AA34" i="39" s="1"/>
  <c r="H34" i="39"/>
  <c r="AB34" i="39" s="1"/>
  <c r="J34" i="39"/>
  <c r="AC34" i="39" s="1"/>
  <c r="F39" i="39"/>
  <c r="S39" i="39" s="1"/>
  <c r="H39" i="39"/>
  <c r="AB39" i="39"/>
  <c r="J39" i="39"/>
  <c r="J29" i="35"/>
  <c r="F29" i="35"/>
  <c r="W30" i="36"/>
  <c r="AC30" i="36"/>
  <c r="F37" i="39"/>
  <c r="S37" i="39" s="1"/>
  <c r="H37" i="39"/>
  <c r="U37" i="39" s="1"/>
  <c r="J37" i="39"/>
  <c r="W37" i="39" s="1"/>
  <c r="BL566" i="3"/>
  <c r="AZ566" i="3" s="1"/>
  <c r="BL565" i="3"/>
  <c r="AZ565" i="3" s="1"/>
  <c r="BA564" i="3"/>
  <c r="AZ564" i="3" s="1"/>
  <c r="BL554" i="3"/>
  <c r="BA552" i="3"/>
  <c r="BL549" i="3"/>
  <c r="AZ549" i="3" s="1"/>
  <c r="BA549" i="3"/>
  <c r="BA548" i="3"/>
  <c r="BL547" i="3"/>
  <c r="AZ547" i="3" s="1"/>
  <c r="BA547" i="3"/>
  <c r="BL539" i="3"/>
  <c r="BA539" i="3"/>
  <c r="AZ539" i="3"/>
  <c r="BA538" i="3"/>
  <c r="BL537" i="3"/>
  <c r="BA537" i="3"/>
  <c r="AZ536" i="3"/>
  <c r="BA535" i="3"/>
  <c r="AZ535" i="3"/>
  <c r="BL530" i="3"/>
  <c r="BA530" i="3"/>
  <c r="AZ530" i="3" s="1"/>
  <c r="BL529" i="3"/>
  <c r="BA529" i="3"/>
  <c r="AZ528" i="3"/>
  <c r="BL523" i="3"/>
  <c r="BA523" i="3"/>
  <c r="AZ523" i="3" s="1"/>
  <c r="BL522" i="3"/>
  <c r="BA522" i="3"/>
  <c r="AZ522" i="3"/>
  <c r="BL521" i="3"/>
  <c r="AZ521" i="3"/>
  <c r="BA518" i="3"/>
  <c r="BL515" i="3"/>
  <c r="BA515" i="3"/>
  <c r="AZ515" i="3" s="1"/>
  <c r="BA514" i="3"/>
  <c r="AZ514" i="3"/>
  <c r="BL513" i="3"/>
  <c r="BA513" i="3"/>
  <c r="AZ513" i="3" s="1"/>
  <c r="BL512" i="3"/>
  <c r="AZ512" i="3" s="1"/>
  <c r="BA511" i="3"/>
  <c r="AZ511" i="3" s="1"/>
  <c r="BL509" i="3"/>
  <c r="BL505" i="3"/>
  <c r="BA503" i="3"/>
  <c r="AZ503" i="3" s="1"/>
  <c r="BA500" i="3"/>
  <c r="BL499" i="3"/>
  <c r="BA496" i="3"/>
  <c r="BA495" i="3"/>
  <c r="AZ495" i="3" s="1"/>
  <c r="BL494" i="3"/>
  <c r="BA494" i="3"/>
  <c r="AZ494" i="3"/>
  <c r="BA491" i="3"/>
  <c r="BL490" i="3"/>
  <c r="BA490" i="3"/>
  <c r="AZ490" i="3"/>
  <c r="BL487" i="3"/>
  <c r="BA486" i="3"/>
  <c r="BA485" i="3"/>
  <c r="AZ485" i="3" s="1"/>
  <c r="BA483" i="3"/>
  <c r="AZ483" i="3" s="1"/>
  <c r="BA482" i="3"/>
  <c r="BL481" i="3"/>
  <c r="BB5" i="3"/>
  <c r="BA18" i="3"/>
  <c r="F36" i="44"/>
  <c r="F114" i="34"/>
  <c r="G114" i="34"/>
  <c r="H114" i="34" s="1"/>
  <c r="I114" i="34"/>
  <c r="J114" i="34" s="1"/>
  <c r="K114" i="34" s="1"/>
  <c r="L114" i="34" s="1"/>
  <c r="M114" i="34" s="1"/>
  <c r="H38" i="34"/>
  <c r="U38" i="34"/>
  <c r="H30" i="40"/>
  <c r="AB30" i="40"/>
  <c r="J30" i="40"/>
  <c r="AC30" i="40" s="1"/>
  <c r="F38" i="40"/>
  <c r="AA38" i="40" s="1"/>
  <c r="AA36" i="34"/>
  <c r="AB33" i="21"/>
  <c r="S35" i="21"/>
  <c r="AB10" i="21"/>
  <c r="U8" i="21"/>
  <c r="AB8" i="21"/>
  <c r="S34" i="21"/>
  <c r="AC36" i="21"/>
  <c r="AB8" i="33"/>
  <c r="E106" i="33"/>
  <c r="F106" i="33" s="1"/>
  <c r="H34" i="33"/>
  <c r="U34" i="33"/>
  <c r="F34" i="33"/>
  <c r="S34" i="33"/>
  <c r="F41" i="33"/>
  <c r="AC34" i="34"/>
  <c r="W34" i="34"/>
  <c r="AA39" i="34"/>
  <c r="S43" i="34"/>
  <c r="E78" i="34"/>
  <c r="F15" i="34"/>
  <c r="S15" i="34" s="1"/>
  <c r="AC28" i="35"/>
  <c r="W28" i="35"/>
  <c r="J20" i="35"/>
  <c r="AC20" i="35"/>
  <c r="E72" i="35"/>
  <c r="F72" i="35"/>
  <c r="G72" i="35" s="1"/>
  <c r="H22" i="35"/>
  <c r="AB22" i="35" s="1"/>
  <c r="H23" i="35"/>
  <c r="U23" i="35" s="1"/>
  <c r="F23" i="35"/>
  <c r="AA23" i="35"/>
  <c r="W12" i="36"/>
  <c r="AC12" i="36"/>
  <c r="U31" i="36"/>
  <c r="S8" i="37"/>
  <c r="AA8" i="37"/>
  <c r="F14" i="39"/>
  <c r="AA14" i="39" s="1"/>
  <c r="H14" i="39"/>
  <c r="AB14" i="39" s="1"/>
  <c r="J14" i="39"/>
  <c r="AC14" i="39" s="1"/>
  <c r="F16" i="39"/>
  <c r="AA16" i="39" s="1"/>
  <c r="H16" i="39"/>
  <c r="J16" i="39"/>
  <c r="AC16" i="39" s="1"/>
  <c r="E97" i="39"/>
  <c r="F97" i="39" s="1"/>
  <c r="H23" i="39" s="1"/>
  <c r="F15" i="40"/>
  <c r="AA15" i="40"/>
  <c r="J15" i="40"/>
  <c r="H15" i="40"/>
  <c r="AB15" i="40" s="1"/>
  <c r="E92" i="40"/>
  <c r="F92" i="40" s="1"/>
  <c r="H23" i="40"/>
  <c r="U23" i="40" s="1"/>
  <c r="H41" i="40"/>
  <c r="F41" i="40"/>
  <c r="J41" i="40"/>
  <c r="AC41" i="40" s="1"/>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J25" i="40"/>
  <c r="AC25" i="40"/>
  <c r="J32" i="40"/>
  <c r="AC32" i="40"/>
  <c r="H32" i="40"/>
  <c r="U32" i="40"/>
  <c r="H33" i="40"/>
  <c r="AB33" i="40"/>
  <c r="F33" i="40"/>
  <c r="AA33" i="40"/>
  <c r="J33" i="40"/>
  <c r="AC33" i="40"/>
  <c r="J38" i="39"/>
  <c r="W38" i="39"/>
  <c r="H38" i="39"/>
  <c r="U38" i="39"/>
  <c r="J16" i="40"/>
  <c r="W16" i="40"/>
  <c r="H42" i="40"/>
  <c r="H40" i="40"/>
  <c r="U40" i="40" s="1"/>
  <c r="H34" i="40"/>
  <c r="U34" i="40" s="1"/>
  <c r="AZ391" i="3"/>
  <c r="AZ399" i="3"/>
  <c r="AZ403" i="3"/>
  <c r="AZ407" i="3"/>
  <c r="AZ415" i="3"/>
  <c r="AZ423" i="3"/>
  <c r="AZ431" i="3"/>
  <c r="AZ439" i="3"/>
  <c r="AZ454" i="3"/>
  <c r="B41" i="1"/>
  <c r="J42" i="40"/>
  <c r="AC42" i="40" s="1"/>
  <c r="J40" i="40"/>
  <c r="J34" i="40"/>
  <c r="H16" i="40"/>
  <c r="AB16"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F34" i="44"/>
  <c r="F27" i="43"/>
  <c r="F66" i="9"/>
  <c r="P72" i="9" s="1"/>
  <c r="F71" i="9"/>
  <c r="F72" i="9"/>
  <c r="S33" i="40"/>
  <c r="AB32" i="40"/>
  <c r="AC47" i="39"/>
  <c r="S47" i="39"/>
  <c r="U37" i="34"/>
  <c r="AB37" i="34"/>
  <c r="W41" i="40"/>
  <c r="J23" i="40"/>
  <c r="G92" i="40"/>
  <c r="F23" i="40"/>
  <c r="S23" i="40"/>
  <c r="AC15" i="40"/>
  <c r="W15" i="40"/>
  <c r="W14" i="39"/>
  <c r="AB23" i="35"/>
  <c r="H20" i="35"/>
  <c r="F20" i="35"/>
  <c r="S20" i="35" s="1"/>
  <c r="H15" i="34"/>
  <c r="AB15" i="34" s="1"/>
  <c r="F78" i="34"/>
  <c r="G78" i="34" s="1"/>
  <c r="J15" i="34"/>
  <c r="W15" i="34" s="1"/>
  <c r="H41" i="33"/>
  <c r="U41" i="33"/>
  <c r="G121" i="33"/>
  <c r="H121" i="33" s="1"/>
  <c r="I121" i="33" s="1"/>
  <c r="J121" i="33" s="1"/>
  <c r="K121" i="33" s="1"/>
  <c r="L121" i="33" s="1"/>
  <c r="M121" i="33" s="1"/>
  <c r="F30" i="40"/>
  <c r="AA30" i="40"/>
  <c r="I100" i="40"/>
  <c r="J100" i="40" s="1"/>
  <c r="K100" i="40" s="1"/>
  <c r="L100" i="40" s="1"/>
  <c r="M100" i="40" s="1"/>
  <c r="AB38" i="34"/>
  <c r="AZ529" i="3"/>
  <c r="AZ537" i="3"/>
  <c r="AB37" i="39"/>
  <c r="U39" i="39"/>
  <c r="U21" i="39"/>
  <c r="F33" i="37"/>
  <c r="S33" i="37" s="1"/>
  <c r="AC30" i="34"/>
  <c r="W12" i="34"/>
  <c r="AC13" i="33"/>
  <c r="U17" i="34"/>
  <c r="AA11" i="34"/>
  <c r="H15" i="33"/>
  <c r="U15" i="33" s="1"/>
  <c r="AA40" i="21"/>
  <c r="U17" i="21"/>
  <c r="U16" i="40"/>
  <c r="AB42" i="40"/>
  <c r="U42" i="40"/>
  <c r="AC16" i="40"/>
  <c r="W32" i="40"/>
  <c r="H25" i="40"/>
  <c r="AB25" i="40"/>
  <c r="G94" i="40"/>
  <c r="U47" i="39"/>
  <c r="W15" i="39"/>
  <c r="J37" i="34"/>
  <c r="AC37" i="34"/>
  <c r="J36" i="33"/>
  <c r="W36" i="33"/>
  <c r="AB23" i="40"/>
  <c r="S16" i="39"/>
  <c r="AA34" i="33"/>
  <c r="G106" i="33"/>
  <c r="H106" i="33" s="1"/>
  <c r="I106" i="33"/>
  <c r="J106" i="33" s="1"/>
  <c r="K106" i="33" s="1"/>
  <c r="L106" i="33" s="1"/>
  <c r="M106" i="33" s="1"/>
  <c r="J34" i="33"/>
  <c r="AC34" i="33"/>
  <c r="U30" i="40"/>
  <c r="AA37" i="39"/>
  <c r="AC39" i="39"/>
  <c r="W39" i="39"/>
  <c r="U34" i="39"/>
  <c r="AA33" i="39"/>
  <c r="S33" i="39"/>
  <c r="F90" i="34"/>
  <c r="G90" i="34" s="1"/>
  <c r="H90" i="34"/>
  <c r="I90" i="34" s="1"/>
  <c r="J90" i="34" s="1"/>
  <c r="K90" i="34" s="1"/>
  <c r="L90" i="34" s="1"/>
  <c r="M90" i="34" s="1"/>
  <c r="F27" i="34"/>
  <c r="S27" i="34" s="1"/>
  <c r="G96" i="37"/>
  <c r="H96" i="37" s="1"/>
  <c r="I96" i="37" s="1"/>
  <c r="J96" i="37" s="1"/>
  <c r="K96" i="37" s="1"/>
  <c r="L96" i="37" s="1"/>
  <c r="M96" i="37" s="1"/>
  <c r="F32" i="37"/>
  <c r="S32" i="37"/>
  <c r="AB11" i="35"/>
  <c r="AC14" i="34"/>
  <c r="F17" i="34"/>
  <c r="J17" i="34"/>
  <c r="AC17" i="34" s="1"/>
  <c r="H11" i="34"/>
  <c r="AB11" i="34" s="1"/>
  <c r="J35" i="33"/>
  <c r="W35" i="33" s="1"/>
  <c r="S32" i="33"/>
  <c r="H11" i="33"/>
  <c r="U11" i="33" s="1"/>
  <c r="H10" i="33"/>
  <c r="U10" i="33" s="1"/>
  <c r="I66" i="33"/>
  <c r="J10" i="33"/>
  <c r="AC10" i="33"/>
  <c r="U40" i="21"/>
  <c r="U11" i="37"/>
  <c r="AC16" i="35"/>
  <c r="J11" i="34"/>
  <c r="W11" i="34"/>
  <c r="AC36" i="33"/>
  <c r="F25" i="40"/>
  <c r="AA25" i="40"/>
  <c r="J11" i="33"/>
  <c r="W11" i="33"/>
  <c r="H33" i="37"/>
  <c r="AB33" i="37"/>
  <c r="AC15" i="34"/>
  <c r="U20" i="35"/>
  <c r="AB20" i="35"/>
  <c r="D73" i="9"/>
  <c r="N73" i="9" s="1"/>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AA28" i="36"/>
  <c r="H20" i="36"/>
  <c r="U20" i="36"/>
  <c r="F68" i="36"/>
  <c r="G68" i="36"/>
  <c r="J20" i="36"/>
  <c r="AC20" i="36"/>
  <c r="F20" i="36"/>
  <c r="S20" i="36"/>
  <c r="F62" i="36"/>
  <c r="G62" i="36"/>
  <c r="J14" i="36"/>
  <c r="H14" i="36"/>
  <c r="U14" i="36" s="1"/>
  <c r="F14" i="36"/>
  <c r="AA14" i="36"/>
  <c r="W20" i="36"/>
  <c r="U27" i="36"/>
  <c r="AB12" i="36"/>
  <c r="S33" i="36"/>
  <c r="AA27" i="36"/>
  <c r="S16" i="36"/>
  <c r="AC33" i="35"/>
  <c r="U22" i="35"/>
  <c r="AA13" i="35"/>
  <c r="S8" i="35"/>
  <c r="U33" i="35"/>
  <c r="AA20" i="35"/>
  <c r="W20" i="35"/>
  <c r="S23" i="35"/>
  <c r="S16" i="35"/>
  <c r="AB14" i="35"/>
  <c r="AC10" i="35"/>
  <c r="W13" i="35"/>
  <c r="AC18" i="35"/>
  <c r="W18" i="35"/>
  <c r="U18" i="35"/>
  <c r="AB18" i="35"/>
  <c r="S30" i="35"/>
  <c r="AA35" i="35"/>
  <c r="AB30" i="35"/>
  <c r="S27" i="35"/>
  <c r="S28" i="35"/>
  <c r="F26" i="35"/>
  <c r="AA26" i="35" s="1"/>
  <c r="AB9" i="37"/>
  <c r="W12" i="37"/>
  <c r="AA9" i="37"/>
  <c r="S17" i="37"/>
  <c r="W28" i="37"/>
  <c r="AB37" i="37"/>
  <c r="AA31" i="37"/>
  <c r="AA33" i="37"/>
  <c r="U32" i="37"/>
  <c r="AA32" i="37"/>
  <c r="J33" i="37"/>
  <c r="W33" i="37"/>
  <c r="S29" i="37"/>
  <c r="J19" i="37"/>
  <c r="AC19" i="37" s="1"/>
  <c r="G75" i="37"/>
  <c r="F19" i="37"/>
  <c r="AA19" i="37"/>
  <c r="H19" i="37"/>
  <c r="J17" i="37"/>
  <c r="AC17" i="37" s="1"/>
  <c r="S15" i="37"/>
  <c r="AC10" i="37"/>
  <c r="AC21" i="37"/>
  <c r="W21" i="37"/>
  <c r="AC9" i="37"/>
  <c r="U35" i="37"/>
  <c r="U8" i="37"/>
  <c r="AB21" i="37"/>
  <c r="U21" i="37"/>
  <c r="S40" i="37"/>
  <c r="AA11" i="37"/>
  <c r="S10" i="37"/>
  <c r="W46" i="34"/>
  <c r="AC45" i="34"/>
  <c r="AA40" i="34"/>
  <c r="W33" i="34"/>
  <c r="U30" i="34"/>
  <c r="S32" i="34"/>
  <c r="AB33" i="34"/>
  <c r="AA12" i="34"/>
  <c r="AA30" i="34"/>
  <c r="AA33" i="34"/>
  <c r="U44" i="34"/>
  <c r="U34" i="34"/>
  <c r="AA27" i="34"/>
  <c r="J25" i="34"/>
  <c r="H25" i="34"/>
  <c r="U25" i="34" s="1"/>
  <c r="F25" i="34"/>
  <c r="J23" i="34"/>
  <c r="AC23" i="34" s="1"/>
  <c r="F86" i="34"/>
  <c r="G86" i="34"/>
  <c r="F23" i="34"/>
  <c r="H23" i="34"/>
  <c r="U23" i="34" s="1"/>
  <c r="W17" i="34"/>
  <c r="AC11" i="34"/>
  <c r="W10" i="34"/>
  <c r="U10" i="34"/>
  <c r="W37" i="34"/>
  <c r="W44" i="34"/>
  <c r="W19" i="34"/>
  <c r="W29" i="34"/>
  <c r="AC21" i="34"/>
  <c r="W21" i="34"/>
  <c r="U15" i="34"/>
  <c r="AB21" i="34"/>
  <c r="U21" i="34"/>
  <c r="U19" i="34"/>
  <c r="AB41" i="34"/>
  <c r="S13" i="34"/>
  <c r="AA41" i="34"/>
  <c r="S9" i="34"/>
  <c r="S10" i="34"/>
  <c r="U37" i="33"/>
  <c r="S35" i="33"/>
  <c r="W34" i="33"/>
  <c r="AC12" i="33"/>
  <c r="AB11" i="33"/>
  <c r="AB41" i="33"/>
  <c r="U36" i="33"/>
  <c r="AC35" i="33"/>
  <c r="S29" i="33"/>
  <c r="W31" i="33"/>
  <c r="W43"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F79" i="33"/>
  <c r="G79" i="33" s="1"/>
  <c r="F17" i="33"/>
  <c r="AA17" i="33" s="1"/>
  <c r="H17" i="33"/>
  <c r="J17" i="33"/>
  <c r="W17" i="33" s="1"/>
  <c r="AC11" i="33"/>
  <c r="S10" i="33"/>
  <c r="W10" i="33"/>
  <c r="AC21" i="33"/>
  <c r="W21"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W13" i="21"/>
  <c r="AA11" i="21"/>
  <c r="AC23" i="21"/>
  <c r="AC21" i="21"/>
  <c r="W21" i="21"/>
  <c r="AC19" i="21"/>
  <c r="W10" i="21"/>
  <c r="AC38" i="21"/>
  <c r="AB21" i="21"/>
  <c r="U21" i="21"/>
  <c r="AB29" i="21"/>
  <c r="AA31" i="21"/>
  <c r="W33" i="40"/>
  <c r="U33" i="40"/>
  <c r="U15" i="40"/>
  <c r="S15" i="40"/>
  <c r="AB13" i="40"/>
  <c r="S16" i="40"/>
  <c r="W11" i="40"/>
  <c r="AA21" i="40"/>
  <c r="U21" i="40"/>
  <c r="W25" i="40"/>
  <c r="U25" i="40"/>
  <c r="W42" i="40"/>
  <c r="F37" i="40"/>
  <c r="J37" i="40"/>
  <c r="AC37" i="40" s="1"/>
  <c r="H37" i="40"/>
  <c r="U37" i="40" s="1"/>
  <c r="F39" i="40"/>
  <c r="AA39" i="40" s="1"/>
  <c r="H39" i="40"/>
  <c r="AB39" i="40" s="1"/>
  <c r="J39" i="40"/>
  <c r="W38" i="40"/>
  <c r="F29" i="40"/>
  <c r="H29" i="40"/>
  <c r="U29" i="40" s="1"/>
  <c r="J29" i="40"/>
  <c r="F98" i="40"/>
  <c r="G98" i="40" s="1"/>
  <c r="H98" i="40" s="1"/>
  <c r="I98" i="40" s="1"/>
  <c r="J98" i="40" s="1"/>
  <c r="K98" i="40" s="1"/>
  <c r="L98" i="40" s="1"/>
  <c r="M98" i="40" s="1"/>
  <c r="S30" i="40"/>
  <c r="S25" i="40"/>
  <c r="AA23" i="40"/>
  <c r="F88" i="40"/>
  <c r="G88" i="40"/>
  <c r="F19" i="40"/>
  <c r="H19" i="40"/>
  <c r="AB19" i="40" s="1"/>
  <c r="J19" i="40"/>
  <c r="W17" i="40"/>
  <c r="AC17" i="40"/>
  <c r="F17" i="40"/>
  <c r="AA17" i="40" s="1"/>
  <c r="H17" i="40"/>
  <c r="AB17" i="40" s="1"/>
  <c r="W21" i="40"/>
  <c r="AB40" i="40"/>
  <c r="U10" i="40"/>
  <c r="U27" i="40"/>
  <c r="AB27" i="40"/>
  <c r="W13" i="39"/>
  <c r="S11" i="39"/>
  <c r="AB45" i="39"/>
  <c r="AA21" i="39"/>
  <c r="AC38" i="39"/>
  <c r="AC21" i="39"/>
  <c r="S14" i="39"/>
  <c r="AB15" i="39"/>
  <c r="U11" i="39"/>
  <c r="AB38" i="39"/>
  <c r="S38" i="39"/>
  <c r="S22" i="31"/>
  <c r="B20" i="31" s="1"/>
  <c r="D18" i="9"/>
  <c r="M44" i="9" s="1"/>
  <c r="M43" i="9"/>
  <c r="M20" i="15"/>
  <c r="D96" i="9"/>
  <c r="F28" i="15"/>
  <c r="M18" i="15"/>
  <c r="A18" i="64"/>
  <c r="B74" i="63"/>
  <c r="C53" i="10"/>
  <c r="A25" i="64"/>
  <c r="A18" i="51"/>
  <c r="B14" i="63"/>
  <c r="BA16" i="3"/>
  <c r="BA17" i="3"/>
  <c r="AZ17" i="3" s="1"/>
  <c r="F3" i="35"/>
  <c r="K1" i="43"/>
  <c r="K1" i="12"/>
  <c r="G1" i="44"/>
  <c r="I4" i="6"/>
  <c r="G3" i="46"/>
  <c r="H22" i="46" s="1"/>
  <c r="AZ15" i="3"/>
  <c r="BN5" i="3"/>
  <c r="BL18" i="3"/>
  <c r="AZ18" i="3"/>
  <c r="E8" i="6"/>
  <c r="E53" i="40" s="1"/>
  <c r="BS5" i="3"/>
  <c r="BL16" i="3"/>
  <c r="BM5" i="3"/>
  <c r="F29" i="6" s="1"/>
  <c r="G28" i="12"/>
  <c r="G22" i="43"/>
  <c r="G26" i="12"/>
  <c r="D24" i="44"/>
  <c r="D26" i="44"/>
  <c r="G27" i="12"/>
  <c r="G23" i="43"/>
  <c r="G21" i="43"/>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S13" i="21"/>
  <c r="C24" i="9"/>
  <c r="C25" i="9"/>
  <c r="G9" i="1"/>
  <c r="G8" i="1"/>
  <c r="I20" i="46"/>
  <c r="B6" i="63"/>
  <c r="L5" i="54"/>
  <c r="B39" i="63"/>
  <c r="K5" i="54"/>
  <c r="B38" i="63"/>
  <c r="T41" i="4"/>
  <c r="A17" i="64"/>
  <c r="B46" i="50"/>
  <c r="B4" i="63"/>
  <c r="C46" i="36"/>
  <c r="C48" i="35"/>
  <c r="D48" i="35" s="1"/>
  <c r="E48" i="35" s="1"/>
  <c r="F48" i="35" s="1"/>
  <c r="G48" i="35" s="1"/>
  <c r="H48" i="35" s="1"/>
  <c r="I48" i="35" s="1"/>
  <c r="J48" i="35" s="1"/>
  <c r="K48" i="35" s="1"/>
  <c r="L48" i="35" s="1"/>
  <c r="M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G1" i="15"/>
  <c r="F66" i="36"/>
  <c r="H18" i="36"/>
  <c r="U16" i="36"/>
  <c r="AA34" i="36"/>
  <c r="U23" i="36"/>
  <c r="AC27" i="36"/>
  <c r="AA22" i="36"/>
  <c r="U10" i="36"/>
  <c r="AA13" i="36"/>
  <c r="W29" i="36"/>
  <c r="W9" i="36"/>
  <c r="S9" i="36"/>
  <c r="W8" i="36"/>
  <c r="AC30" i="35"/>
  <c r="U24" i="35"/>
  <c r="W32" i="35"/>
  <c r="AA33" i="35"/>
  <c r="U32" i="35"/>
  <c r="W22" i="35"/>
  <c r="S32" i="35"/>
  <c r="W35" i="37"/>
  <c r="AC33" i="37"/>
  <c r="U33" i="37"/>
  <c r="AC15" i="37"/>
  <c r="AA13" i="37"/>
  <c r="S12" i="37"/>
  <c r="W38" i="37"/>
  <c r="U26" i="37"/>
  <c r="AB28" i="37"/>
  <c r="S28" i="37"/>
  <c r="U38" i="37"/>
  <c r="S26" i="37"/>
  <c r="AA31" i="34"/>
  <c r="W47" i="34"/>
  <c r="AB47" i="34"/>
  <c r="AB13" i="34"/>
  <c r="AC13" i="34"/>
  <c r="AA29" i="34"/>
  <c r="S19" i="34"/>
  <c r="S8" i="34"/>
  <c r="AA19" i="33"/>
  <c r="AC25" i="33"/>
  <c r="AB42" i="33"/>
  <c r="S26" i="33"/>
  <c r="AB12" i="33"/>
  <c r="S15" i="33"/>
  <c r="S39" i="21"/>
  <c r="AB45" i="21"/>
  <c r="AA25" i="21"/>
  <c r="AC37" i="21"/>
  <c r="AA29" i="21"/>
  <c r="U27" i="21"/>
  <c r="W31" i="21"/>
  <c r="S27" i="21"/>
  <c r="AA15" i="21"/>
  <c r="W29" i="21"/>
  <c r="G96" i="40"/>
  <c r="J27" i="40"/>
  <c r="AC27" i="40" s="1"/>
  <c r="S17" i="40"/>
  <c r="W30" i="40"/>
  <c r="S34" i="40"/>
  <c r="U38" i="40"/>
  <c r="S40" i="40"/>
  <c r="S42" i="40"/>
  <c r="J31" i="39"/>
  <c r="AC31" i="39" s="1"/>
  <c r="S45" i="39"/>
  <c r="AB33" i="39"/>
  <c r="AC46" i="39"/>
  <c r="S34" i="39"/>
  <c r="W42" i="39"/>
  <c r="W36" i="39"/>
  <c r="AC37" i="39"/>
  <c r="W16" i="39"/>
  <c r="W25" i="39"/>
  <c r="W45" i="39"/>
  <c r="AA44" i="39"/>
  <c r="AA46" i="39"/>
  <c r="W34" i="39"/>
  <c r="W10" i="39"/>
  <c r="W11" i="39"/>
  <c r="U42" i="39"/>
  <c r="S32" i="40"/>
  <c r="C27" i="39"/>
  <c r="C17" i="40"/>
  <c r="C19" i="40"/>
  <c r="C17" i="39"/>
  <c r="C19" i="39"/>
  <c r="C21" i="39"/>
  <c r="B48" i="46"/>
  <c r="B51" i="46"/>
  <c r="B55" i="46"/>
  <c r="B59" i="46"/>
  <c r="B62" i="46"/>
  <c r="B66" i="46"/>
  <c r="B53" i="46"/>
  <c r="B64" i="46"/>
  <c r="D24" i="15"/>
  <c r="S14" i="36"/>
  <c r="AB20" i="36"/>
  <c r="AA20" i="36"/>
  <c r="AC14" i="36"/>
  <c r="W14" i="36"/>
  <c r="AB14" i="36"/>
  <c r="U18" i="36"/>
  <c r="AB18" i="36"/>
  <c r="S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R22" i="31"/>
  <c r="B21" i="31" s="1"/>
  <c r="A17" i="51"/>
  <c r="B13" i="63" s="1"/>
  <c r="F27" i="6"/>
  <c r="E5" i="6"/>
  <c r="AT6" i="3"/>
  <c r="AZ16" i="3"/>
  <c r="A9" i="64"/>
  <c r="A9" i="51"/>
  <c r="B9" i="63" s="1"/>
  <c r="A3" i="55"/>
  <c r="B56" i="63" s="1"/>
  <c r="E4" i="4"/>
  <c r="C4" i="4"/>
  <c r="G66" i="36"/>
  <c r="J18" i="36"/>
  <c r="AE8" i="1"/>
  <c r="AE7" i="1"/>
  <c r="W18" i="36"/>
  <c r="AC18" i="36"/>
  <c r="L20" i="6"/>
  <c r="L19" i="6"/>
  <c r="B21" i="55"/>
  <c r="B72" i="63" s="1"/>
  <c r="B20" i="55"/>
  <c r="B70" i="63" s="1"/>
  <c r="S8" i="1"/>
  <c r="S9" i="1"/>
  <c r="R9"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A25" i="51"/>
  <c r="B18" i="63" s="1"/>
  <c r="D58" i="21"/>
  <c r="D70" i="39"/>
  <c r="D72" i="39" s="1"/>
  <c r="C72" i="39"/>
  <c r="D58" i="33"/>
  <c r="E58" i="33" s="1"/>
  <c r="D65" i="40"/>
  <c r="E65" i="40" s="1"/>
  <c r="F65" i="40" s="1"/>
  <c r="F67" i="40" s="1"/>
  <c r="H58" i="46"/>
  <c r="J17" i="46"/>
  <c r="C17" i="46"/>
  <c r="F34" i="46"/>
  <c r="F38" i="46"/>
  <c r="F37" i="46"/>
  <c r="H113" i="46"/>
  <c r="H49" i="46"/>
  <c r="D11" i="59"/>
  <c r="C10" i="59"/>
  <c r="D10" i="59"/>
  <c r="F11" i="59"/>
  <c r="F10" i="59" s="1"/>
  <c r="F9" i="59" s="1"/>
  <c r="F8" i="59" s="1"/>
  <c r="Y10" i="59"/>
  <c r="Z10" i="59" s="1"/>
  <c r="AA10" i="59"/>
  <c r="AB10" i="59"/>
  <c r="Y9" i="59"/>
  <c r="Z9" i="59" s="1"/>
  <c r="Y8" i="59"/>
  <c r="Z8" i="59" s="1"/>
  <c r="Y7" i="59"/>
  <c r="Z7" i="59"/>
  <c r="AB9" i="59"/>
  <c r="AB8" i="59"/>
  <c r="AB7" i="59"/>
  <c r="AA12" i="59"/>
  <c r="X10" i="59"/>
  <c r="X8" i="59"/>
  <c r="X7" i="59"/>
  <c r="AA8" i="59"/>
  <c r="AA7" i="59"/>
  <c r="C30" i="44"/>
  <c r="C25" i="12"/>
  <c r="C15" i="43"/>
  <c r="C27" i="43"/>
  <c r="C31" i="43"/>
  <c r="C28" i="15"/>
  <c r="H1" i="65"/>
  <c r="X7" i="46"/>
  <c r="E17" i="46"/>
  <c r="N17" i="46"/>
  <c r="O17" i="46"/>
  <c r="M17" i="46"/>
  <c r="L17" i="46"/>
  <c r="Y11" i="46"/>
  <c r="Y13" i="46" s="1"/>
  <c r="G22" i="46"/>
  <c r="F101" i="46"/>
  <c r="F103" i="46" s="1"/>
  <c r="AP7" i="1"/>
  <c r="G13" i="1"/>
  <c r="D46" i="36"/>
  <c r="D59" i="34"/>
  <c r="E59" i="34" s="1"/>
  <c r="G6" i="1"/>
  <c r="H70" i="46"/>
  <c r="H73" i="46"/>
  <c r="H48" i="46"/>
  <c r="F35" i="46"/>
  <c r="I17" i="46"/>
  <c r="G17" i="46" s="1"/>
  <c r="C16" i="46" s="1"/>
  <c r="H63" i="46"/>
  <c r="M101" i="46"/>
  <c r="M102" i="46" s="1"/>
  <c r="AC11" i="46"/>
  <c r="AC13" i="46" s="1"/>
  <c r="AJ11" i="46"/>
  <c r="H64" i="46"/>
  <c r="H66" i="46"/>
  <c r="D100" i="46"/>
  <c r="H62" i="46"/>
  <c r="AF12" i="46"/>
  <c r="K100" i="46"/>
  <c r="AB12" i="46"/>
  <c r="AJ12" i="46"/>
  <c r="C101" i="46"/>
  <c r="C109" i="46" s="1"/>
  <c r="J101" i="46"/>
  <c r="J106" i="46" s="1"/>
  <c r="N104" i="45"/>
  <c r="F22" i="46"/>
  <c r="Z7" i="46"/>
  <c r="E22" i="46"/>
  <c r="Z11" i="46"/>
  <c r="Z13" i="46" s="1"/>
  <c r="AA11" i="46"/>
  <c r="AA13" i="46" s="1"/>
  <c r="AF11" i="46"/>
  <c r="AF13" i="46" s="1"/>
  <c r="H60" i="46"/>
  <c r="H59" i="46"/>
  <c r="H74" i="46"/>
  <c r="H65" i="46"/>
  <c r="AB11" i="46"/>
  <c r="AB13" i="46" s="1"/>
  <c r="H75" i="46"/>
  <c r="E10" i="46"/>
  <c r="E9" i="46"/>
  <c r="E11" i="46"/>
  <c r="E8" i="46"/>
  <c r="H72" i="46"/>
  <c r="H69" i="46"/>
  <c r="H77" i="46"/>
  <c r="H76" i="46"/>
  <c r="H55" i="46"/>
  <c r="H52" i="46"/>
  <c r="AD12" i="46"/>
  <c r="AH12" i="46"/>
  <c r="C9" i="59"/>
  <c r="C8" i="59" s="1"/>
  <c r="P21" i="46"/>
  <c r="P22" i="46"/>
  <c r="P23" i="46"/>
  <c r="P25" i="46"/>
  <c r="B73" i="39" s="1"/>
  <c r="P24" i="46"/>
  <c r="B68" i="40" s="1"/>
  <c r="E70" i="39"/>
  <c r="E72" i="39" s="1"/>
  <c r="F59" i="34"/>
  <c r="G59" i="34" s="1"/>
  <c r="H59" i="34" s="1"/>
  <c r="C7" i="46"/>
  <c r="E67" i="40"/>
  <c r="G20" i="46"/>
  <c r="E41" i="46"/>
  <c r="C41" i="46" s="1"/>
  <c r="F33" i="44"/>
  <c r="F31" i="15"/>
  <c r="F38" i="44"/>
  <c r="B8" i="67"/>
  <c r="F7" i="15"/>
  <c r="B12" i="67"/>
  <c r="B11" i="67"/>
  <c r="M23" i="15"/>
  <c r="F46" i="44"/>
  <c r="F15" i="44"/>
  <c r="E10" i="67"/>
  <c r="L48" i="15"/>
  <c r="N7" i="65"/>
  <c r="M24" i="44"/>
  <c r="J7" i="65"/>
  <c r="J17" i="44"/>
  <c r="F16" i="15"/>
  <c r="L49" i="44"/>
  <c r="F43" i="44"/>
  <c r="F28" i="44"/>
  <c r="F9" i="44"/>
  <c r="F10" i="67"/>
  <c r="F11" i="67"/>
  <c r="M28" i="44"/>
  <c r="I6" i="65"/>
  <c r="M29" i="44"/>
  <c r="B13" i="67"/>
  <c r="M11" i="44"/>
  <c r="L48" i="44"/>
  <c r="F8" i="67"/>
  <c r="M8" i="44"/>
  <c r="F8" i="15"/>
  <c r="F40" i="15"/>
  <c r="M31" i="44"/>
  <c r="I4" i="65"/>
  <c r="N5" i="65"/>
  <c r="N4" i="65"/>
  <c r="J36" i="15"/>
  <c r="M24" i="15"/>
  <c r="F40" i="44"/>
  <c r="F39" i="44"/>
  <c r="B10" i="67"/>
  <c r="M8" i="15"/>
  <c r="F42" i="15"/>
  <c r="F33" i="12"/>
  <c r="F36" i="15"/>
  <c r="F10" i="44"/>
  <c r="N3" i="65"/>
  <c r="F9" i="67"/>
  <c r="F11" i="44"/>
  <c r="M6" i="15"/>
  <c r="M9" i="15"/>
  <c r="F12" i="67"/>
  <c r="F45" i="44"/>
  <c r="F8" i="44"/>
  <c r="E11" i="67"/>
  <c r="J15" i="15"/>
  <c r="M30" i="44"/>
  <c r="F14" i="67"/>
  <c r="J4" i="65"/>
  <c r="F13" i="67"/>
  <c r="E8" i="67"/>
  <c r="E13" i="67"/>
  <c r="F18" i="44"/>
  <c r="N6" i="65"/>
  <c r="M26" i="44"/>
  <c r="L47" i="15"/>
  <c r="E12" i="67"/>
  <c r="B9" i="67"/>
  <c r="B14" i="67"/>
  <c r="F38" i="15"/>
  <c r="E9" i="67"/>
  <c r="F13" i="15"/>
  <c r="M10" i="44"/>
  <c r="M22" i="15"/>
  <c r="M25" i="44"/>
  <c r="M26" i="15"/>
  <c r="D21" i="12"/>
  <c r="F9" i="15"/>
  <c r="F37" i="15"/>
  <c r="E14" i="67"/>
  <c r="M28" i="15"/>
  <c r="F26" i="15"/>
  <c r="J3" i="65"/>
  <c r="C15" i="12"/>
  <c r="B14" i="52" l="1"/>
  <c r="C23" i="46"/>
  <c r="C21" i="46" s="1"/>
  <c r="AE11" i="46"/>
  <c r="AE13" i="46" s="1"/>
  <c r="AI11" i="46"/>
  <c r="AI13" i="46" s="1"/>
  <c r="AH11" i="46"/>
  <c r="AG11" i="46"/>
  <c r="AG13" i="46" s="1"/>
  <c r="K101" i="46"/>
  <c r="K107" i="46" s="1"/>
  <c r="E101" i="46"/>
  <c r="E104" i="46" s="1"/>
  <c r="L101" i="46"/>
  <c r="L102" i="46" s="1"/>
  <c r="B113" i="46"/>
  <c r="I116" i="46" s="1"/>
  <c r="J116" i="46" s="1"/>
  <c r="K116" i="46" s="1"/>
  <c r="L116" i="46" s="1"/>
  <c r="M116" i="46" s="1"/>
  <c r="G101" i="46"/>
  <c r="G106" i="46" s="1"/>
  <c r="F102" i="46"/>
  <c r="AD11" i="46"/>
  <c r="N101" i="46"/>
  <c r="N105" i="46" s="1"/>
  <c r="I101" i="46"/>
  <c r="I105" i="46" s="1"/>
  <c r="D101" i="46"/>
  <c r="D103" i="46" s="1"/>
  <c r="J22" i="46"/>
  <c r="H101" i="46"/>
  <c r="H107" i="46" s="1"/>
  <c r="F109" i="46"/>
  <c r="C7" i="59"/>
  <c r="D8" i="59"/>
  <c r="T8" i="59"/>
  <c r="F7" i="59"/>
  <c r="F6" i="59" s="1"/>
  <c r="F5" i="59" s="1"/>
  <c r="V8" i="59"/>
  <c r="AD13" i="46"/>
  <c r="G103" i="39"/>
  <c r="J29" i="39"/>
  <c r="AC29" i="39" s="1"/>
  <c r="W27" i="37"/>
  <c r="AC27" i="37"/>
  <c r="AA27" i="37"/>
  <c r="S27" i="37"/>
  <c r="U35" i="35"/>
  <c r="AB35" i="35"/>
  <c r="AC35" i="35"/>
  <c r="W35" i="35"/>
  <c r="AA45" i="34"/>
  <c r="S45" i="34"/>
  <c r="U45" i="34"/>
  <c r="AB45" i="34"/>
  <c r="AC46" i="33"/>
  <c r="W46" i="33"/>
  <c r="AC44" i="33"/>
  <c r="W44" i="33"/>
  <c r="U40" i="37"/>
  <c r="AB40" i="37"/>
  <c r="S27" i="33"/>
  <c r="AA27" i="33"/>
  <c r="U13" i="21"/>
  <c r="AB13" i="21"/>
  <c r="U14" i="21"/>
  <c r="AB14" i="21"/>
  <c r="AC9" i="33"/>
  <c r="W9" i="33"/>
  <c r="W24" i="35"/>
  <c r="AC24" i="35"/>
  <c r="J34" i="35"/>
  <c r="H34" i="35"/>
  <c r="F34" i="35"/>
  <c r="F14" i="40"/>
  <c r="J14" i="40"/>
  <c r="H35" i="40"/>
  <c r="F35" i="40"/>
  <c r="J35" i="40"/>
  <c r="BA568" i="3"/>
  <c r="AZ568" i="3" s="1"/>
  <c r="BL553" i="3"/>
  <c r="AZ553" i="3" s="1"/>
  <c r="BL552" i="3"/>
  <c r="BL540" i="3"/>
  <c r="BA540" i="3"/>
  <c r="BA534" i="3"/>
  <c r="AZ534" i="3" s="1"/>
  <c r="BA532" i="3"/>
  <c r="AZ532" i="3" s="1"/>
  <c r="BA527" i="3"/>
  <c r="AZ527" i="3" s="1"/>
  <c r="BA526" i="3"/>
  <c r="AZ526" i="3" s="1"/>
  <c r="BL519" i="3"/>
  <c r="BA519" i="3"/>
  <c r="BL518" i="3"/>
  <c r="BL510" i="3"/>
  <c r="AZ510" i="3" s="1"/>
  <c r="BL508" i="3"/>
  <c r="AZ508" i="3" s="1"/>
  <c r="BL506" i="3"/>
  <c r="AZ506" i="3" s="1"/>
  <c r="BL498" i="3"/>
  <c r="BA498" i="3"/>
  <c r="BL497" i="3"/>
  <c r="AZ497" i="3" s="1"/>
  <c r="BE5" i="3"/>
  <c r="BL489" i="3"/>
  <c r="AZ489" i="3" s="1"/>
  <c r="BL488" i="3"/>
  <c r="BA20" i="3"/>
  <c r="AZ20" i="3" s="1"/>
  <c r="BL19" i="3"/>
  <c r="O41" i="9"/>
  <c r="R8" i="54" s="1"/>
  <c r="B54" i="63" s="1"/>
  <c r="W27" i="40"/>
  <c r="AA17" i="34"/>
  <c r="S17" i="34"/>
  <c r="AC40" i="40"/>
  <c r="W40" i="40"/>
  <c r="AB41" i="40"/>
  <c r="U41" i="40"/>
  <c r="S41" i="33"/>
  <c r="AA41" i="33"/>
  <c r="AZ518" i="3"/>
  <c r="AZ552" i="3"/>
  <c r="AC29" i="35"/>
  <c r="W29" i="35"/>
  <c r="U46" i="39"/>
  <c r="AB46" i="39"/>
  <c r="U33" i="36"/>
  <c r="AB33" i="36"/>
  <c r="AA46" i="34"/>
  <c r="S46" i="34"/>
  <c r="AB14" i="34"/>
  <c r="U14" i="34"/>
  <c r="AB12" i="34"/>
  <c r="U12" i="34"/>
  <c r="AC32" i="33"/>
  <c r="W32" i="33"/>
  <c r="AA10" i="35"/>
  <c r="S10" i="35"/>
  <c r="AZ488" i="3"/>
  <c r="AZ516" i="3"/>
  <c r="AZ487" i="3"/>
  <c r="AC37" i="37"/>
  <c r="W37" i="37"/>
  <c r="W29" i="33"/>
  <c r="AC29" i="33"/>
  <c r="S12" i="33"/>
  <c r="AA12" i="33"/>
  <c r="H9" i="35"/>
  <c r="J9" i="35"/>
  <c r="AC22" i="36"/>
  <c r="W22" i="36"/>
  <c r="AA23" i="36"/>
  <c r="S23" i="36"/>
  <c r="AC23" i="36"/>
  <c r="W23" i="36"/>
  <c r="AB24" i="36"/>
  <c r="U24" i="36"/>
  <c r="F32" i="36"/>
  <c r="H32" i="36"/>
  <c r="J32" i="36"/>
  <c r="BL567" i="3"/>
  <c r="AZ567" i="3" s="1"/>
  <c r="BL563" i="3"/>
  <c r="AZ563" i="3" s="1"/>
  <c r="BL542" i="3"/>
  <c r="BA542" i="3"/>
  <c r="BA541" i="3"/>
  <c r="AZ541" i="3" s="1"/>
  <c r="BL533" i="3"/>
  <c r="BA533" i="3"/>
  <c r="AZ533" i="3" s="1"/>
  <c r="BL531" i="3"/>
  <c r="BA531" i="3"/>
  <c r="AZ531" i="3" s="1"/>
  <c r="BA525" i="3"/>
  <c r="AZ525" i="3" s="1"/>
  <c r="BA517" i="3"/>
  <c r="AZ517" i="3" s="1"/>
  <c r="BA509" i="3"/>
  <c r="AZ509" i="3" s="1"/>
  <c r="BA507" i="3"/>
  <c r="AZ507" i="3" s="1"/>
  <c r="BA504" i="3"/>
  <c r="AZ504" i="3" s="1"/>
  <c r="BA499" i="3"/>
  <c r="AZ499" i="3" s="1"/>
  <c r="BL496" i="3"/>
  <c r="AZ496" i="3" s="1"/>
  <c r="BA19" i="3"/>
  <c r="AZ19" i="3" s="1"/>
  <c r="G65" i="40"/>
  <c r="F70" i="39"/>
  <c r="D67" i="40"/>
  <c r="D9" i="59"/>
  <c r="H47" i="46"/>
  <c r="H54" i="46"/>
  <c r="AH13" i="46"/>
  <c r="AJ13" i="46"/>
  <c r="H50" i="46"/>
  <c r="H51" i="46"/>
  <c r="I14" i="66"/>
  <c r="B8" i="66" s="1"/>
  <c r="R7" i="54"/>
  <c r="B52" i="63" s="1"/>
  <c r="C23" i="40"/>
  <c r="S15" i="39"/>
  <c r="U14" i="39"/>
  <c r="U17" i="40"/>
  <c r="W37" i="40"/>
  <c r="AC27" i="21"/>
  <c r="W25" i="21"/>
  <c r="AB25" i="21"/>
  <c r="S9" i="33"/>
  <c r="S43" i="33"/>
  <c r="S47" i="34"/>
  <c r="AB29" i="34"/>
  <c r="AB35" i="34"/>
  <c r="W13" i="37"/>
  <c r="W36" i="37"/>
  <c r="U13" i="36"/>
  <c r="W28" i="36"/>
  <c r="S25" i="36"/>
  <c r="C20" i="46"/>
  <c r="U13" i="37"/>
  <c r="S38" i="40"/>
  <c r="W44" i="21"/>
  <c r="AB11" i="21"/>
  <c r="S44" i="21"/>
  <c r="AB10" i="33"/>
  <c r="AB15" i="33"/>
  <c r="U19" i="33"/>
  <c r="U46" i="33"/>
  <c r="U39" i="33"/>
  <c r="AC40" i="34"/>
  <c r="U11" i="34"/>
  <c r="U28" i="34"/>
  <c r="AC32" i="34"/>
  <c r="AC35" i="34"/>
  <c r="S37" i="37"/>
  <c r="W32" i="37"/>
  <c r="AC11" i="37"/>
  <c r="H26" i="35"/>
  <c r="J26" i="35"/>
  <c r="S29" i="36"/>
  <c r="U9" i="36"/>
  <c r="S8" i="36"/>
  <c r="AC13" i="40"/>
  <c r="AB13" i="33"/>
  <c r="U32" i="34"/>
  <c r="AC33" i="39"/>
  <c r="AA39" i="39"/>
  <c r="AA15" i="34"/>
  <c r="AB34" i="40"/>
  <c r="AA11" i="33"/>
  <c r="S14" i="35"/>
  <c r="AC23" i="40"/>
  <c r="W23" i="40"/>
  <c r="H14" i="40"/>
  <c r="AC34" i="40"/>
  <c r="W34" i="40"/>
  <c r="AA41" i="40"/>
  <c r="S41" i="40"/>
  <c r="U16" i="39"/>
  <c r="AB16" i="39"/>
  <c r="U36" i="35"/>
  <c r="AZ482" i="3"/>
  <c r="AZ491" i="3"/>
  <c r="AZ500" i="3"/>
  <c r="S29" i="35"/>
  <c r="AA29" i="35"/>
  <c r="AB14" i="37"/>
  <c r="S26" i="36"/>
  <c r="AA26" i="36"/>
  <c r="AC14" i="35"/>
  <c r="W14" i="35"/>
  <c r="AB46" i="34"/>
  <c r="U46" i="34"/>
  <c r="S14" i="34"/>
  <c r="AA14" i="34"/>
  <c r="AB29" i="33"/>
  <c r="U29" i="33"/>
  <c r="W15" i="33"/>
  <c r="AC15" i="33"/>
  <c r="AC5" i="3"/>
  <c r="S13" i="39"/>
  <c r="AA13" i="39"/>
  <c r="AZ370" i="3"/>
  <c r="AZ356" i="3"/>
  <c r="AZ324" i="3"/>
  <c r="AZ381" i="3"/>
  <c r="AZ358" i="3"/>
  <c r="AZ355" i="3"/>
  <c r="U31" i="37"/>
  <c r="S36" i="37"/>
  <c r="AA36" i="37"/>
  <c r="F24" i="35"/>
  <c r="W41" i="34"/>
  <c r="AC41" i="34"/>
  <c r="AZ492" i="3"/>
  <c r="AZ520" i="3"/>
  <c r="AZ544" i="3"/>
  <c r="AZ558" i="3"/>
  <c r="AZ562" i="3"/>
  <c r="AZ493" i="3"/>
  <c r="AB31" i="33"/>
  <c r="AA28" i="21"/>
  <c r="AB31" i="21"/>
  <c r="AA38" i="37"/>
  <c r="AB25" i="36"/>
  <c r="U25" i="36"/>
  <c r="AC25" i="35"/>
  <c r="W25" i="35"/>
  <c r="AC31" i="34"/>
  <c r="W31" i="34"/>
  <c r="W11" i="36"/>
  <c r="AC11" i="36"/>
  <c r="AC27" i="33"/>
  <c r="W27" i="33"/>
  <c r="AA45" i="21"/>
  <c r="S45" i="21"/>
  <c r="AB46" i="21"/>
  <c r="U46" i="21"/>
  <c r="AB28" i="21"/>
  <c r="U28" i="21"/>
  <c r="BQ5" i="3"/>
  <c r="F28" i="6" s="1"/>
  <c r="U10" i="35"/>
  <c r="AB10" i="35"/>
  <c r="AA19" i="21"/>
  <c r="S19" i="21"/>
  <c r="W33" i="21"/>
  <c r="AC33" i="21"/>
  <c r="U36" i="21"/>
  <c r="AB36" i="21"/>
  <c r="AB9" i="21"/>
  <c r="U9" i="21"/>
  <c r="U34" i="21"/>
  <c r="AB34" i="21"/>
  <c r="H5" i="3"/>
  <c r="BL572" i="3"/>
  <c r="AZ572" i="3" s="1"/>
  <c r="BA571" i="3"/>
  <c r="AZ571" i="3" s="1"/>
  <c r="BL570" i="3"/>
  <c r="AZ570" i="3" s="1"/>
  <c r="BJ5" i="3"/>
  <c r="F12" i="21"/>
  <c r="H12" i="21"/>
  <c r="J12" i="21"/>
  <c r="H30" i="21"/>
  <c r="F30" i="21"/>
  <c r="J30" i="21"/>
  <c r="AB33" i="33"/>
  <c r="U33" i="33"/>
  <c r="AA38" i="33"/>
  <c r="S38" i="33"/>
  <c r="AC38" i="33"/>
  <c r="W38" i="33"/>
  <c r="AC39" i="34"/>
  <c r="W39" i="34"/>
  <c r="J27" i="34"/>
  <c r="H27" i="34"/>
  <c r="U40" i="34"/>
  <c r="AB40" i="34"/>
  <c r="F9" i="35"/>
  <c r="H14" i="33"/>
  <c r="F14" i="33"/>
  <c r="J14" i="33"/>
  <c r="H30" i="33"/>
  <c r="F30" i="33"/>
  <c r="J30" i="33"/>
  <c r="U45" i="33"/>
  <c r="AB45" i="33"/>
  <c r="H11" i="36"/>
  <c r="F11" i="36"/>
  <c r="W24" i="36"/>
  <c r="AC24" i="36"/>
  <c r="AC39" i="37"/>
  <c r="W39" i="37"/>
  <c r="AZ393" i="3"/>
  <c r="G571" i="3"/>
  <c r="BI5" i="3"/>
  <c r="BG5" i="3"/>
  <c r="AC33" i="33"/>
  <c r="W33" i="33"/>
  <c r="U8" i="36"/>
  <c r="AB8" i="36"/>
  <c r="AB26" i="36"/>
  <c r="U26" i="36"/>
  <c r="H25" i="37"/>
  <c r="J25" i="37"/>
  <c r="F25" i="37"/>
  <c r="AC41" i="33"/>
  <c r="W41" i="33"/>
  <c r="AC31" i="35"/>
  <c r="W31" i="35"/>
  <c r="G540" i="3"/>
  <c r="G516" i="3"/>
  <c r="G504" i="3"/>
  <c r="G496" i="3"/>
  <c r="BT5" i="3"/>
  <c r="G28" i="6" s="1"/>
  <c r="BP5" i="3"/>
  <c r="BL13" i="3"/>
  <c r="BL5" i="3" s="1"/>
  <c r="BK5" i="3"/>
  <c r="BH5" i="3"/>
  <c r="BF5" i="3"/>
  <c r="BD5" i="3"/>
  <c r="E14" i="6" s="1"/>
  <c r="A11" i="55"/>
  <c r="B62" i="63" s="1"/>
  <c r="AZ397" i="3"/>
  <c r="AZ402" i="3"/>
  <c r="AZ420" i="3"/>
  <c r="AZ424" i="3"/>
  <c r="AZ427" i="3"/>
  <c r="AZ447" i="3"/>
  <c r="AZ451" i="3"/>
  <c r="AZ465" i="3"/>
  <c r="AZ470" i="3"/>
  <c r="AZ211" i="3"/>
  <c r="AZ216" i="3"/>
  <c r="AZ227" i="3"/>
  <c r="AZ232" i="3"/>
  <c r="AZ243" i="3"/>
  <c r="AZ248" i="3"/>
  <c r="AB17" i="59"/>
  <c r="F18" i="59"/>
  <c r="F19" i="59" s="1"/>
  <c r="F20" i="59" s="1"/>
  <c r="V20" i="59" s="1"/>
  <c r="AB16" i="59"/>
  <c r="AB15" i="59"/>
  <c r="Y18" i="59"/>
  <c r="Z18" i="59" s="1"/>
  <c r="Y14" i="59"/>
  <c r="Z14" i="59" s="1"/>
  <c r="Y16" i="59"/>
  <c r="Z16" i="59" s="1"/>
  <c r="Y13" i="59"/>
  <c r="Z13" i="59" s="1"/>
  <c r="Y3" i="59"/>
  <c r="Z3" i="59" s="1"/>
  <c r="Y15" i="59"/>
  <c r="Z15" i="59" s="1"/>
  <c r="AB25" i="59"/>
  <c r="F26" i="59"/>
  <c r="F27" i="59" s="1"/>
  <c r="F28" i="59" s="1"/>
  <c r="V28" i="59" s="1"/>
  <c r="AB23" i="59"/>
  <c r="Y26" i="59"/>
  <c r="Z26" i="59" s="1"/>
  <c r="Y22" i="59"/>
  <c r="Z22" i="59" s="1"/>
  <c r="AA15" i="59"/>
  <c r="AA27" i="59"/>
  <c r="N56" i="59"/>
  <c r="B55" i="59"/>
  <c r="S56" i="59"/>
  <c r="V56" i="59"/>
  <c r="F55" i="59"/>
  <c r="Q56" i="59"/>
  <c r="T64" i="59"/>
  <c r="C63" i="59"/>
  <c r="D64" i="59"/>
  <c r="AZ258" i="3"/>
  <c r="AZ262" i="3"/>
  <c r="AZ272" i="3"/>
  <c r="AZ277" i="3"/>
  <c r="AZ288" i="3"/>
  <c r="AZ293" i="3"/>
  <c r="AZ296" i="3"/>
  <c r="AZ125" i="3"/>
  <c r="AZ128" i="3"/>
  <c r="AZ141" i="3"/>
  <c r="AZ144" i="3"/>
  <c r="AZ155" i="3"/>
  <c r="AZ168" i="3"/>
  <c r="AZ171" i="3"/>
  <c r="AZ186" i="3"/>
  <c r="AZ194" i="3"/>
  <c r="AZ204" i="3"/>
  <c r="AZ22" i="3"/>
  <c r="AZ26" i="3"/>
  <c r="AZ45" i="3"/>
  <c r="AZ49" i="3"/>
  <c r="AZ52" i="3"/>
  <c r="AZ54" i="3"/>
  <c r="AZ58" i="3"/>
  <c r="AZ76" i="3"/>
  <c r="D47" i="59"/>
  <c r="C48" i="59"/>
  <c r="AA11" i="59"/>
  <c r="AA9" i="59"/>
  <c r="E10" i="59"/>
  <c r="E9" i="59" s="1"/>
  <c r="E8" i="59" s="1"/>
  <c r="AA3" i="59"/>
  <c r="AB5" i="59"/>
  <c r="AB3" i="59"/>
  <c r="AB6" i="59"/>
  <c r="AZ87" i="3"/>
  <c r="AZ89" i="3"/>
  <c r="AZ93" i="3"/>
  <c r="B85" i="46"/>
  <c r="C27" i="40"/>
  <c r="AA27" i="40"/>
  <c r="S27" i="40"/>
  <c r="AA21" i="34"/>
  <c r="S21" i="34"/>
  <c r="AA18" i="35"/>
  <c r="S18" i="35"/>
  <c r="X21" i="59"/>
  <c r="B22" i="59"/>
  <c r="B23" i="59" s="1"/>
  <c r="B24" i="59" s="1"/>
  <c r="S24" i="59" s="1"/>
  <c r="X13" i="59"/>
  <c r="X15" i="59"/>
  <c r="X12" i="59"/>
  <c r="X3" i="59"/>
  <c r="X16" i="59"/>
  <c r="C31" i="59"/>
  <c r="D30" i="59"/>
  <c r="B65" i="46"/>
  <c r="C31" i="39"/>
  <c r="B74" i="46"/>
  <c r="E105" i="39"/>
  <c r="F105" i="39" s="1"/>
  <c r="G105" i="39" s="1"/>
  <c r="F31" i="39"/>
  <c r="AA31" i="39" s="1"/>
  <c r="H31" i="39"/>
  <c r="C19" i="59"/>
  <c r="AA17" i="59"/>
  <c r="AA14" i="59"/>
  <c r="AA16" i="59"/>
  <c r="Y21" i="59"/>
  <c r="Z21" i="59" s="1"/>
  <c r="C22" i="59"/>
  <c r="AA22" i="59"/>
  <c r="AA23" i="59"/>
  <c r="AA24" i="59"/>
  <c r="C27" i="59"/>
  <c r="AA25" i="59"/>
  <c r="E26" i="59"/>
  <c r="E27" i="59" s="1"/>
  <c r="E28" i="59" s="1"/>
  <c r="U28" i="59" s="1"/>
  <c r="AA26" i="59"/>
  <c r="E39" i="59"/>
  <c r="E40" i="59" s="1"/>
  <c r="U40" i="59" s="1"/>
  <c r="T16" i="59"/>
  <c r="C15" i="59"/>
  <c r="D16" i="59"/>
  <c r="AA20" i="59"/>
  <c r="F15" i="59"/>
  <c r="F14" i="59" s="1"/>
  <c r="B15" i="59"/>
  <c r="B14" i="59" s="1"/>
  <c r="S16" i="59"/>
  <c r="Y5" i="59"/>
  <c r="Z5" i="59" s="1"/>
  <c r="Y11" i="59"/>
  <c r="Z11" i="59" s="1"/>
  <c r="AB12" i="59"/>
  <c r="AB11" i="59"/>
  <c r="AB14" i="59"/>
  <c r="B21" i="63"/>
  <c r="N4" i="63"/>
  <c r="AA5" i="59"/>
  <c r="X17" i="59"/>
  <c r="Y17" i="59"/>
  <c r="Z17" i="59" s="1"/>
  <c r="X18" i="59"/>
  <c r="AA18" i="59"/>
  <c r="AA19" i="59"/>
  <c r="X20" i="59"/>
  <c r="AA21" i="59"/>
  <c r="AB21" i="59"/>
  <c r="AB22" i="59"/>
  <c r="Y23" i="59"/>
  <c r="Z23" i="59" s="1"/>
  <c r="Y24" i="59"/>
  <c r="Z24" i="59" s="1"/>
  <c r="AB24" i="59"/>
  <c r="X25" i="59"/>
  <c r="Y25" i="59"/>
  <c r="Z25" i="59" s="1"/>
  <c r="X26" i="59"/>
  <c r="O76" i="9"/>
  <c r="K76" i="9"/>
  <c r="K77" i="9" s="1"/>
  <c r="K79" i="9" s="1"/>
  <c r="K81" i="9" s="1"/>
  <c r="L76" i="9"/>
  <c r="P62" i="15"/>
  <c r="P75" i="15"/>
  <c r="Y6" i="59"/>
  <c r="Z6" i="59" s="1"/>
  <c r="AA6" i="59"/>
  <c r="Y12" i="59"/>
  <c r="Z12" i="59" s="1"/>
  <c r="X11" i="59"/>
  <c r="B12" i="59"/>
  <c r="X9" i="59"/>
  <c r="X6" i="59"/>
  <c r="X5" i="59"/>
  <c r="J51" i="15"/>
  <c r="F27" i="39"/>
  <c r="AA27" i="39" s="1"/>
  <c r="W40" i="39"/>
  <c r="M106" i="46"/>
  <c r="D22" i="46"/>
  <c r="K6" i="1"/>
  <c r="H16" i="1" s="1"/>
  <c r="C103" i="46"/>
  <c r="L27" i="6"/>
  <c r="G109" i="46"/>
  <c r="F23" i="39"/>
  <c r="AA23" i="39" s="1"/>
  <c r="G97" i="39"/>
  <c r="J23" i="39"/>
  <c r="AC23" i="39" s="1"/>
  <c r="E10" i="52"/>
  <c r="B10" i="52"/>
  <c r="E4" i="52"/>
  <c r="B9" i="52"/>
  <c r="E17" i="52"/>
  <c r="H29" i="39"/>
  <c r="U29" i="39" s="1"/>
  <c r="F29" i="39"/>
  <c r="AA29" i="39" s="1"/>
  <c r="AB23" i="39"/>
  <c r="U23" i="39"/>
  <c r="B8" i="52"/>
  <c r="E16" i="52"/>
  <c r="E15" i="52"/>
  <c r="B4" i="52"/>
  <c r="E22" i="52"/>
  <c r="E5" i="52"/>
  <c r="E7" i="52"/>
  <c r="U13" i="39"/>
  <c r="H126" i="39"/>
  <c r="I126" i="39" s="1"/>
  <c r="J126" i="39" s="1"/>
  <c r="K126" i="39" s="1"/>
  <c r="L126" i="39" s="1"/>
  <c r="M126" i="39" s="1"/>
  <c r="H43" i="39"/>
  <c r="F43" i="39"/>
  <c r="J43" i="39"/>
  <c r="AC43" i="39" s="1"/>
  <c r="U41" i="39"/>
  <c r="S41" i="39"/>
  <c r="AC44" i="39"/>
  <c r="AB44" i="39"/>
  <c r="W41" i="39"/>
  <c r="S31" i="39"/>
  <c r="W31" i="39"/>
  <c r="AB29" i="39"/>
  <c r="W29" i="39"/>
  <c r="F101" i="39"/>
  <c r="G101" i="39" s="1"/>
  <c r="J27" i="39"/>
  <c r="AC27" i="39" s="1"/>
  <c r="E21" i="52"/>
  <c r="B13" i="52"/>
  <c r="B16" i="52"/>
  <c r="B5" i="52"/>
  <c r="E8" i="52"/>
  <c r="E13" i="52"/>
  <c r="E11" i="52"/>
  <c r="E9" i="52"/>
  <c r="B11" i="52"/>
  <c r="B22" i="52"/>
  <c r="B7" i="52"/>
  <c r="E6" i="52"/>
  <c r="B6" i="52"/>
  <c r="S25" i="39"/>
  <c r="AB25" i="39"/>
  <c r="F93" i="39"/>
  <c r="H19" i="39" s="1"/>
  <c r="AB19" i="39" s="1"/>
  <c r="J19" i="39"/>
  <c r="W19" i="39" s="1"/>
  <c r="F91" i="39"/>
  <c r="H17" i="39"/>
  <c r="U17" i="39" s="1"/>
  <c r="A30" i="64"/>
  <c r="A30" i="51"/>
  <c r="B22" i="63" s="1"/>
  <c r="C21" i="12"/>
  <c r="C34" i="12"/>
  <c r="D33" i="12" s="1"/>
  <c r="U6" i="1"/>
  <c r="E107" i="46"/>
  <c r="K106" i="46"/>
  <c r="G102" i="46"/>
  <c r="D118" i="46"/>
  <c r="E118" i="46" s="1"/>
  <c r="F118" i="46" s="1"/>
  <c r="L103" i="46"/>
  <c r="L106" i="46"/>
  <c r="I107" i="46"/>
  <c r="G105" i="46"/>
  <c r="G103" i="46"/>
  <c r="B116" i="46"/>
  <c r="C116" i="46" s="1"/>
  <c r="L105" i="46"/>
  <c r="K105" i="46"/>
  <c r="K103" i="46"/>
  <c r="N106" i="46"/>
  <c r="D23" i="15"/>
  <c r="E109" i="46"/>
  <c r="K109" i="46"/>
  <c r="G107" i="46"/>
  <c r="G104" i="46"/>
  <c r="B118" i="46"/>
  <c r="C118" i="46" s="1"/>
  <c r="D115" i="46"/>
  <c r="E115" i="46" s="1"/>
  <c r="F115" i="46" s="1"/>
  <c r="G115" i="46" s="1"/>
  <c r="H115" i="46" s="1"/>
  <c r="D116" i="46"/>
  <c r="E116" i="46" s="1"/>
  <c r="F116" i="46" s="1"/>
  <c r="G116" i="46" s="1"/>
  <c r="H116" i="46" s="1"/>
  <c r="L107" i="46"/>
  <c r="L109" i="46"/>
  <c r="L104" i="46"/>
  <c r="E105" i="46"/>
  <c r="K104" i="46"/>
  <c r="K102" i="46"/>
  <c r="I103" i="46"/>
  <c r="I104" i="46"/>
  <c r="D109" i="46"/>
  <c r="J102" i="46"/>
  <c r="H105" i="46"/>
  <c r="C106" i="46"/>
  <c r="C104" i="46"/>
  <c r="G13" i="3"/>
  <c r="C105" i="46"/>
  <c r="C102" i="46"/>
  <c r="S7" i="46" s="1"/>
  <c r="C107" i="46"/>
  <c r="J103" i="46"/>
  <c r="J107" i="46"/>
  <c r="M105" i="46"/>
  <c r="E58" i="39"/>
  <c r="D106" i="46"/>
  <c r="D102" i="46"/>
  <c r="D104" i="46"/>
  <c r="H103" i="46"/>
  <c r="H106" i="46"/>
  <c r="G29" i="6"/>
  <c r="E29" i="6" s="1"/>
  <c r="K15" i="1" s="1"/>
  <c r="F30" i="6"/>
  <c r="F31" i="6" s="1"/>
  <c r="F106" i="46"/>
  <c r="F107" i="46"/>
  <c r="F104" i="46"/>
  <c r="F105" i="46"/>
  <c r="E15" i="6"/>
  <c r="E12" i="6"/>
  <c r="E11" i="6"/>
  <c r="BA13" i="3"/>
  <c r="E63" i="39"/>
  <c r="D12" i="11"/>
  <c r="C12" i="11" s="1"/>
  <c r="O9" i="1"/>
  <c r="P9" i="1" s="1"/>
  <c r="O13" i="1"/>
  <c r="P13" i="1" s="1"/>
  <c r="O7" i="1"/>
  <c r="P7" i="1" s="1"/>
  <c r="O11" i="1"/>
  <c r="P11" i="1" s="1"/>
  <c r="O8" i="1"/>
  <c r="P8" i="1" s="1"/>
  <c r="O12" i="1"/>
  <c r="P12" i="1" s="1"/>
  <c r="J109" i="46"/>
  <c r="J105" i="46"/>
  <c r="J104" i="46"/>
  <c r="N103" i="46"/>
  <c r="N104" i="46"/>
  <c r="M107" i="46"/>
  <c r="M103" i="46"/>
  <c r="M109" i="46"/>
  <c r="M104" i="46"/>
  <c r="I102" i="46"/>
  <c r="I106" i="46"/>
  <c r="I109" i="46"/>
  <c r="AP16" i="1"/>
  <c r="F22" i="11" s="1"/>
  <c r="K17" i="4"/>
  <c r="A22" i="51" s="1"/>
  <c r="B16" i="63" s="1"/>
  <c r="E14" i="52"/>
  <c r="N48" i="35"/>
  <c r="O48" i="35" s="1"/>
  <c r="H7" i="35"/>
  <c r="I59" i="34"/>
  <c r="J59" i="34" s="1"/>
  <c r="K59" i="34" s="1"/>
  <c r="L59" i="34" s="1"/>
  <c r="M59" i="34" s="1"/>
  <c r="N59" i="34" s="1"/>
  <c r="O59" i="34" s="1"/>
  <c r="J7" i="34"/>
  <c r="L52" i="37"/>
  <c r="F7" i="35"/>
  <c r="F58" i="33"/>
  <c r="E58" i="21"/>
  <c r="H7" i="34"/>
  <c r="E46" i="36"/>
  <c r="F46" i="36" s="1"/>
  <c r="G46" i="36" s="1"/>
  <c r="H46" i="36" s="1"/>
  <c r="I46" i="36" s="1"/>
  <c r="J46" i="36" s="1"/>
  <c r="K46" i="36" s="1"/>
  <c r="L46" i="36" s="1"/>
  <c r="M46" i="36" s="1"/>
  <c r="N46" i="36" s="1"/>
  <c r="O46" i="36" s="1"/>
  <c r="F7" i="36" s="1"/>
  <c r="J7" i="36"/>
  <c r="D5" i="46"/>
  <c r="C5" i="46"/>
  <c r="E20" i="46"/>
  <c r="I1" i="65"/>
  <c r="J1" i="65"/>
  <c r="I54" i="15"/>
  <c r="L56" i="15"/>
  <c r="J57" i="15"/>
  <c r="J55" i="15" s="1"/>
  <c r="J58" i="15" s="1"/>
  <c r="Q51" i="15" s="1"/>
  <c r="J53" i="15"/>
  <c r="M7" i="15"/>
  <c r="J6" i="15" s="1"/>
  <c r="F49" i="15"/>
  <c r="Q73" i="44"/>
  <c r="F65" i="15"/>
  <c r="J54" i="44"/>
  <c r="J58" i="44"/>
  <c r="J56" i="44" s="1"/>
  <c r="J59" i="44" s="1"/>
  <c r="Q52" i="44" s="1"/>
  <c r="L57" i="44"/>
  <c r="J60" i="44"/>
  <c r="I55" i="44"/>
  <c r="J61" i="44"/>
  <c r="Q50" i="44" s="1"/>
  <c r="C29" i="44"/>
  <c r="F67" i="15"/>
  <c r="F50" i="15"/>
  <c r="C8" i="44"/>
  <c r="C27" i="15"/>
  <c r="Q72" i="15"/>
  <c r="M9" i="44"/>
  <c r="J8" i="44" s="1"/>
  <c r="L58" i="15"/>
  <c r="L59" i="15"/>
  <c r="F64" i="15"/>
  <c r="F63" i="15"/>
  <c r="L60" i="44"/>
  <c r="L59" i="44"/>
  <c r="C4" i="65"/>
  <c r="B39" i="1" s="1"/>
  <c r="M17" i="15"/>
  <c r="M19" i="44"/>
  <c r="F58" i="15"/>
  <c r="F6" i="15"/>
  <c r="M29" i="15"/>
  <c r="E3" i="65"/>
  <c r="C18" i="44"/>
  <c r="J5" i="65"/>
  <c r="J6" i="65"/>
  <c r="I3" i="65"/>
  <c r="F43" i="15"/>
  <c r="I7" i="65"/>
  <c r="I5" i="65"/>
  <c r="E2" i="65"/>
  <c r="S5" i="46" l="1"/>
  <c r="S3" i="46"/>
  <c r="S6" i="46"/>
  <c r="N109" i="46"/>
  <c r="H109" i="46"/>
  <c r="H102" i="46"/>
  <c r="D105" i="46"/>
  <c r="D107" i="46"/>
  <c r="H104" i="46"/>
  <c r="N102" i="46"/>
  <c r="E102" i="46"/>
  <c r="I118" i="46"/>
  <c r="J118" i="46" s="1"/>
  <c r="K118" i="46" s="1"/>
  <c r="L118" i="46" s="1"/>
  <c r="M118" i="46" s="1"/>
  <c r="D117" i="46"/>
  <c r="E117" i="46" s="1"/>
  <c r="F117" i="46" s="1"/>
  <c r="G117" i="46" s="1"/>
  <c r="H117" i="46" s="1"/>
  <c r="G118" i="46"/>
  <c r="H118" i="46" s="1"/>
  <c r="E103" i="46"/>
  <c r="I115" i="46"/>
  <c r="J115" i="46" s="1"/>
  <c r="K115" i="46" s="1"/>
  <c r="L115" i="46" s="1"/>
  <c r="M115" i="46" s="1"/>
  <c r="I117" i="46"/>
  <c r="J117" i="46" s="1"/>
  <c r="K117" i="46" s="1"/>
  <c r="L117" i="46" s="1"/>
  <c r="M117" i="46" s="1"/>
  <c r="E106" i="46"/>
  <c r="B117" i="46"/>
  <c r="C117" i="46" s="1"/>
  <c r="B115" i="46"/>
  <c r="C115" i="46" s="1"/>
  <c r="N107" i="46"/>
  <c r="S2" i="46"/>
  <c r="S4" i="46"/>
  <c r="G16" i="1"/>
  <c r="H12" i="39" s="1"/>
  <c r="U12" i="39" s="1"/>
  <c r="E61" i="40"/>
  <c r="E66" i="39"/>
  <c r="G30" i="6"/>
  <c r="G31" i="6" s="1"/>
  <c r="E28" i="6"/>
  <c r="H7" i="36"/>
  <c r="S12" i="59"/>
  <c r="B11" i="59"/>
  <c r="B10" i="59" s="1"/>
  <c r="B9" i="59" s="1"/>
  <c r="B8" i="59" s="1"/>
  <c r="C14" i="59"/>
  <c r="D14" i="59" s="1"/>
  <c r="D15" i="59"/>
  <c r="C28" i="59"/>
  <c r="D27" i="59"/>
  <c r="D22" i="59"/>
  <c r="C23" i="59"/>
  <c r="U31" i="39"/>
  <c r="AB31" i="39"/>
  <c r="E7" i="59"/>
  <c r="E6" i="59" s="1"/>
  <c r="E5" i="59" s="1"/>
  <c r="U8" i="59"/>
  <c r="F54" i="59"/>
  <c r="Q55" i="59"/>
  <c r="W25" i="37"/>
  <c r="AC25" i="37"/>
  <c r="S11" i="36"/>
  <c r="AA11" i="36"/>
  <c r="W30" i="33"/>
  <c r="AC30" i="33"/>
  <c r="AB30" i="33"/>
  <c r="U30" i="33"/>
  <c r="AA14" i="33"/>
  <c r="S14" i="33"/>
  <c r="AA9" i="35"/>
  <c r="S9" i="35"/>
  <c r="AC27" i="34"/>
  <c r="W27" i="34"/>
  <c r="S30" i="21"/>
  <c r="AA30" i="21"/>
  <c r="AC12" i="21"/>
  <c r="W12" i="21"/>
  <c r="S12" i="21"/>
  <c r="AA12" i="21"/>
  <c r="W26" i="35"/>
  <c r="AC26" i="35"/>
  <c r="E10" i="6"/>
  <c r="F72" i="39"/>
  <c r="G70" i="39"/>
  <c r="AZ542" i="3"/>
  <c r="W32" i="36"/>
  <c r="AC32" i="36"/>
  <c r="S32" i="36"/>
  <c r="AA32" i="36"/>
  <c r="AB9" i="35"/>
  <c r="U9" i="35"/>
  <c r="W35" i="40"/>
  <c r="AC35" i="40"/>
  <c r="AB35" i="40"/>
  <c r="U35" i="40"/>
  <c r="AA14" i="40"/>
  <c r="S14" i="40"/>
  <c r="AB34" i="35"/>
  <c r="U34" i="35"/>
  <c r="K34" i="9"/>
  <c r="C20" i="59"/>
  <c r="D19" i="59"/>
  <c r="C32" i="59"/>
  <c r="D31" i="59"/>
  <c r="C19" i="46"/>
  <c r="D48" i="59"/>
  <c r="T48" i="59"/>
  <c r="C62" i="59"/>
  <c r="D62" i="59" s="1"/>
  <c r="D63" i="59"/>
  <c r="N55" i="59"/>
  <c r="B54" i="59"/>
  <c r="S25" i="37"/>
  <c r="AA25" i="37"/>
  <c r="U25" i="37"/>
  <c r="AB25" i="37"/>
  <c r="AB11" i="36"/>
  <c r="U11" i="36"/>
  <c r="AA30" i="33"/>
  <c r="S30" i="33"/>
  <c r="AC14" i="33"/>
  <c r="W14" i="33"/>
  <c r="AB14" i="33"/>
  <c r="U14" i="33"/>
  <c r="AB27" i="34"/>
  <c r="U27" i="34"/>
  <c r="W30" i="21"/>
  <c r="AC30" i="21"/>
  <c r="U30" i="21"/>
  <c r="AB30" i="21"/>
  <c r="AB12" i="21"/>
  <c r="U12" i="21"/>
  <c r="AA24" i="35"/>
  <c r="S24" i="35"/>
  <c r="U14" i="40"/>
  <c r="AB14" i="40"/>
  <c r="U26" i="35"/>
  <c r="AB26" i="35"/>
  <c r="G67" i="40"/>
  <c r="H65" i="40"/>
  <c r="U32" i="36"/>
  <c r="AB32" i="36"/>
  <c r="W9" i="35"/>
  <c r="AC9" i="35"/>
  <c r="AZ498" i="3"/>
  <c r="AZ519" i="3"/>
  <c r="AZ540" i="3"/>
  <c r="AA35" i="40"/>
  <c r="S35" i="40"/>
  <c r="AC14" i="40"/>
  <c r="W14" i="40"/>
  <c r="S34" i="35"/>
  <c r="AA34" i="35"/>
  <c r="AC34" i="35"/>
  <c r="W34" i="35"/>
  <c r="E13" i="6"/>
  <c r="C6" i="59"/>
  <c r="D7" i="59"/>
  <c r="W43" i="39"/>
  <c r="H27" i="39"/>
  <c r="AB27" i="39" s="1"/>
  <c r="S27" i="39"/>
  <c r="F70" i="15"/>
  <c r="D113" i="46"/>
  <c r="M6" i="1"/>
  <c r="Q16" i="1"/>
  <c r="S23" i="39"/>
  <c r="W23" i="39"/>
  <c r="S29" i="39"/>
  <c r="G93" i="39"/>
  <c r="F19" i="39"/>
  <c r="W27" i="39"/>
  <c r="AC19" i="39"/>
  <c r="G91" i="39"/>
  <c r="F17" i="39"/>
  <c r="J17" i="39"/>
  <c r="U43" i="39"/>
  <c r="AB43" i="39"/>
  <c r="S43" i="39"/>
  <c r="AA43" i="39"/>
  <c r="U19" i="39"/>
  <c r="AB17" i="39"/>
  <c r="C6" i="15"/>
  <c r="G5" i="3"/>
  <c r="B3" i="3" s="1"/>
  <c r="E13" i="3" s="1"/>
  <c r="E16" i="6"/>
  <c r="E58" i="40"/>
  <c r="E67" i="39"/>
  <c r="E62" i="40"/>
  <c r="K14" i="1"/>
  <c r="E30" i="6"/>
  <c r="BA5" i="3"/>
  <c r="E27" i="6" s="1"/>
  <c r="E31" i="6" s="1"/>
  <c r="AZ13" i="3"/>
  <c r="AZ5" i="3" s="1"/>
  <c r="E64" i="39"/>
  <c r="E59" i="40"/>
  <c r="J12" i="39"/>
  <c r="AC12" i="39" s="1"/>
  <c r="J12" i="40"/>
  <c r="AC12" i="40" s="1"/>
  <c r="AB12" i="39"/>
  <c r="C48" i="15"/>
  <c r="AA7" i="36"/>
  <c r="R36" i="36" s="1"/>
  <c r="S7" i="36"/>
  <c r="U7" i="36"/>
  <c r="AB7" i="36"/>
  <c r="T36" i="36" s="1"/>
  <c r="G36" i="36" s="1"/>
  <c r="F58" i="21"/>
  <c r="AC7" i="34"/>
  <c r="V49" i="34" s="1"/>
  <c r="I49" i="34" s="1"/>
  <c r="W7" i="34"/>
  <c r="J7" i="35"/>
  <c r="W7" i="36"/>
  <c r="AC7" i="36"/>
  <c r="V36" i="36" s="1"/>
  <c r="I36" i="36" s="1"/>
  <c r="U7" i="34"/>
  <c r="AB7" i="34"/>
  <c r="T49" i="34" s="1"/>
  <c r="G49" i="34" s="1"/>
  <c r="G58" i="33"/>
  <c r="AA7" i="35"/>
  <c r="R38" i="35" s="1"/>
  <c r="S7" i="35"/>
  <c r="M52" i="37"/>
  <c r="F7" i="34"/>
  <c r="U7" i="35"/>
  <c r="AB7" i="35"/>
  <c r="T38" i="35" s="1"/>
  <c r="G38" i="35" s="1"/>
  <c r="T11" i="46"/>
  <c r="V11" i="46" s="1"/>
  <c r="T8" i="46"/>
  <c r="V8" i="46" s="1"/>
  <c r="C29" i="46"/>
  <c r="T5" i="46"/>
  <c r="V5" i="46" s="1"/>
  <c r="T6" i="46"/>
  <c r="V6" i="46" s="1"/>
  <c r="T10" i="46"/>
  <c r="V10" i="46" s="1"/>
  <c r="T13" i="46"/>
  <c r="V13" i="46" s="1"/>
  <c r="T12" i="46"/>
  <c r="V12" i="46" s="1"/>
  <c r="T14" i="46"/>
  <c r="V14" i="46" s="1"/>
  <c r="T16" i="46"/>
  <c r="V16" i="46" s="1"/>
  <c r="T2" i="46"/>
  <c r="V2" i="46" s="1"/>
  <c r="T4" i="46"/>
  <c r="V4" i="46" s="1"/>
  <c r="T7" i="46"/>
  <c r="V7" i="46" s="1"/>
  <c r="T3" i="46"/>
  <c r="V3" i="46" s="1"/>
  <c r="T15" i="46"/>
  <c r="V15" i="46" s="1"/>
  <c r="T9" i="46"/>
  <c r="V9" i="46" s="1"/>
  <c r="C34" i="46"/>
  <c r="C36" i="46"/>
  <c r="C35" i="46"/>
  <c r="C33" i="46"/>
  <c r="C38" i="46"/>
  <c r="C39" i="46"/>
  <c r="C37" i="46"/>
  <c r="B40" i="1"/>
  <c r="F17" i="11"/>
  <c r="C17" i="11" s="1"/>
  <c r="J20" i="44"/>
  <c r="J18" i="15"/>
  <c r="F13" i="44"/>
  <c r="C12" i="44" s="1"/>
  <c r="C7" i="44" s="1"/>
  <c r="F11" i="15"/>
  <c r="M11" i="15"/>
  <c r="J10" i="15" s="1"/>
  <c r="J5" i="15" s="1"/>
  <c r="M13" i="44"/>
  <c r="J12" i="44" s="1"/>
  <c r="J7" i="44" s="1"/>
  <c r="Q75" i="44"/>
  <c r="Q62" i="44"/>
  <c r="Q63" i="44"/>
  <c r="Q76" i="44"/>
  <c r="Q75" i="15"/>
  <c r="Q62" i="15"/>
  <c r="Q54" i="44"/>
  <c r="F1" i="44"/>
  <c r="C32" i="15"/>
  <c r="P28" i="46"/>
  <c r="O28" i="46"/>
  <c r="M28" i="46"/>
  <c r="N28" i="46"/>
  <c r="Q74" i="15"/>
  <c r="Q61" i="15"/>
  <c r="C34" i="44"/>
  <c r="F1" i="15"/>
  <c r="Q53" i="15"/>
  <c r="AE6" i="1"/>
  <c r="C16" i="15"/>
  <c r="H12" i="40" l="1"/>
  <c r="U12" i="40" s="1"/>
  <c r="F12" i="40"/>
  <c r="AA12" i="40" s="1"/>
  <c r="F12" i="39"/>
  <c r="AA12" i="39" s="1"/>
  <c r="C5" i="59"/>
  <c r="D5" i="59" s="1"/>
  <c r="D6" i="59"/>
  <c r="G72" i="39"/>
  <c r="H70" i="39"/>
  <c r="Q53" i="59"/>
  <c r="Q54" i="59"/>
  <c r="D28" i="59"/>
  <c r="T28" i="59"/>
  <c r="E60" i="40"/>
  <c r="E65" i="39"/>
  <c r="I65" i="40"/>
  <c r="H67" i="40"/>
  <c r="N53" i="59"/>
  <c r="N54" i="59"/>
  <c r="D32" i="59"/>
  <c r="T32" i="59"/>
  <c r="D20" i="59"/>
  <c r="T20" i="59"/>
  <c r="C24" i="59"/>
  <c r="D23" i="59"/>
  <c r="B7" i="59"/>
  <c r="B6" i="59" s="1"/>
  <c r="B5" i="59" s="1"/>
  <c r="S8" i="59"/>
  <c r="U27" i="39"/>
  <c r="F18" i="11"/>
  <c r="C18" i="11" s="1"/>
  <c r="F24" i="43"/>
  <c r="C26" i="43" s="1"/>
  <c r="D24" i="43" s="1"/>
  <c r="C19" i="11"/>
  <c r="O6" i="1"/>
  <c r="P6" i="1" s="1"/>
  <c r="AG6" i="1"/>
  <c r="S19" i="39"/>
  <c r="AA19" i="39"/>
  <c r="AA17" i="39"/>
  <c r="S17" i="39"/>
  <c r="W17" i="39"/>
  <c r="AC17" i="39"/>
  <c r="W12" i="39"/>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250" i="3"/>
  <c r="E471" i="3"/>
  <c r="E408" i="3"/>
  <c r="E238" i="3"/>
  <c r="E44"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47" i="3"/>
  <c r="E309" i="3"/>
  <c r="E517" i="3"/>
  <c r="V6" i="3"/>
  <c r="E400" i="3"/>
  <c r="E448" i="3"/>
  <c r="E453" i="3"/>
  <c r="E105" i="3"/>
  <c r="E411" i="3"/>
  <c r="E41" i="3"/>
  <c r="E418" i="3"/>
  <c r="E92" i="3"/>
  <c r="E414" i="3"/>
  <c r="E202"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8" i="3"/>
  <c r="AQ6" i="3"/>
  <c r="E197" i="3"/>
  <c r="E162" i="3"/>
  <c r="E285" i="3"/>
  <c r="E235" i="3"/>
  <c r="E61" i="3"/>
  <c r="E229" i="3"/>
  <c r="E433" i="3"/>
  <c r="E120" i="3"/>
  <c r="E529" i="3"/>
  <c r="E191" i="3"/>
  <c r="E300" i="3"/>
  <c r="E555" i="3"/>
  <c r="E379" i="3"/>
  <c r="E355" i="3"/>
  <c r="E530"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74" i="3"/>
  <c r="AG6" i="3"/>
  <c r="E121" i="3"/>
  <c r="E505" i="3"/>
  <c r="E224" i="3"/>
  <c r="E419" i="3"/>
  <c r="E123" i="3"/>
  <c r="E302" i="3"/>
  <c r="E66" i="3"/>
  <c r="E386" i="3"/>
  <c r="E76" i="3"/>
  <c r="E287" i="3"/>
  <c r="E24" i="3"/>
  <c r="E188" i="3"/>
  <c r="E271" i="3"/>
  <c r="E306" i="3"/>
  <c r="E508"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H6" i="3" s="1"/>
  <c r="E178" i="3"/>
  <c r="E119" i="3"/>
  <c r="J6" i="3"/>
  <c r="E500" i="3"/>
  <c r="E48" i="3"/>
  <c r="E97" i="3"/>
  <c r="E438" i="3"/>
  <c r="AE6" i="3"/>
  <c r="E455" i="3"/>
  <c r="E289"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K25" i="6"/>
  <c r="M25" i="6" s="1"/>
  <c r="I25" i="6" s="1"/>
  <c r="S25" i="6" s="1"/>
  <c r="K24" i="6"/>
  <c r="M24" i="6" s="1"/>
  <c r="I24" i="6" s="1"/>
  <c r="S24" i="6" s="1"/>
  <c r="K20" i="6"/>
  <c r="K19" i="6"/>
  <c r="S6" i="1" s="1"/>
  <c r="E3" i="6"/>
  <c r="AY6" i="3"/>
  <c r="K21" i="6"/>
  <c r="M21" i="6" s="1"/>
  <c r="I21" i="6" s="1"/>
  <c r="S21" i="6" s="1"/>
  <c r="K23" i="6"/>
  <c r="M23" i="6" s="1"/>
  <c r="I23" i="6" s="1"/>
  <c r="S23" i="6" s="1"/>
  <c r="K22" i="6"/>
  <c r="M22" i="6" s="1"/>
  <c r="I22" i="6" s="1"/>
  <c r="S22" i="6" s="1"/>
  <c r="K26" i="6"/>
  <c r="M26" i="6" s="1"/>
  <c r="I26" i="6" s="1"/>
  <c r="S26" i="6" s="1"/>
  <c r="M14" i="1"/>
  <c r="K16" i="1"/>
  <c r="W12" i="40"/>
  <c r="S12" i="40"/>
  <c r="G42" i="35"/>
  <c r="H42" i="35" s="1"/>
  <c r="AA7" i="34"/>
  <c r="R49" i="34" s="1"/>
  <c r="S7" i="34"/>
  <c r="R39" i="35"/>
  <c r="E38" i="35"/>
  <c r="H58" i="33"/>
  <c r="G54" i="34"/>
  <c r="H54" i="34" s="1"/>
  <c r="G53" i="34"/>
  <c r="H53" i="34" s="1"/>
  <c r="I40" i="36"/>
  <c r="J40" i="36" s="1"/>
  <c r="AC7" i="35"/>
  <c r="V38" i="35" s="1"/>
  <c r="I38" i="35" s="1"/>
  <c r="W7" i="35"/>
  <c r="G41" i="36"/>
  <c r="H41" i="36" s="1"/>
  <c r="G40" i="36"/>
  <c r="H40" i="36" s="1"/>
  <c r="N52" i="37"/>
  <c r="I53" i="34"/>
  <c r="J53" i="34" s="1"/>
  <c r="G58" i="21"/>
  <c r="E36" i="36"/>
  <c r="R37" i="36"/>
  <c r="G39" i="46"/>
  <c r="I39" i="46" s="1"/>
  <c r="E39" i="46"/>
  <c r="G36" i="46"/>
  <c r="I36" i="46" s="1"/>
  <c r="E36" i="46"/>
  <c r="G37" i="46"/>
  <c r="I37" i="46" s="1"/>
  <c r="E37" i="46"/>
  <c r="G38" i="46"/>
  <c r="I38" i="46" s="1"/>
  <c r="E38" i="46"/>
  <c r="E35" i="46"/>
  <c r="G35" i="46"/>
  <c r="I35" i="46" s="1"/>
  <c r="G34" i="46"/>
  <c r="I34" i="46" s="1"/>
  <c r="E34" i="46"/>
  <c r="E29" i="46"/>
  <c r="C30" i="46"/>
  <c r="E30" i="46" s="1"/>
  <c r="E33" i="46"/>
  <c r="G33" i="46"/>
  <c r="I33" i="46" s="1"/>
  <c r="J28" i="44"/>
  <c r="J31" i="44" s="1"/>
  <c r="J26" i="44"/>
  <c r="C40" i="44"/>
  <c r="C52" i="15"/>
  <c r="C47" i="15" s="1"/>
  <c r="C10" i="15"/>
  <c r="C5" i="15" s="1"/>
  <c r="J24" i="15"/>
  <c r="C20" i="11"/>
  <c r="C21" i="11" s="1"/>
  <c r="C22" i="11" s="1"/>
  <c r="C23" i="11" s="1"/>
  <c r="B2" i="11" s="1"/>
  <c r="F24" i="15"/>
  <c r="C24" i="15" s="1"/>
  <c r="F21" i="43"/>
  <c r="F26" i="12"/>
  <c r="F26" i="44"/>
  <c r="C26" i="44" s="1"/>
  <c r="F41" i="15"/>
  <c r="M27" i="15"/>
  <c r="L52" i="44"/>
  <c r="F7" i="67"/>
  <c r="AB12" i="40" l="1"/>
  <c r="S12" i="39"/>
  <c r="H72" i="39"/>
  <c r="I70" i="39"/>
  <c r="M20" i="46"/>
  <c r="D24" i="59"/>
  <c r="T24" i="59"/>
  <c r="I67" i="40"/>
  <c r="J65" i="40"/>
  <c r="F68" i="15"/>
  <c r="M20" i="6"/>
  <c r="I20" i="6" s="1"/>
  <c r="S20" i="6" s="1"/>
  <c r="S7" i="1"/>
  <c r="AC6" i="3"/>
  <c r="E6" i="3" s="1"/>
  <c r="O14" i="1"/>
  <c r="O16" i="1" s="1"/>
  <c r="M16" i="1"/>
  <c r="N16" i="1" s="1"/>
  <c r="C29" i="43" s="1"/>
  <c r="D16" i="43"/>
  <c r="C16" i="43" s="1"/>
  <c r="L38" i="9"/>
  <c r="B14" i="66" s="1"/>
  <c r="B1" i="66" s="1"/>
  <c r="D44" i="9"/>
  <c r="D46" i="9"/>
  <c r="D10" i="11"/>
  <c r="C21" i="4"/>
  <c r="O5" i="54" s="1"/>
  <c r="B45" i="63" s="1"/>
  <c r="D45" i="9"/>
  <c r="E6" i="6"/>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486" i="3"/>
  <c r="AY67" i="3"/>
  <c r="AY159" i="3"/>
  <c r="AY105" i="3"/>
  <c r="AY47" i="3"/>
  <c r="AY31" i="3"/>
  <c r="AY234" i="3"/>
  <c r="AY317" i="3"/>
  <c r="AY402" i="3"/>
  <c r="AY181" i="3"/>
  <c r="AY343" i="3"/>
  <c r="AY65" i="3"/>
  <c r="AY265" i="3"/>
  <c r="AY350" i="3"/>
  <c r="AY50" i="3"/>
  <c r="AY346" i="3"/>
  <c r="AY161" i="3"/>
  <c r="AY101"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80" i="3"/>
  <c r="AY58" i="3"/>
  <c r="AY179" i="3"/>
  <c r="AY100" i="3"/>
  <c r="AY126" i="3"/>
  <c r="AY118" i="3"/>
  <c r="AY209" i="3"/>
  <c r="AY416" i="3"/>
  <c r="AY55" i="3"/>
  <c r="AY250" i="3"/>
  <c r="AY560" i="3"/>
  <c r="AY141" i="3"/>
  <c r="AY310" i="3"/>
  <c r="AY459" i="3"/>
  <c r="AY226" i="3"/>
  <c r="AY400" i="3"/>
  <c r="AY340" i="3"/>
  <c r="AY272"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M19" i="6"/>
  <c r="K27" i="6"/>
  <c r="O52" i="37"/>
  <c r="F7" i="37" s="1"/>
  <c r="I42" i="35"/>
  <c r="J42" i="35" s="1"/>
  <c r="I43" i="35"/>
  <c r="J43" i="35" s="1"/>
  <c r="E43" i="35"/>
  <c r="F43" i="35" s="1"/>
  <c r="E42" i="35"/>
  <c r="F42" i="35" s="1"/>
  <c r="G43" i="35"/>
  <c r="H43" i="35" s="1"/>
  <c r="C37" i="36"/>
  <c r="B3" i="36" s="1"/>
  <c r="B2" i="36" s="1"/>
  <c r="C36" i="36"/>
  <c r="E40" i="36"/>
  <c r="F40" i="36" s="1"/>
  <c r="E41" i="36"/>
  <c r="F41" i="36" s="1"/>
  <c r="H58" i="21"/>
  <c r="I41" i="36"/>
  <c r="J41" i="36" s="1"/>
  <c r="I58" i="33"/>
  <c r="C39" i="35"/>
  <c r="B3" i="35" s="1"/>
  <c r="B2" i="35" s="1"/>
  <c r="C38" i="35"/>
  <c r="E49" i="34"/>
  <c r="R50" i="34"/>
  <c r="H7" i="37"/>
  <c r="E4" i="67"/>
  <c r="C27" i="46"/>
  <c r="C26" i="46"/>
  <c r="Q69" i="44"/>
  <c r="L58" i="44"/>
  <c r="L61" i="44" s="1"/>
  <c r="L47" i="44" s="1"/>
  <c r="C27" i="12"/>
  <c r="D26" i="12" s="1"/>
  <c r="C32" i="12" s="1"/>
  <c r="D30" i="12" s="1"/>
  <c r="B3" i="11"/>
  <c r="B5" i="11"/>
  <c r="B4" i="11"/>
  <c r="C23" i="43"/>
  <c r="D21" i="43" s="1"/>
  <c r="C38" i="15"/>
  <c r="C59" i="15"/>
  <c r="C65" i="15"/>
  <c r="Q49" i="44"/>
  <c r="Q55" i="44" s="1"/>
  <c r="Q67" i="44"/>
  <c r="Q58" i="44"/>
  <c r="E7" i="67"/>
  <c r="D16" i="12"/>
  <c r="C19" i="44"/>
  <c r="J70" i="39" l="1"/>
  <c r="I72" i="39"/>
  <c r="J67" i="40"/>
  <c r="K65" i="40"/>
  <c r="S16" i="1"/>
  <c r="T12" i="1" s="1"/>
  <c r="I19" i="6"/>
  <c r="M27" i="6"/>
  <c r="E63" i="40"/>
  <c r="D19" i="6"/>
  <c r="D25" i="6"/>
  <c r="D23" i="6"/>
  <c r="D20" i="6"/>
  <c r="E45" i="9"/>
  <c r="F44" i="9"/>
  <c r="K38" i="9"/>
  <c r="C14" i="66" s="1"/>
  <c r="B2" i="66" s="1"/>
  <c r="D26" i="6"/>
  <c r="D11" i="6"/>
  <c r="D5" i="6"/>
  <c r="E44" i="9"/>
  <c r="E46" i="9"/>
  <c r="C22" i="4"/>
  <c r="D21" i="6"/>
  <c r="D13" i="6"/>
  <c r="D28" i="6"/>
  <c r="D8" i="6"/>
  <c r="F45" i="9"/>
  <c r="E68" i="39"/>
  <c r="D24" i="6"/>
  <c r="D22" i="6"/>
  <c r="D9" i="6"/>
  <c r="D29" i="6"/>
  <c r="F46" i="9"/>
  <c r="D10" i="6"/>
  <c r="D12" i="6"/>
  <c r="H25" i="6"/>
  <c r="H24" i="6"/>
  <c r="R24" i="6" s="1"/>
  <c r="D14" i="6"/>
  <c r="D15" i="6"/>
  <c r="H21" i="6"/>
  <c r="H23" i="6"/>
  <c r="H22" i="6"/>
  <c r="H26" i="6"/>
  <c r="H20" i="6"/>
  <c r="D6" i="6"/>
  <c r="C7" i="66"/>
  <c r="C8" i="66"/>
  <c r="C6" i="66"/>
  <c r="P14" i="1"/>
  <c r="P16" i="1" s="1"/>
  <c r="D13" i="11"/>
  <c r="C13" i="11" s="1"/>
  <c r="D19" i="12"/>
  <c r="C19" i="12" s="1"/>
  <c r="C16" i="12"/>
  <c r="C13" i="43"/>
  <c r="L16" i="1"/>
  <c r="U7" i="37"/>
  <c r="AB7" i="37"/>
  <c r="T42" i="37" s="1"/>
  <c r="G42" i="37" s="1"/>
  <c r="E54" i="34"/>
  <c r="F54" i="34" s="1"/>
  <c r="E53" i="34"/>
  <c r="F53" i="34" s="1"/>
  <c r="I54" i="34"/>
  <c r="J54" i="34" s="1"/>
  <c r="J58" i="33"/>
  <c r="K58" i="33" s="1"/>
  <c r="L58" i="33" s="1"/>
  <c r="M58" i="33" s="1"/>
  <c r="N58" i="33" s="1"/>
  <c r="O58" i="33" s="1"/>
  <c r="AA7" i="37"/>
  <c r="R42" i="37" s="1"/>
  <c r="S7" i="37"/>
  <c r="C50" i="34"/>
  <c r="B3" i="34" s="1"/>
  <c r="B2" i="34" s="1"/>
  <c r="C49" i="34"/>
  <c r="F7" i="33"/>
  <c r="I58" i="21"/>
  <c r="J7" i="37"/>
  <c r="H7" i="33"/>
  <c r="E3" i="67"/>
  <c r="B2" i="46"/>
  <c r="Q68" i="44"/>
  <c r="Q77" i="44" s="1"/>
  <c r="Q59" i="44"/>
  <c r="Q64" i="44" s="1"/>
  <c r="B7" i="67"/>
  <c r="D22" i="12"/>
  <c r="L65" i="40" l="1"/>
  <c r="K67" i="40"/>
  <c r="K70" i="39"/>
  <c r="J72" i="39"/>
  <c r="R23" i="6"/>
  <c r="C22" i="12"/>
  <c r="C20" i="12" s="1"/>
  <c r="T9" i="1"/>
  <c r="T7" i="1"/>
  <c r="T6" i="1"/>
  <c r="T13" i="1"/>
  <c r="T11" i="1"/>
  <c r="T8" i="1"/>
  <c r="T10" i="1"/>
  <c r="R20" i="6"/>
  <c r="R7" i="1" s="1"/>
  <c r="R21" i="6"/>
  <c r="D30" i="6"/>
  <c r="R26" i="6"/>
  <c r="R25" i="6"/>
  <c r="D16" i="6"/>
  <c r="S19" i="6"/>
  <c r="S27" i="6" s="1"/>
  <c r="I27" i="6"/>
  <c r="C14" i="43"/>
  <c r="C17" i="43"/>
  <c r="H19" i="6"/>
  <c r="H27" i="6" s="1"/>
  <c r="R22" i="6"/>
  <c r="A6" i="51"/>
  <c r="B7" i="63" s="1"/>
  <c r="A20" i="64"/>
  <c r="A20" i="51"/>
  <c r="B15" i="63" s="1"/>
  <c r="N5" i="54"/>
  <c r="B43" i="63" s="1"/>
  <c r="A6" i="64"/>
  <c r="D7" i="66"/>
  <c r="D6" i="66"/>
  <c r="D8" i="66"/>
  <c r="D27" i="6"/>
  <c r="D31" i="6" s="1"/>
  <c r="U7" i="33"/>
  <c r="AB7" i="33"/>
  <c r="T48" i="33" s="1"/>
  <c r="G48" i="33" s="1"/>
  <c r="AC7" i="37"/>
  <c r="V42" i="37" s="1"/>
  <c r="I42" i="37" s="1"/>
  <c r="W7" i="37"/>
  <c r="J58" i="21"/>
  <c r="J7" i="33"/>
  <c r="S7" i="33"/>
  <c r="AA7" i="33"/>
  <c r="R48" i="33" s="1"/>
  <c r="R43" i="37"/>
  <c r="E42" i="37"/>
  <c r="G46" i="37"/>
  <c r="H46" i="37" s="1"/>
  <c r="G47" i="37"/>
  <c r="H47" i="37" s="1"/>
  <c r="B2" i="67"/>
  <c r="D4" i="46"/>
  <c r="B4" i="46"/>
  <c r="B3" i="46"/>
  <c r="M23" i="44"/>
  <c r="F37" i="44"/>
  <c r="C13" i="12"/>
  <c r="C16" i="44"/>
  <c r="L70" i="39" l="1"/>
  <c r="K72" i="39"/>
  <c r="M65" i="40"/>
  <c r="L67" i="40"/>
  <c r="C17" i="12"/>
  <c r="C14" i="12"/>
  <c r="C18" i="15"/>
  <c r="C15" i="15"/>
  <c r="C17" i="44"/>
  <c r="C20" i="44"/>
  <c r="T16" i="1"/>
  <c r="C36" i="44"/>
  <c r="J22" i="44"/>
  <c r="R19" i="6"/>
  <c r="I6" i="6"/>
  <c r="I5" i="6"/>
  <c r="C18" i="43"/>
  <c r="C43" i="37"/>
  <c r="B3" i="37" s="1"/>
  <c r="B2" i="37" s="1"/>
  <c r="C42" i="37"/>
  <c r="E47" i="37"/>
  <c r="F47" i="37" s="1"/>
  <c r="E46" i="37"/>
  <c r="F46" i="37" s="1"/>
  <c r="R49" i="33"/>
  <c r="E48" i="33"/>
  <c r="W7" i="33"/>
  <c r="AC7" i="33"/>
  <c r="V48" i="33" s="1"/>
  <c r="I48" i="33" s="1"/>
  <c r="G52" i="33"/>
  <c r="H52" i="33" s="1"/>
  <c r="G53" i="33"/>
  <c r="H53" i="33" s="1"/>
  <c r="K58" i="21"/>
  <c r="I46" i="37"/>
  <c r="J46" i="37" s="1"/>
  <c r="I47" i="37"/>
  <c r="J47" i="37" s="1"/>
  <c r="B3" i="67"/>
  <c r="B4" i="67"/>
  <c r="M67" i="40" l="1"/>
  <c r="J9" i="40" s="1"/>
  <c r="N65" i="40"/>
  <c r="N67" i="40" s="1"/>
  <c r="H9" i="40" s="1"/>
  <c r="M70" i="39"/>
  <c r="L72" i="39"/>
  <c r="C18" i="12"/>
  <c r="C23" i="12" s="1"/>
  <c r="C19" i="15"/>
  <c r="C20" i="15" s="1"/>
  <c r="C26" i="15" s="1"/>
  <c r="C21" i="44"/>
  <c r="C22" i="44" s="1"/>
  <c r="R27" i="6"/>
  <c r="R6" i="1"/>
  <c r="C19" i="43"/>
  <c r="C25" i="43" s="1"/>
  <c r="C24" i="43" s="1"/>
  <c r="I52" i="33"/>
  <c r="J52" i="33" s="1"/>
  <c r="I53" i="33"/>
  <c r="J53" i="33" s="1"/>
  <c r="E52" i="33"/>
  <c r="F52" i="33" s="1"/>
  <c r="E53" i="33"/>
  <c r="F53" i="33" s="1"/>
  <c r="L58" i="21"/>
  <c r="C48" i="33"/>
  <c r="C49" i="33"/>
  <c r="B3" i="33" s="1"/>
  <c r="B2" i="33" s="1"/>
  <c r="M21" i="15"/>
  <c r="F35" i="15"/>
  <c r="U9" i="40" l="1"/>
  <c r="AB9" i="40"/>
  <c r="T44" i="40" s="1"/>
  <c r="G44" i="40" s="1"/>
  <c r="F9" i="40"/>
  <c r="M72" i="39"/>
  <c r="J9" i="39" s="1"/>
  <c r="N70" i="39"/>
  <c r="N72" i="39" s="1"/>
  <c r="F9" i="39" s="1"/>
  <c r="AC9" i="40"/>
  <c r="V44" i="40" s="1"/>
  <c r="I44" i="40" s="1"/>
  <c r="I48" i="40" s="1"/>
  <c r="J48" i="40" s="1"/>
  <c r="W9" i="40"/>
  <c r="J20" i="15"/>
  <c r="F62" i="15"/>
  <c r="C61" i="15" s="1"/>
  <c r="C34" i="15"/>
  <c r="R16" i="1"/>
  <c r="C25" i="44"/>
  <c r="C23" i="15"/>
  <c r="C29" i="15" s="1"/>
  <c r="Q50" i="15" s="1"/>
  <c r="C28" i="44"/>
  <c r="C22" i="43"/>
  <c r="C21" i="43" s="1"/>
  <c r="C28" i="43" s="1"/>
  <c r="C30" i="43" s="1"/>
  <c r="C32" i="43" s="1"/>
  <c r="B2" i="43" s="1"/>
  <c r="M58" i="21"/>
  <c r="N58" i="21" s="1"/>
  <c r="O58" i="21" s="1"/>
  <c r="F7" i="21" l="1"/>
  <c r="S7" i="21" s="1"/>
  <c r="S9" i="39"/>
  <c r="AA9" i="39"/>
  <c r="R49" i="39" s="1"/>
  <c r="AA9" i="40"/>
  <c r="R44" i="40" s="1"/>
  <c r="S9" i="40"/>
  <c r="W9" i="39"/>
  <c r="AC9" i="39"/>
  <c r="V49" i="39" s="1"/>
  <c r="I49" i="39" s="1"/>
  <c r="G48" i="40"/>
  <c r="H48" i="40" s="1"/>
  <c r="G49" i="40"/>
  <c r="H49" i="40" s="1"/>
  <c r="H9" i="39"/>
  <c r="C33" i="15"/>
  <c r="C31" i="15" s="1"/>
  <c r="C31" i="44"/>
  <c r="J16" i="44" s="1"/>
  <c r="J24" i="44" s="1"/>
  <c r="J59" i="15"/>
  <c r="J60" i="15" s="1"/>
  <c r="Q49" i="15" s="1"/>
  <c r="C13" i="15"/>
  <c r="Q71" i="15" s="1"/>
  <c r="C56" i="15"/>
  <c r="C63" i="15" s="1"/>
  <c r="J14" i="15"/>
  <c r="J13" i="15" s="1"/>
  <c r="J23" i="15" s="1"/>
  <c r="C36" i="15"/>
  <c r="J19" i="15"/>
  <c r="J17" i="15" s="1"/>
  <c r="C60" i="15"/>
  <c r="C58" i="15" s="1"/>
  <c r="B4" i="43"/>
  <c r="B3" i="43"/>
  <c r="B5" i="43"/>
  <c r="AA7" i="21"/>
  <c r="R48" i="21" s="1"/>
  <c r="H7" i="21"/>
  <c r="J7" i="21"/>
  <c r="I53" i="39" l="1"/>
  <c r="J53" i="39" s="1"/>
  <c r="E49" i="39"/>
  <c r="I54" i="39" s="1"/>
  <c r="J54" i="39" s="1"/>
  <c r="AB9" i="39"/>
  <c r="T49" i="39" s="1"/>
  <c r="G49" i="39" s="1"/>
  <c r="U9" i="39"/>
  <c r="R45" i="40"/>
  <c r="E44" i="40"/>
  <c r="J21" i="44"/>
  <c r="J19" i="44" s="1"/>
  <c r="C55" i="15"/>
  <c r="C64" i="15" s="1"/>
  <c r="Q51" i="44"/>
  <c r="J15" i="44"/>
  <c r="J25" i="44" s="1"/>
  <c r="C35" i="44"/>
  <c r="C33" i="44" s="1"/>
  <c r="J22" i="15"/>
  <c r="J16" i="15" s="1"/>
  <c r="J25" i="15" s="1"/>
  <c r="J26" i="15" s="1"/>
  <c r="J29" i="15" s="1"/>
  <c r="J35" i="15"/>
  <c r="C38" i="44"/>
  <c r="C15" i="44"/>
  <c r="C43" i="44" s="1"/>
  <c r="C37" i="15"/>
  <c r="C30" i="15" s="1"/>
  <c r="C39" i="15" s="1"/>
  <c r="L57" i="15"/>
  <c r="L60" i="15" s="1"/>
  <c r="C57" i="15"/>
  <c r="C66" i="15" s="1"/>
  <c r="C67" i="15" s="1"/>
  <c r="W7" i="21"/>
  <c r="AC7" i="21"/>
  <c r="V48" i="21" s="1"/>
  <c r="I48" i="21" s="1"/>
  <c r="U7" i="21"/>
  <c r="AB7" i="21"/>
  <c r="T48" i="21" s="1"/>
  <c r="G48" i="21" s="1"/>
  <c r="E48" i="21"/>
  <c r="R49" i="21"/>
  <c r="L51" i="15"/>
  <c r="E48" i="40" l="1"/>
  <c r="F48" i="40" s="1"/>
  <c r="E49" i="40"/>
  <c r="F49" i="40" s="1"/>
  <c r="I49" i="40"/>
  <c r="J49" i="40" s="1"/>
  <c r="R50" i="39"/>
  <c r="C45" i="40"/>
  <c r="C44" i="40"/>
  <c r="G53" i="39"/>
  <c r="H53" i="39" s="1"/>
  <c r="G54" i="39"/>
  <c r="H54" i="39" s="1"/>
  <c r="E53" i="39"/>
  <c r="F53" i="39" s="1"/>
  <c r="E54" i="39"/>
  <c r="F54" i="39" s="1"/>
  <c r="J18" i="44"/>
  <c r="J27" i="44" s="1"/>
  <c r="C39" i="44"/>
  <c r="C32" i="44" s="1"/>
  <c r="C42" i="44" s="1"/>
  <c r="Q71" i="44" s="1"/>
  <c r="Q72" i="44"/>
  <c r="Q68" i="15"/>
  <c r="C40" i="15"/>
  <c r="C46" i="15" s="1"/>
  <c r="Q70" i="15"/>
  <c r="Q69" i="15" s="1"/>
  <c r="J39" i="15"/>
  <c r="J40" i="15" s="1"/>
  <c r="Q67" i="15"/>
  <c r="L46" i="15"/>
  <c r="C70" i="15"/>
  <c r="Q58" i="15"/>
  <c r="C48" i="21"/>
  <c r="C49" i="21"/>
  <c r="B3" i="21" s="1"/>
  <c r="B2" i="21" s="1"/>
  <c r="E53" i="21"/>
  <c r="F53" i="21" s="1"/>
  <c r="E52" i="21"/>
  <c r="F52" i="21" s="1"/>
  <c r="G53" i="21"/>
  <c r="H53" i="21" s="1"/>
  <c r="G52" i="21"/>
  <c r="H52" i="21" s="1"/>
  <c r="I52" i="21"/>
  <c r="J52" i="21" s="1"/>
  <c r="I53" i="21"/>
  <c r="J53" i="21" s="1"/>
  <c r="C50" i="39" l="1"/>
  <c r="C49" i="39"/>
  <c r="B53" i="40"/>
  <c r="F53" i="40" s="1"/>
  <c r="F63" i="40"/>
  <c r="B2" i="40" s="1"/>
  <c r="B60" i="40"/>
  <c r="F60" i="40" s="1"/>
  <c r="B58" i="40"/>
  <c r="F58" i="40" s="1"/>
  <c r="B54" i="40"/>
  <c r="F54" i="40" s="1"/>
  <c r="B55" i="40"/>
  <c r="F55" i="40" s="1"/>
  <c r="B57" i="40"/>
  <c r="F57" i="40" s="1"/>
  <c r="B56" i="40"/>
  <c r="F56" i="40" s="1"/>
  <c r="B61" i="40"/>
  <c r="F61" i="40" s="1"/>
  <c r="B59" i="40"/>
  <c r="F59" i="40" s="1"/>
  <c r="B62" i="40"/>
  <c r="F62" i="40" s="1"/>
  <c r="Q70" i="44"/>
  <c r="C44" i="44"/>
  <c r="C45" i="44" s="1"/>
  <c r="B2" i="44" s="1"/>
  <c r="B3" i="44" s="1"/>
  <c r="B2" i="15"/>
  <c r="C10" i="12" s="1"/>
  <c r="C6" i="12" s="1"/>
  <c r="Q66" i="15"/>
  <c r="Q76" i="15" s="1"/>
  <c r="Q48" i="15"/>
  <c r="Q54" i="15" s="1"/>
  <c r="Q57" i="15"/>
  <c r="Q63" i="15" s="1"/>
  <c r="C43" i="15"/>
  <c r="J42" i="15"/>
  <c r="J43" i="15" s="1"/>
  <c r="B3" i="15"/>
  <c r="C8" i="12" s="1"/>
  <c r="B3" i="40" l="1"/>
  <c r="B5" i="40"/>
  <c r="B4" i="40"/>
  <c r="B59" i="39"/>
  <c r="F59" i="39" s="1"/>
  <c r="B65" i="39"/>
  <c r="F65" i="39" s="1"/>
  <c r="B58" i="39"/>
  <c r="F58" i="39" s="1"/>
  <c r="B62" i="39"/>
  <c r="F62" i="39" s="1"/>
  <c r="B63" i="39"/>
  <c r="F63" i="39" s="1"/>
  <c r="B60" i="39"/>
  <c r="F60" i="39" s="1"/>
  <c r="B64" i="39"/>
  <c r="F64" i="39" s="1"/>
  <c r="B67" i="39"/>
  <c r="F67" i="39" s="1"/>
  <c r="B61" i="39"/>
  <c r="F61" i="39" s="1"/>
  <c r="B66" i="39"/>
  <c r="F66" i="39" s="1"/>
  <c r="B4" i="44"/>
  <c r="B5" i="44"/>
  <c r="C24" i="12"/>
  <c r="C29" i="12"/>
  <c r="F68" i="39" l="1"/>
  <c r="B2" i="39" s="1"/>
  <c r="C35" i="12"/>
  <c r="C33" i="12" s="1"/>
  <c r="C28" i="12"/>
  <c r="C26" i="12" s="1"/>
  <c r="C31" i="12" s="1"/>
  <c r="C30" i="12" s="1"/>
  <c r="C19" i="9"/>
  <c r="L43" i="9" l="1"/>
  <c r="B5" i="39"/>
  <c r="B4" i="39"/>
  <c r="B3" i="39"/>
  <c r="C36" i="12"/>
  <c r="B2" i="12" s="1"/>
  <c r="C20" i="9"/>
  <c r="C21" i="9"/>
  <c r="D19" i="9"/>
  <c r="B3" i="12"/>
  <c r="D22" i="9" l="1"/>
  <c r="L44" i="9"/>
  <c r="G19" i="9"/>
  <c r="E1" i="12" s="1"/>
  <c r="E2" i="12" s="1"/>
  <c r="D20" i="9"/>
  <c r="B5" i="12"/>
  <c r="B4" i="12"/>
  <c r="G20" i="9" l="1"/>
  <c r="C32" i="9"/>
  <c r="N43" i="9"/>
  <c r="G22" i="9"/>
  <c r="D21" i="9"/>
  <c r="G21" i="9" l="1"/>
  <c r="C42" i="9"/>
  <c r="O38" i="9"/>
  <c r="O43" i="9"/>
  <c r="C33" i="9"/>
  <c r="C35" i="9"/>
  <c r="F42" i="9" s="1"/>
  <c r="C34" i="9"/>
  <c r="E42" i="9" l="1"/>
  <c r="P5" i="54" s="1"/>
  <c r="B46" i="63" s="1"/>
  <c r="M38" i="9"/>
  <c r="K27" i="9" s="1"/>
  <c r="D42" i="9"/>
  <c r="Q5" i="54" s="1"/>
  <c r="B47" i="63" s="1"/>
  <c r="N38" i="9"/>
  <c r="K28" i="9" s="1"/>
  <c r="K26" i="9"/>
  <c r="K25" i="9"/>
  <c r="N68" i="9"/>
  <c r="D14" i="66"/>
  <c r="R5" i="54"/>
  <c r="B48" i="63" s="1"/>
  <c r="D63" i="9"/>
  <c r="C82" i="9" l="1"/>
  <c r="C81" i="9" s="1"/>
  <c r="C85" i="9" s="1"/>
  <c r="C86" i="9" s="1"/>
  <c r="D72" i="9" s="1"/>
  <c r="C111" i="9"/>
  <c r="C104" i="9" s="1"/>
  <c r="D70" i="9"/>
  <c r="C96" i="9"/>
  <c r="C91" i="9" s="1"/>
  <c r="D77" i="9"/>
  <c r="N75" i="9" s="1"/>
  <c r="C103" i="9"/>
  <c r="D71" i="9"/>
  <c r="D66" i="9" s="1"/>
  <c r="N72" i="9" s="1"/>
  <c r="C90" i="9"/>
  <c r="E14" i="66"/>
  <c r="B5" i="66"/>
  <c r="F14" i="66"/>
  <c r="C113" i="9" l="1"/>
  <c r="C114" i="9" s="1"/>
  <c r="E114" i="9" s="1"/>
  <c r="E115" i="9" s="1"/>
  <c r="C97" i="9"/>
  <c r="C5" i="66"/>
  <c r="D5" i="66"/>
  <c r="C115" i="9" l="1"/>
  <c r="D76" i="9" s="1"/>
  <c r="D74" i="9" s="1"/>
  <c r="N74" i="9" s="1"/>
  <c r="O77" i="9" s="1"/>
  <c r="O79" i="9" s="1"/>
  <c r="C98" i="9"/>
  <c r="E98" i="9" s="1"/>
  <c r="E99" i="9" s="1"/>
  <c r="Q77" i="9" l="1"/>
  <c r="O78" i="9"/>
  <c r="C9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<sst xmlns="http://schemas.openxmlformats.org/spreadsheetml/2006/main" count="7178" uniqueCount="3133">
  <si>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</si>
  <si>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</si>
  <si>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</si>
  <si>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</si>
  <si>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</si>
  <si>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</si>
  <si>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</si>
  <si>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</si>
  <si>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</si>
  <si>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</si>
  <si>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</si>
  <si>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</si>
  <si>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</si>
  <si>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</si>
  <si>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</si>
  <si>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</si>
  <si>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</si>
  <si>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</si>
  <si>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</si>
  <si>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</si>
  <si>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</si>
  <si>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</si>
  <si>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</si>
  <si>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</si>
  <si>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</si>
  <si>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</si>
  <si>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</si>
  <si>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</si>
  <si>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</si>
  <si>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</si>
  <si>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</si>
  <si>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</si>
  <si>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</si>
  <si>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</si>
  <si>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</si>
  <si>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</si>
  <si>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</si>
  <si>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</si>
  <si>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</si>
  <si>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</si>
  <si>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</si>
  <si>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</si>
  <si>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</si>
  <si>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</si>
  <si>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</si>
  <si>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</si>
  <si>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</si>
  <si>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</si>
  <si>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</si>
  <si>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</si>
  <si>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</si>
  <si>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</si>
  <si>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</si>
  <si>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</si>
  <si>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</si>
  <si>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</si>
  <si>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</si>
  <si>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</si>
  <si>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</si>
  <si>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</si>
  <si>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</si>
  <si>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</si>
  <si>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</si>
  <si>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</si>
  <si>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</si>
  <si>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</si>
  <si>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</si>
  <si>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</si>
  <si>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</si>
  <si>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</si>
  <si>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</si>
  <si>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</si>
  <si>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</si>
  <si>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</si>
  <si>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</si>
  <si>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</si>
  <si>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</si>
  <si>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</si>
  <si>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</si>
  <si>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</si>
  <si>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</si>
  <si>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</si>
  <si>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</si>
  <si>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</si>
  <si>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</si>
  <si>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</si>
  <si>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</si>
  <si>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</si>
  <si>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</si>
  <si>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</si>
  <si>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</si>
  <si>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</si>
  <si>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</si>
  <si>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</si>
  <si>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</si>
  <si>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</si>
  <si>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</si>
  <si>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</si>
  <si>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</si>
  <si>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</si>
  <si>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</si>
  <si>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</si>
  <si>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</si>
  <si>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</si>
  <si>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</si>
  <si>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</si>
  <si>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</si>
  <si>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</si>
  <si>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</si>
  <si>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</si>
  <si>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</si>
  <si>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</si>
  <si>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</si>
  <si>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</si>
  <si>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</si>
  <si>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</si>
  <si>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</si>
  <si>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</si>
  <si>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</si>
  <si>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</si>
  <si>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</si>
  <si>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</si>
  <si>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</si>
  <si>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</si>
  <si>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</si>
  <si>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</si>
  <si>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</si>
  <si>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</si>
  <si>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</si>
  <si>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</si>
  <si>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</si>
  <si>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</si>
  <si>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</si>
  <si>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</si>
  <si>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</si>
  <si>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</si>
  <si>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</si>
  <si>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</si>
  <si>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</si>
  <si>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</si>
  <si>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</si>
  <si>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</si>
  <si>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</si>
  <si>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</si>
  <si>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</si>
  <si>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</si>
  <si>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</si>
  <si>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</si>
  <si>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</si>
  <si>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</si>
  <si>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</si>
  <si>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</si>
  <si>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</si>
  <si>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</si>
  <si>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</si>
  <si>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</si>
  <si>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</si>
  <si>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</si>
  <si>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</si>
  <si>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</si>
  <si>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</si>
  <si>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</si>
  <si>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</si>
  <si>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</si>
  <si>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</si>
  <si>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</si>
  <si>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</si>
  <si>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</si>
  <si>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</si>
  <si>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</si>
  <si>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</si>
  <si>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</si>
  <si>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</si>
  <si>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</si>
  <si>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</si>
  <si>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</si>
  <si>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</si>
  <si>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</si>
  <si>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</si>
  <si>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</si>
  <si>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</si>
  <si>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</si>
  <si>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</si>
  <si>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</si>
  <si>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</si>
  <si>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</si>
  <si>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</si>
  <si>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</si>
  <si>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</si>
  <si>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</si>
  <si>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</si>
  <si>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</si>
  <si>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</si>
  <si>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</si>
  <si>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</si>
  <si>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</si>
  <si>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</si>
  <si>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</si>
  <si>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</si>
  <si>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</si>
  <si>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</si>
  <si>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</si>
  <si>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</si>
  <si>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</si>
  <si>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</si>
  <si>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</si>
  <si>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</si>
  <si>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</si>
  <si>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</si>
  <si>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</si>
  <si>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</si>
  <si>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</si>
  <si>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</si>
  <si>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</si>
  <si>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</si>
  <si>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</si>
  <si>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</si>
  <si>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</si>
  <si>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</si>
  <si>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</si>
  <si>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</si>
  <si>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</si>
  <si>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</si>
  <si>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</si>
  <si>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</si>
  <si>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</si>
  <si>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</si>
  <si>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</si>
  <si>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</si>
  <si>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</si>
  <si>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</si>
  <si>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</si>
  <si>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</si>
  <si>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</si>
  <si>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</si>
  <si>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</si>
  <si>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</si>
  <si>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</si>
  <si>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</si>
  <si>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</si>
  <si>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</si>
  <si>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</si>
  <si>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</si>
  <si>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</si>
  <si>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</si>
  <si>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</si>
  <si>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</si>
  <si>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</si>
  <si>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</si>
  <si>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</si>
  <si>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</si>
  <si>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</si>
  <si>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</si>
  <si>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</si>
  <si>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</si>
  <si>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</si>
  <si>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</si>
  <si>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</si>
  <si>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</si>
  <si>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</si>
  <si>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</si>
  <si>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</si>
  <si>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</si>
  <si>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</si>
  <si>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</si>
  <si>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</si>
  <si>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</si>
  <si>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</si>
  <si>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</si>
  <si>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</si>
  <si>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</si>
  <si>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</si>
  <si>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</si>
  <si>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</si>
  <si>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</si>
  <si>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</si>
  <si>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</si>
  <si>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</si>
  <si>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</si>
  <si>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</si>
  <si>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</si>
  <si>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</si>
  <si>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</si>
  <si>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</si>
  <si>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</si>
  <si>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</si>
  <si>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</si>
  <si>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</si>
  <si>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</si>
  <si>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</si>
  <si>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</si>
  <si>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</si>
  <si>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</si>
  <si>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</si>
  <si>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</si>
  <si>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</si>
  <si>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</si>
  <si>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</si>
  <si>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</si>
  <si>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</si>
  <si>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</si>
  <si>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</si>
  <si>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</si>
  <si>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</si>
  <si>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</si>
  <si>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</si>
  <si>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</si>
  <si>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</si>
  <si>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</si>
  <si>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</si>
  <si>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</si>
  <si>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</si>
  <si>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</si>
  <si>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</si>
  <si>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</si>
  <si>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</si>
  <si>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</si>
  <si>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</si>
  <si>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</si>
  <si>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</si>
  <si>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</si>
  <si>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</si>
  <si>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</si>
  <si>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</si>
  <si>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</si>
  <si>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</si>
  <si>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</si>
  <si>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</si>
  <si>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</si>
  <si>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</si>
  <si>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</si>
  <si>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</si>
  <si>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</si>
  <si>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</si>
  <si>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</si>
  <si>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</si>
  <si>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</si>
  <si>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</si>
  <si>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</si>
  <si>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</si>
  <si>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</si>
  <si>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</si>
  <si>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</si>
  <si>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</si>
  <si>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</si>
  <si>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</si>
  <si>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</si>
  <si>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</si>
  <si>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</si>
  <si>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</si>
  <si>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</si>
  <si>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</si>
  <si>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</si>
  <si>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</si>
  <si>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</si>
  <si>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</si>
  <si>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</si>
  <si>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</si>
  <si>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</si>
  <si>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</si>
  <si>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</si>
  <si>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</si>
  <si>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</si>
  <si>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</si>
  <si>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</si>
  <si>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</si>
  <si>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</si>
  <si>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</si>
  <si>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</si>
  <si>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</si>
  <si>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</si>
  <si>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</si>
  <si>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</si>
  <si>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</si>
  <si>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</si>
  <si>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</si>
  <si>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</si>
  <si>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</si>
  <si>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</si>
  <si>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</si>
  <si>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</si>
  <si>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</si>
  <si>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</si>
  <si>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</si>
  <si>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</si>
  <si>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</si>
  <si>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</si>
  <si>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</si>
  <si>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</si>
  <si>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</si>
  <si>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</si>
  <si>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</si>
  <si>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</si>
  <si>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</si>
  <si>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</si>
  <si>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</si>
  <si>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</si>
  <si>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</si>
  <si>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</si>
  <si>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</si>
  <si>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</si>
  <si>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</si>
  <si>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</si>
  <si>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</si>
  <si>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</si>
  <si>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</si>
  <si>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</si>
  <si>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</si>
  <si>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</si>
  <si>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</si>
  <si>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</si>
  <si>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</si>
  <si>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</si>
  <si>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</si>
  <si>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</si>
  <si>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</si>
  <si>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</si>
  <si>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</si>
  <si>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</si>
  <si>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</si>
  <si>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</si>
  <si>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</si>
  <si>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</si>
  <si>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</si>
  <si>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</si>
  <si>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</si>
  <si>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</si>
  <si>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</si>
  <si>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</si>
  <si>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</si>
  <si>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</si>
  <si>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</si>
  <si>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</si>
  <si>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</si>
  <si>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</si>
  <si>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</si>
  <si>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</si>
  <si>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</si>
  <si>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</si>
  <si>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</si>
  <si>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</si>
  <si>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</si>
  <si>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</si>
  <si>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</si>
  <si>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</si>
  <si>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</si>
  <si>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</si>
  <si>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</si>
  <si>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</si>
  <si>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</si>
  <si>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</si>
  <si>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</si>
  <si>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</si>
  <si>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</si>
  <si>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</si>
  <si>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</si>
  <si>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</si>
  <si>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</si>
  <si>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</si>
  <si>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</si>
  <si>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</si>
  <si>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</si>
  <si>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</si>
  <si>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</si>
  <si>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</si>
  <si>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</si>
  <si>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</si>
  <si>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</si>
  <si>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</si>
  <si>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</si>
  <si>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</si>
  <si>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</si>
  <si>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</si>
  <si>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</si>
  <si>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</si>
  <si>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</si>
  <si>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</si>
  <si>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</si>
  <si>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</si>
  <si>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</si>
  <si>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</si>
  <si>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</si>
  <si>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</si>
  <si>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</si>
  <si>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</si>
  <si>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</si>
  <si>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</si>
  <si>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</si>
  <si>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</si>
  <si>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</si>
  <si>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</si>
  <si>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</si>
  <si>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</si>
  <si>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</si>
  <si>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</si>
  <si>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</si>
  <si>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</si>
  <si>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</si>
  <si>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</si>
  <si>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</si>
  <si>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</si>
  <si>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</si>
  <si>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</si>
  <si>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</si>
  <si>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</si>
  <si>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</si>
  <si>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</si>
  <si>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</si>
  <si>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</si>
  <si>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</si>
  <si>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</si>
  <si>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</si>
  <si>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</si>
  <si>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</si>
  <si>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</si>
  <si>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</si>
  <si>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</si>
  <si>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</si>
  <si>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</si>
  <si>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</si>
  <si>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</si>
  <si>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</si>
  <si>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</si>
  <si>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</si>
  <si>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</si>
  <si>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</si>
  <si>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</si>
  <si>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</si>
  <si>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</si>
  <si>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</si>
  <si>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</si>
  <si>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</si>
  <si>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</si>
  <si>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</si>
  <si>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</si>
  <si>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</si>
  <si>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</si>
  <si>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</si>
  <si>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</si>
  <si>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</si>
  <si>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</si>
  <si>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</si>
  <si>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</si>
  <si>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</si>
  <si>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</si>
  <si>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</si>
  <si>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</si>
  <si>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</si>
  <si>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</si>
  <si>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</si>
  <si>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</si>
  <si>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</si>
  <si>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</si>
  <si>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</si>
  <si>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</si>
  <si>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</si>
  <si>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</si>
  <si>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</si>
  <si>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</si>
  <si>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</si>
  <si>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</si>
  <si>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</si>
  <si>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</si>
  <si>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</si>
  <si>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</si>
  <si>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</si>
  <si>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</si>
  <si>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</si>
  <si>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</si>
  <si>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</si>
  <si>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</si>
  <si>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</si>
  <si>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</si>
  <si>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</si>
  <si>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</si>
  <si>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</si>
  <si>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</si>
  <si>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</si>
  <si>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</si>
  <si>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</si>
  <si>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</si>
  <si>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</si>
  <si>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</si>
  <si>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</si>
  <si>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</si>
  <si>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</si>
  <si>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</si>
  <si>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</si>
  <si>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</si>
  <si>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</si>
  <si>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</si>
  <si>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</si>
  <si>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</si>
  <si>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</si>
  <si>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</si>
  <si>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</si>
  <si>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</si>
  <si>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</si>
  <si>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</si>
  <si>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</si>
  <si>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</si>
  <si>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</si>
  <si>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</si>
  <si>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</si>
  <si>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</si>
  <si>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</si>
  <si>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</si>
  <si>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</si>
  <si>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</si>
  <si>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</si>
  <si>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</si>
  <si>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</si>
  <si>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</si>
  <si>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</si>
  <si>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</si>
  <si>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</si>
  <si>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</si>
  <si>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</si>
  <si>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</si>
  <si>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</si>
  <si>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</si>
  <si>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</si>
  <si>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</si>
  <si>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</si>
  <si>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</si>
  <si>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</si>
  <si>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</si>
  <si>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</si>
  <si>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</si>
  <si>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</si>
  <si>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</si>
  <si>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</si>
  <si>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</si>
  <si>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</si>
  <si>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</si>
  <si>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</si>
  <si>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</si>
  <si>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</si>
  <si>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</si>
  <si>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</si>
  <si>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</si>
  <si>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</si>
  <si>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</si>
  <si>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</si>
  <si>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</si>
  <si>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</si>
  <si>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</si>
  <si>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</si>
  <si>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</si>
  <si>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</si>
  <si>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</si>
  <si>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</si>
  <si>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</si>
  <si>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</si>
  <si>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</si>
  <si>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</si>
  <si>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</si>
  <si>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</si>
  <si>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</si>
  <si>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</si>
  <si>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</si>
  <si>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</si>
  <si>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</si>
  <si>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</si>
  <si>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</si>
  <si>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</si>
  <si>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</si>
  <si>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</si>
  <si>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</si>
  <si>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</si>
  <si>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</si>
  <si>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</si>
  <si>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</si>
  <si>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</si>
  <si>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</si>
  <si>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</si>
  <si>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</si>
  <si>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</si>
  <si>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</si>
  <si>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</si>
  <si>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</si>
  <si>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</si>
  <si>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</si>
  <si>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</si>
  <si>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</si>
  <si>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</si>
  <si>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</si>
  <si>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</si>
  <si>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</si>
  <si>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</si>
  <si>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</si>
  <si>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</si>
  <si>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</si>
  <si>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</si>
  <si>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</si>
  <si>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</si>
  <si>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</si>
  <si>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</si>
  <si>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</si>
  <si>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</si>
  <si>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</si>
  <si>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</si>
  <si>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</si>
  <si>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</si>
  <si>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</si>
  <si>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</si>
  <si>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</si>
  <si>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</si>
  <si>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</si>
  <si>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</si>
  <si>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</si>
  <si>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</si>
  <si>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</si>
  <si>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</si>
  <si>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</si>
  <si>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</si>
  <si>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</si>
  <si>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</si>
  <si>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</si>
  <si>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</si>
  <si>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</si>
  <si>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</si>
  <si>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</si>
  <si>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</si>
  <si>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</si>
  <si>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</si>
  <si>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</si>
  <si>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</si>
  <si>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</si>
  <si>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</si>
  <si>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</si>
  <si>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</si>
  <si>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</si>
  <si>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</si>
  <si>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</si>
  <si>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</si>
  <si>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</si>
  <si>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</si>
  <si>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</si>
  <si>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</si>
  <si>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</si>
  <si>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</si>
  <si>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</si>
  <si>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</si>
  <si>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</si>
  <si>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</si>
  <si>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</si>
  <si>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</si>
  <si>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</si>
  <si>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</si>
  <si>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</si>
  <si>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</si>
  <si>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</si>
  <si>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</si>
  <si>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</si>
  <si>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</si>
  <si>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</si>
  <si>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</si>
  <si>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</si>
  <si>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</si>
  <si>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</si>
  <si>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</si>
  <si>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</si>
  <si>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</si>
  <si>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</si>
  <si>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</si>
  <si>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</si>
  <si>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</si>
  <si>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</si>
  <si>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</si>
  <si>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</si>
  <si>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</si>
  <si>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</si>
  <si>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</si>
  <si>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</si>
  <si>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</si>
  <si>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</si>
  <si>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</si>
  <si>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</si>
  <si>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</si>
  <si>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</si>
  <si>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</si>
  <si>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</si>
  <si>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</si>
  <si>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</si>
  <si>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</si>
  <si>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</si>
  <si>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</si>
  <si>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</si>
  <si>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</si>
  <si>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</si>
  <si>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</si>
  <si>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</si>
  <si>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</si>
  <si>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</si>
  <si>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</si>
  <si>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</si>
  <si>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</si>
  <si>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</si>
  <si>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</si>
  <si>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</si>
  <si>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</si>
  <si>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</si>
  <si>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</si>
  <si>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</si>
  <si>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</si>
  <si>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</si>
  <si>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</si>
  <si>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</si>
  <si>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</si>
  <si>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</si>
  <si>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</si>
  <si>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</si>
  <si>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</si>
  <si>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</si>
  <si>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</si>
  <si>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</si>
  <si>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</si>
  <si>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</si>
  <si>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</si>
  <si>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</si>
  <si>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</si>
  <si>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</si>
  <si>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</si>
  <si>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</si>
  <si>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</si>
  <si>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</si>
  <si>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</si>
  <si>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</si>
  <si>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</si>
  <si>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</si>
  <si>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</si>
  <si>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</si>
  <si>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</si>
  <si>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</si>
  <si>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</si>
  <si>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</si>
  <si>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</si>
  <si>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</si>
  <si>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</si>
  <si>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</si>
  <si>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</si>
  <si>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</si>
  <si>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</si>
  <si>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</si>
  <si>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</si>
  <si>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</si>
  <si>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</si>
  <si>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</si>
  <si>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</si>
  <si>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</si>
  <si>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</si>
  <si>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</si>
  <si>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</si>
  <si>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</si>
  <si>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</si>
  <si>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</si>
  <si>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</si>
  <si>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</si>
  <si>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</si>
  <si>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</si>
  <si>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</si>
  <si>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</si>
  <si>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</si>
  <si>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</si>
  <si>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</si>
  <si>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</si>
  <si>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</si>
  <si>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</si>
  <si>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</si>
  <si>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</si>
  <si>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</si>
  <si>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</si>
  <si>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</si>
  <si>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</si>
  <si>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</si>
  <si>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</si>
  <si>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</si>
  <si>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</si>
  <si>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</si>
  <si>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</si>
  <si>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</si>
  <si>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</si>
  <si>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</si>
  <si>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</si>
  <si>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</si>
  <si>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</si>
  <si>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</si>
  <si>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</si>
  <si>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</si>
  <si>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</si>
  <si>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</si>
  <si>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</si>
  <si>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</si>
  <si>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</si>
  <si>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</si>
  <si>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</si>
  <si>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</si>
  <si>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</si>
  <si>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</si>
  <si>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</si>
  <si>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</si>
  <si>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</si>
  <si>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</si>
  <si>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</si>
  <si>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</si>
  <si>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</si>
  <si>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</si>
  <si>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</si>
  <si>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</si>
  <si>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</si>
  <si>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</si>
  <si>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</si>
  <si>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</si>
  <si>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</si>
  <si>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</si>
  <si>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</si>
  <si>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</si>
  <si>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</si>
  <si>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</si>
  <si>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</si>
  <si>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</si>
  <si>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</si>
  <si>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</si>
  <si>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</si>
  <si>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</si>
  <si>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</si>
  <si>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</si>
  <si>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</si>
  <si>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</si>
  <si>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</si>
  <si>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</si>
  <si>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</si>
  <si>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</si>
  <si>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</si>
  <si>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</si>
  <si>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</si>
  <si>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</si>
  <si>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</si>
  <si>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</si>
  <si>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</si>
  <si>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</si>
  <si>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</si>
  <si>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</si>
  <si>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</si>
  <si>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</si>
  <si>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</si>
  <si>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</si>
  <si>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</si>
  <si>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</si>
  <si>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</si>
  <si>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</si>
  <si>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</si>
  <si>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</si>
  <si>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</si>
  <si>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</si>
  <si>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</si>
  <si>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</si>
  <si>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</si>
  <si>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</si>
  <si>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</si>
  <si>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</si>
  <si>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</si>
  <si>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</si>
  <si>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</si>
  <si>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</si>
  <si>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</si>
  <si>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</si>
  <si>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</si>
  <si>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</si>
  <si>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</si>
  <si>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</si>
  <si>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</si>
  <si>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</si>
  <si>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</si>
  <si>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</si>
  <si>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</si>
  <si>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</si>
  <si>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</si>
  <si>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</si>
  <si>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</si>
  <si>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</si>
  <si>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</si>
  <si>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</si>
  <si>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</si>
  <si>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</si>
  <si>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</si>
  <si>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</si>
  <si>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</si>
  <si>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</si>
  <si>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</si>
  <si>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</si>
  <si>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</si>
  <si>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</si>
  <si>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</si>
  <si>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</si>
  <si>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</si>
  <si>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</si>
  <si>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</si>
  <si>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</si>
  <si>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</si>
  <si>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</si>
  <si>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</si>
  <si>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</si>
  <si>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</si>
  <si>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</si>
  <si>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</si>
  <si>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</si>
  <si>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</si>
  <si>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</si>
  <si>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</si>
  <si>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</si>
  <si>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</si>
  <si>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</si>
  <si>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</si>
  <si>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</si>
  <si>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</si>
  <si>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</si>
  <si>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</si>
  <si>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</si>
  <si>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</si>
  <si>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</si>
  <si>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</si>
  <si>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</si>
  <si>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</si>
  <si>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</si>
  <si>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</si>
  <si>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</si>
  <si>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</si>
  <si>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</si>
  <si>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</si>
  <si>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</si>
  <si>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</si>
  <si>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</si>
  <si>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</si>
  <si>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</si>
  <si>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</si>
  <si>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</si>
  <si>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</si>
  <si>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</si>
  <si>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</si>
  <si>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</si>
  <si>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</si>
  <si>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</si>
  <si>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</si>
  <si>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</si>
  <si>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</si>
  <si>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</si>
  <si>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</si>
  <si>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</si>
  <si>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</si>
  <si>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</si>
  <si>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</si>
  <si>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</si>
  <si>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</si>
  <si>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</si>
  <si>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</si>
  <si>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</si>
  <si>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</si>
  <si>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</si>
  <si>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</si>
  <si>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</si>
  <si>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</si>
  <si>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</si>
  <si>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</si>
  <si>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</si>
  <si>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</si>
  <si>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</si>
  <si>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</si>
  <si>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</si>
  <si>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</si>
  <si>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</si>
  <si>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</si>
  <si>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</si>
  <si>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</si>
  <si>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</si>
  <si>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</si>
  <si>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</si>
  <si>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</si>
  <si>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</si>
  <si>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</si>
  <si>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</si>
  <si>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</si>
  <si>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</si>
  <si>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</si>
  <si>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</si>
  <si>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</si>
  <si>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</si>
  <si>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</si>
  <si>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</si>
  <si>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</si>
  <si>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</si>
  <si>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</si>
  <si>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</si>
  <si>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</si>
  <si>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</si>
  <si>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</si>
  <si>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</si>
  <si>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</si>
  <si>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</si>
  <si>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</si>
  <si>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</si>
  <si>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</si>
  <si>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</si>
  <si>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</si>
  <si>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</si>
  <si>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</si>
  <si>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</si>
  <si>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</si>
  <si>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</si>
  <si>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</si>
  <si>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</si>
  <si>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</si>
  <si>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</si>
  <si>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</si>
  <si>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</si>
  <si>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</si>
  <si>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</si>
  <si>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</si>
  <si>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</si>
  <si>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</si>
  <si>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</si>
  <si>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</si>
  <si>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</si>
  <si>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</si>
  <si>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</si>
  <si>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</si>
  <si>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</si>
  <si>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</si>
  <si>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</si>
  <si>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</si>
  <si>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</si>
  <si>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</si>
  <si>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</si>
  <si>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</si>
  <si>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</si>
  <si>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</si>
  <si>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</si>
  <si>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</si>
  <si>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</si>
  <si>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</si>
  <si>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</si>
  <si>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</si>
  <si>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</si>
  <si>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</si>
  <si>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</si>
  <si>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</si>
  <si>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</si>
  <si>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</si>
  <si>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</si>
  <si>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</si>
  <si>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</si>
  <si>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</si>
  <si>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</si>
  <si>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</si>
  <si>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</si>
  <si>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</si>
  <si>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</si>
  <si>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</si>
  <si>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</si>
  <si>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</si>
  <si>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</si>
  <si>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</si>
  <si>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</si>
  <si>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</si>
  <si>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</si>
  <si>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</si>
  <si>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</si>
  <si>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</si>
  <si>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</si>
  <si>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</si>
  <si>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</si>
  <si>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</si>
  <si>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</si>
  <si>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</si>
  <si>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</si>
  <si>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</si>
  <si>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</si>
  <si>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</si>
  <si>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</si>
  <si>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</si>
  <si>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</si>
  <si>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</si>
  <si>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</si>
  <si>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</si>
  <si>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</si>
  <si>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</si>
  <si>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</si>
  <si>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</si>
  <si>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</si>
  <si>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</si>
  <si>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</si>
  <si>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</si>
  <si>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</si>
  <si>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</si>
  <si>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</si>
  <si>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</si>
  <si>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</si>
  <si>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</si>
  <si>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</si>
  <si>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</si>
  <si>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</si>
  <si>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</si>
  <si>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</si>
  <si>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</si>
  <si>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</si>
  <si>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</si>
  <si>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</si>
  <si>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</si>
  <si>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</si>
  <si>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</si>
  <si>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</si>
  <si>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</si>
  <si>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</si>
  <si>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</si>
  <si>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</si>
  <si>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</si>
  <si>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</si>
  <si>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</si>
  <si>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</si>
  <si>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</si>
  <si>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</si>
  <si>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</si>
  <si>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</si>
  <si>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</si>
  <si>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</si>
  <si>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</si>
  <si>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</si>
  <si>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</si>
  <si>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</si>
  <si>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</si>
  <si>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</si>
  <si>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</si>
  <si>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</si>
  <si>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</si>
  <si>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</si>
  <si>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</si>
  <si>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</si>
  <si>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</si>
  <si>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</si>
  <si>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</si>
  <si>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</si>
  <si>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</si>
  <si>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</si>
  <si>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</si>
  <si>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</si>
  <si>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</si>
  <si>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</si>
  <si>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</si>
  <si>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</si>
  <si>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</si>
  <si>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</si>
  <si>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</si>
  <si>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</si>
  <si>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</si>
  <si>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</si>
  <si>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</si>
  <si>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</si>
  <si>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</si>
  <si>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</si>
  <si>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</si>
  <si>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</si>
  <si>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</si>
  <si>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</si>
  <si>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</si>
  <si>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</si>
  <si>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</si>
  <si>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</si>
  <si>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</si>
  <si>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</si>
  <si>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</si>
  <si>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</si>
  <si>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</si>
  <si>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</si>
  <si>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</si>
  <si>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</si>
  <si>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</si>
  <si>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</si>
  <si>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</si>
  <si>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</si>
  <si>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</si>
  <si>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</si>
  <si>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</si>
  <si>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</si>
  <si>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</si>
  <si>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</si>
  <si>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</si>
  <si>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</si>
  <si>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</si>
  <si>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</si>
  <si>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</si>
  <si>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</si>
  <si>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</si>
  <si>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</si>
  <si>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</si>
  <si>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</si>
  <si>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</si>
  <si>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</si>
  <si>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</si>
  <si>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</si>
  <si>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</si>
  <si>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</si>
  <si>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</si>
  <si>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</si>
  <si>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</si>
  <si>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</si>
  <si>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</si>
  <si>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</si>
  <si>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</si>
  <si>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</si>
  <si>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</si>
  <si>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</si>
  <si>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</si>
  <si>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</si>
  <si>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</si>
  <si>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</si>
  <si>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</si>
  <si>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</si>
  <si>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</si>
  <si>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</si>
  <si>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</si>
  <si>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</si>
  <si>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</si>
  <si>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</si>
  <si>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</si>
  <si>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</si>
  <si>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</si>
  <si>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</si>
  <si>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</si>
  <si>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</si>
  <si>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</si>
  <si>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</si>
  <si>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</si>
  <si>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</si>
  <si>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</si>
  <si>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</si>
  <si>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</si>
  <si>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</si>
  <si>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</si>
  <si>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</si>
  <si>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</si>
  <si>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</si>
  <si>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</si>
  <si>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</si>
  <si>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</si>
  <si>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</si>
  <si>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</si>
  <si>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</si>
  <si>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</si>
  <si>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</si>
  <si>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</si>
  <si>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</si>
  <si>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</si>
  <si>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</si>
  <si>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</si>
  <si>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</si>
  <si>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</si>
  <si>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</si>
  <si>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</si>
  <si>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</si>
  <si>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</si>
  <si>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</si>
  <si>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</si>
  <si>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</si>
  <si>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</si>
  <si>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</si>
  <si>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</si>
  <si>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</si>
  <si>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</si>
  <si>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</si>
  <si>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</si>
  <si>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</si>
  <si>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</si>
  <si>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</si>
  <si>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</si>
  <si>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</si>
  <si>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</si>
  <si>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</si>
  <si>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</si>
  <si>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</si>
  <si>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</si>
  <si>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</si>
  <si>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</si>
  <si>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</si>
  <si>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</si>
  <si>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</si>
  <si>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</si>
  <si>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</si>
  <si>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</si>
  <si>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</si>
  <si>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</si>
  <si>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</si>
  <si>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</si>
  <si>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</si>
  <si>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</si>
  <si>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</si>
  <si>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</si>
  <si>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</si>
  <si>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</si>
  <si>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</si>
  <si>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</si>
  <si>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</si>
  <si>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</si>
  <si>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</si>
  <si>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</si>
  <si>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</si>
  <si>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</si>
  <si>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</si>
  <si>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</si>
  <si>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</si>
  <si>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</si>
  <si>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</si>
  <si>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</si>
  <si>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</si>
  <si>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</si>
  <si>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</si>
  <si>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</si>
  <si>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</si>
  <si>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</si>
  <si>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</si>
  <si>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</si>
  <si>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</si>
  <si>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</si>
  <si>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</si>
  <si>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</si>
  <si>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</si>
  <si>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</si>
  <si>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</si>
  <si>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</si>
  <si>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</si>
  <si>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</si>
  <si>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</si>
  <si>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</si>
  <si>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</si>
  <si>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</si>
  <si>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</si>
  <si>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</si>
  <si>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</si>
  <si>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</si>
  <si>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</si>
  <si>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</si>
  <si>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</si>
  <si>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</si>
  <si>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</si>
  <si>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</si>
  <si>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</si>
  <si>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</si>
  <si>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</si>
  <si>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</si>
  <si>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</si>
  <si>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</si>
  <si>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</si>
  <si>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</si>
  <si>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</si>
  <si>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</si>
  <si>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</si>
  <si>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</si>
  <si>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</si>
  <si>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</si>
  <si>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</si>
  <si>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</si>
  <si>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</si>
  <si>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</si>
  <si>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</si>
  <si>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</si>
  <si>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</si>
  <si>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</si>
  <si>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</si>
  <si>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</si>
  <si>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</si>
  <si>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</si>
  <si>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</si>
  <si>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</si>
  <si>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</si>
  <si>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</si>
  <si>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</si>
  <si>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</si>
  <si>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</si>
  <si>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</si>
  <si>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</si>
  <si>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</si>
  <si>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</si>
  <si>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</si>
  <si>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</si>
  <si>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</si>
  <si>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</si>
  <si>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</si>
  <si>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</si>
  <si>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</si>
  <si>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</si>
  <si>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</si>
  <si>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</si>
  <si>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</si>
  <si>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</si>
  <si>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</si>
  <si>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</si>
  <si>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</si>
  <si>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</si>
  <si>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</si>
  <si>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</si>
  <si>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</si>
  <si>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</si>
  <si>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</si>
  <si>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</si>
  <si>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</si>
  <si>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</si>
  <si>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</si>
  <si>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</si>
  <si>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</si>
  <si>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</si>
  <si>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</si>
  <si>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</si>
  <si>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</si>
  <si>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</si>
  <si>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</si>
  <si>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</si>
  <si>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</si>
  <si>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</si>
  <si>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</si>
  <si>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</si>
  <si>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</si>
  <si>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</si>
  <si>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</si>
  <si>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</si>
  <si>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</si>
  <si>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</si>
  <si>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</si>
  <si>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</si>
  <si>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</si>
  <si>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</si>
  <si>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</si>
  <si>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</si>
  <si>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</si>
  <si>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</si>
  <si>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</si>
  <si>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</si>
  <si>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</si>
  <si>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</si>
  <si>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</si>
  <si>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</si>
  <si>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</si>
  <si>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</si>
  <si>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</si>
  <si>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</si>
  <si>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</si>
  <si>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</si>
  <si>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</si>
  <si>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</si>
  <si>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</si>
  <si>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</si>
  <si>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</si>
  <si>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</si>
  <si>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</si>
  <si>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</si>
  <si>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</si>
  <si>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</si>
  <si>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</si>
  <si>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</si>
  <si>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</si>
  <si>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</si>
  <si>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</si>
  <si>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</si>
  <si>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</si>
  <si>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</si>
  <si>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</si>
  <si>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</si>
  <si>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</si>
  <si>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</si>
  <si>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</si>
  <si>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</si>
  <si>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</si>
  <si>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</si>
  <si>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</si>
  <si>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</si>
  <si>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</si>
  <si>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</si>
  <si>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</si>
  <si>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</si>
  <si>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</si>
  <si>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</si>
  <si>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</si>
  <si>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</si>
  <si>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</si>
  <si>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</si>
  <si>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</si>
  <si>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</si>
  <si>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</si>
  <si>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</si>
  <si>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</si>
  <si>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</si>
  <si>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</si>
  <si>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</si>
  <si>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</si>
  <si>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</si>
  <si>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</si>
  <si>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</si>
  <si>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</si>
  <si>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</si>
  <si>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</si>
  <si>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</si>
  <si>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</si>
  <si>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</si>
  <si>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</si>
  <si>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</si>
  <si>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</si>
  <si>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</si>
  <si>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</si>
  <si>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</si>
  <si>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</si>
  <si>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</si>
  <si>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</si>
  <si>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</si>
  <si>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</si>
  <si>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</si>
  <si>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</si>
  <si>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</si>
  <si>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</si>
  <si>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</si>
  <si>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</si>
  <si>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</si>
  <si>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</si>
  <si>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</si>
  <si>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</si>
  <si>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</si>
  <si>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</si>
  <si>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</si>
  <si>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</si>
  <si>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</si>
  <si>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</si>
  <si>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</si>
  <si>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</si>
  <si>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</si>
  <si>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</si>
  <si>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</si>
  <si>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</si>
  <si>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</si>
  <si>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</si>
  <si>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</si>
  <si>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</si>
  <si>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</si>
  <si>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</si>
  <si>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</si>
  <si>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</si>
  <si>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</si>
  <si>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</si>
  <si>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</si>
  <si>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</si>
  <si>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</si>
  <si>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</si>
  <si>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</si>
  <si>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</si>
  <si>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</si>
  <si>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</si>
  <si>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</si>
  <si>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</si>
  <si>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</si>
  <si>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</si>
  <si>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</si>
  <si>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</si>
  <si>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</si>
  <si>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</si>
  <si>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</si>
  <si>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</si>
  <si>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</si>
  <si>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</si>
  <si>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</si>
  <si>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</si>
  <si>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</si>
  <si>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</si>
  <si>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</si>
  <si>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</si>
  <si>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</si>
  <si>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</si>
  <si>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</si>
  <si>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</si>
  <si>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</si>
  <si>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</si>
  <si>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</si>
  <si>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</si>
  <si>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</si>
  <si>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</si>
  <si>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</si>
  <si>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</si>
  <si>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</si>
  <si>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</si>
  <si>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</si>
  <si>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</si>
  <si>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</si>
  <si>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</si>
  <si>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</si>
  <si>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</si>
  <si>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</si>
  <si>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</si>
  <si>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</si>
  <si>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</si>
  <si>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</si>
  <si>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</si>
  <si>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</si>
  <si>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</si>
  <si>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</si>
  <si>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</si>
  <si>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</si>
  <si>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</si>
  <si>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</si>
  <si>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</si>
  <si>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</si>
  <si>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</si>
  <si>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</si>
  <si>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</si>
  <si>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</si>
  <si>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</si>
  <si>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</si>
  <si>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</si>
  <si>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</si>
  <si>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</si>
  <si>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</si>
  <si>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</si>
  <si>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</si>
  <si>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</si>
  <si>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</si>
  <si>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</si>
  <si>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</si>
  <si>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</si>
  <si>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</si>
  <si>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</si>
  <si>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</si>
  <si>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</si>
  <si>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</si>
  <si>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</si>
  <si>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</si>
  <si>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</si>
  <si>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</si>
  <si>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</si>
  <si>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</si>
  <si>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</si>
  <si>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</si>
  <si>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</si>
  <si>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</si>
  <si>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</si>
  <si>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</si>
  <si>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</si>
  <si>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</si>
  <si>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</si>
  <si>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</si>
  <si>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</si>
  <si>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</si>
  <si>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</si>
  <si>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</si>
  <si>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</si>
  <si>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</si>
  <si>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</si>
  <si>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</si>
  <si>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</si>
  <si>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</si>
  <si>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</si>
  <si>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</si>
  <si>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</si>
  <si>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</si>
  <si>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</si>
  <si>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</si>
  <si>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</si>
  <si>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</si>
  <si>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</si>
  <si>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</si>
  <si>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</si>
  <si>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</si>
  <si>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</si>
  <si>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</si>
  <si>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</si>
  <si>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</si>
  <si>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</si>
  <si>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</si>
  <si>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</si>
  <si>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</si>
  <si>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</si>
  <si>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</si>
  <si>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</si>
  <si>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</si>
  <si>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</si>
  <si>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</si>
  <si>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</si>
  <si>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</si>
  <si>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</si>
  <si>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</si>
  <si>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</si>
  <si>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</si>
  <si>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</si>
  <si>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</si>
  <si>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</si>
  <si>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</si>
  <si>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</si>
  <si>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</si>
  <si>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</si>
  <si>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</si>
  <si>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</si>
  <si>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</si>
  <si>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</si>
  <si>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</si>
  <si>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</si>
  <si>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</si>
  <si>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</si>
  <si>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</si>
  <si>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</si>
  <si>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</si>
  <si>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</si>
  <si>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</si>
  <si>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</si>
  <si>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</si>
  <si>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</si>
  <si>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</si>
  <si>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</si>
  <si>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</si>
  <si>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</si>
  <si>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</si>
  <si>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</si>
  <si>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</si>
  <si>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</si>
  <si>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</si>
  <si>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</si>
  <si>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</si>
  <si>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</si>
  <si>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</si>
  <si>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</si>
  <si>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</si>
  <si>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</si>
  <si>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</si>
  <si>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</si>
  <si>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</si>
  <si>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</si>
  <si>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</si>
  <si>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</si>
  <si>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</si>
  <si>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</si>
  <si>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</si>
  <si>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</si>
  <si>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</si>
  <si>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</si>
  <si>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</si>
  <si>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</si>
  <si>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</si>
  <si>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</si>
  <si>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</si>
  <si>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</si>
  <si>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</si>
  <si>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</si>
  <si>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</si>
  <si>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</si>
  <si>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</si>
  <si>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</si>
  <si>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</si>
  <si>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</si>
  <si>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</si>
  <si>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</si>
  <si>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</si>
  <si>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</si>
  <si>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</si>
  <si>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</si>
  <si>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</si>
  <si>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</si>
  <si>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</si>
  <si>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</si>
  <si>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</si>
  <si>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</si>
  <si>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</si>
  <si>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</si>
  <si>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</si>
  <si>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</si>
  <si>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</si>
  <si>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</si>
  <si>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</si>
  <si>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</si>
  <si>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</si>
  <si>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</si>
  <si>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</si>
  <si>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</si>
  <si>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</si>
  <si>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</si>
  <si>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</si>
  <si>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</si>
  <si>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</si>
  <si>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</si>
  <si>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</si>
  <si>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</si>
  <si>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</si>
  <si>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</si>
  <si>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</si>
  <si>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</si>
  <si>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</si>
  <si>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</si>
  <si>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</si>
  <si>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</si>
  <si>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</si>
  <si>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</si>
  <si>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</si>
  <si>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</si>
  <si>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</si>
  <si>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</si>
  <si>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</si>
  <si>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</si>
  <si>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</si>
  <si>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</si>
  <si>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</si>
  <si>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</si>
  <si>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</si>
  <si>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</si>
  <si>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</si>
  <si>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</si>
  <si>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</si>
  <si>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</si>
  <si>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</si>
  <si>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</si>
  <si>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</si>
  <si>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</si>
  <si>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</si>
  <si>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</si>
  <si>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</si>
  <si>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</si>
  <si>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</si>
  <si>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</si>
  <si>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</si>
  <si>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</si>
  <si>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</si>
  <si>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</si>
  <si>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</si>
  <si>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</si>
  <si>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</si>
  <si>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</si>
  <si>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</si>
  <si>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</si>
  <si>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</si>
  <si>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</si>
  <si>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</si>
  <si>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</si>
  <si>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</si>
  <si>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</si>
  <si>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</si>
  <si>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</si>
  <si>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</si>
  <si>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</si>
  <si>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</si>
  <si>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</si>
  <si>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</si>
  <si>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</si>
  <si>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</si>
  <si>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</si>
  <si>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</si>
  <si>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</si>
  <si>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</si>
  <si>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</si>
  <si>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</si>
  <si>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</si>
  <si>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</si>
  <si>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</si>
  <si>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</si>
  <si>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</si>
  <si>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</si>
  <si>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</si>
  <si>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</si>
  <si>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</si>
  <si>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</si>
  <si>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</si>
  <si>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</si>
  <si>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</si>
  <si>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</si>
  <si>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</si>
  <si>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</si>
  <si>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</si>
  <si>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</si>
  <si>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</si>
  <si>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</si>
  <si>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</si>
  <si>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</si>
  <si>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</si>
  <si>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</si>
  <si>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</si>
  <si>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</si>
  <si>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</si>
  <si>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</si>
  <si>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</si>
  <si>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</si>
  <si>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</si>
  <si>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</si>
  <si>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</si>
  <si>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</si>
  <si>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</si>
  <si>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</si>
  <si>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</si>
  <si>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</si>
  <si>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</si>
  <si>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</si>
  <si>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</si>
  <si>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</si>
  <si>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</si>
  <si>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</si>
  <si>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</si>
  <si>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</si>
  <si>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</si>
  <si>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</si>
  <si>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</si>
  <si>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</si>
  <si>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</si>
  <si>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</si>
  <si>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</si>
  <si>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</si>
  <si>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</si>
  <si>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</si>
  <si>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</si>
  <si>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</si>
  <si>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</si>
  <si>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</si>
  <si>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</si>
  <si>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</si>
  <si>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</si>
  <si>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</si>
  <si>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</si>
  <si>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</si>
  <si>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</si>
  <si>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</si>
  <si>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</si>
  <si>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</si>
  <si>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</si>
  <si>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</si>
  <si>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</si>
  <si>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</si>
  <si>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</si>
  <si>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</si>
  <si>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</si>
  <si>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</si>
  <si>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</si>
  <si>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</si>
  <si>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</si>
  <si>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</si>
  <si>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</si>
  <si>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</si>
  <si>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</si>
  <si>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</si>
  <si>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</si>
  <si>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</si>
  <si>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</si>
  <si>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</si>
  <si>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</si>
  <si>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</si>
  <si>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</si>
  <si>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</si>
  <si>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</si>
  <si>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</si>
  <si>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</si>
  <si>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</si>
  <si>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</si>
  <si>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</si>
  <si>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</si>
  <si>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</si>
  <si>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</si>
  <si>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</si>
  <si>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</si>
  <si>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</si>
  <si>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</si>
  <si>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</si>
  <si>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</si>
  <si>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</si>
  <si>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</si>
  <si>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</si>
  <si>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</si>
  <si>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</si>
  <si>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</si>
  <si>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</si>
  <si>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</si>
  <si>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</si>
  <si>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</si>
  <si>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</si>
  <si>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</si>
  <si>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</si>
  <si>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</si>
  <si>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</si>
  <si>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</si>
  <si>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</si>
  <si>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</si>
  <si>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</si>
  <si>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</si>
  <si>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</si>
  <si>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</si>
  <si>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</si>
  <si>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</si>
  <si>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</si>
  <si>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</si>
  <si>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</si>
  <si>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</si>
  <si>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</si>
  <si>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</si>
  <si>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</si>
  <si>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</si>
  <si>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</si>
  <si>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</si>
  <si>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</si>
  <si>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</si>
  <si>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</si>
  <si>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</si>
  <si>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</si>
  <si>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</si>
  <si>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</si>
  <si>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</si>
  <si>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</si>
  <si>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</si>
  <si>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</si>
  <si>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</si>
  <si>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</si>
  <si>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</si>
  <si>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</si>
  <si>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</si>
  <si>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</si>
  <si>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</si>
  <si>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</si>
  <si>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</si>
  <si>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</si>
  <si>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</si>
  <si>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</si>
  <si>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</si>
  <si>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</si>
  <si>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</si>
  <si>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</si>
  <si>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</si>
  <si>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</si>
  <si>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</si>
  <si>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</si>
  <si>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</si>
  <si>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</si>
  <si>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</si>
  <si>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</si>
  <si>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</si>
  <si>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</si>
  <si>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</si>
  <si>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</si>
  <si>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</si>
  <si>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</si>
  <si>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</si>
  <si>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</si>
  <si>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</si>
  <si>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</si>
  <si>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</si>
  <si>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</si>
  <si>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</si>
  <si>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</si>
  <si>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</si>
  <si>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</si>
  <si>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</si>
  <si>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</si>
  <si>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</si>
  <si>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</si>
  <si>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</si>
  <si>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</si>
  <si>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</si>
  <si>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</si>
  <si>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</si>
  <si>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</si>
  <si>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</si>
  <si>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</si>
  <si>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</si>
  <si>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</si>
  <si>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</si>
  <si>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</si>
  <si>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</si>
  <si>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</si>
  <si>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</si>
  <si>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</si>
  <si>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</si>
  <si>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</si>
  <si>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</si>
  <si>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</si>
  <si>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</si>
  <si>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</si>
  <si>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</si>
  <si>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</si>
  <si>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</si>
  <si>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</si>
  <si>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</si>
  <si>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</si>
  <si>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</si>
  <si>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</si>
  <si>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</si>
  <si>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</si>
  <si>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</si>
  <si>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</si>
  <si>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</si>
  <si>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</si>
  <si>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</si>
  <si>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</si>
  <si>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</si>
  <si>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</si>
  <si>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</si>
  <si>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</si>
  <si>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</si>
  <si>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</si>
  <si>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</si>
  <si>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</si>
  <si>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</si>
  <si>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</si>
  <si>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</si>
  <si>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</si>
  <si>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</si>
  <si>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</si>
  <si>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</si>
  <si>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</si>
  <si>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</si>
  <si>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</si>
  <si>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</si>
  <si>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</si>
  <si>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</si>
  <si>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</si>
  <si>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</si>
  <si>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</si>
  <si>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</si>
  <si>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</si>
  <si>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</si>
  <si>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</si>
  <si>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</si>
  <si>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</si>
  <si>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</si>
  <si>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</si>
  <si>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</si>
  <si>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</si>
  <si>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</si>
  <si>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</si>
  <si>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</si>
  <si>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</si>
  <si>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</si>
  <si>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</si>
  <si>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</si>
  <si>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</si>
  <si>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</si>
  <si>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</si>
  <si>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</si>
  <si>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</si>
  <si>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</si>
  <si>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</si>
  <si>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</si>
  <si>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</si>
  <si>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</si>
  <si>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</si>
  <si>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</si>
  <si>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</si>
  <si>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</si>
  <si>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</si>
  <si>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</si>
  <si>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</si>
  <si>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</si>
  <si>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</si>
  <si>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</si>
  <si>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</si>
  <si>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</si>
  <si>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</si>
  <si>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</si>
  <si>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</si>
  <si>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</si>
  <si>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</si>
  <si>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</si>
  <si>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</si>
  <si>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</si>
  <si>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</si>
  <si>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</si>
  <si>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</si>
  <si>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</si>
  <si>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</si>
  <si>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</si>
  <si>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</si>
  <si>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</si>
  <si>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</si>
  <si>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</si>
  <si>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</si>
  <si>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</si>
  <si>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</si>
  <si>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</si>
  <si>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</si>
  <si>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</si>
  <si>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</si>
  <si>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</si>
  <si>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</si>
  <si>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</si>
  <si>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</si>
  <si>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</si>
  <si>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</si>
  <si>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</si>
  <si>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</si>
  <si>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</si>
  <si>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</si>
  <si>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</si>
  <si>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</si>
  <si>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</si>
  <si>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</si>
  <si>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</si>
  <si>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</si>
  <si>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</si>
  <si>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</si>
  <si>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</si>
  <si>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</si>
  <si>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</si>
  <si>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</si>
  <si>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</si>
  <si>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</si>
  <si>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</si>
  <si>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</si>
  <si>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</si>
  <si>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</si>
  <si>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</si>
  <si>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</si>
  <si>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</si>
  <si>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</si>
  <si>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</si>
  <si>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</si>
  <si>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</si>
  <si>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</si>
  <si>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</si>
  <si>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</si>
  <si>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</si>
  <si>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</si>
  <si>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</si>
  <si>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</si>
  <si>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</si>
  <si>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</si>
  <si>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</si>
  <si>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</si>
  <si>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</si>
  <si>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</si>
  <si>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</si>
  <si>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</si>
  <si>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</si>
  <si>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</si>
  <si>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</si>
  <si>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</si>
  <si>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</si>
  <si>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</si>
  <si>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</si>
  <si>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</si>
  <si>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</si>
  <si>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</si>
  <si>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</si>
  <si>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</si>
  <si>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</si>
  <si>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</si>
  <si>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</si>
  <si>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</si>
  <si>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</si>
  <si>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</si>
  <si>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</si>
  <si>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</si>
  <si>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</si>
  <si>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</si>
  <si>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</si>
  <si>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</si>
  <si>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</si>
  <si>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</si>
  <si>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</si>
  <si>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</si>
  <si>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</si>
  <si>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</si>
  <si>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</si>
  <si>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</si>
  <si>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</si>
  <si>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</si>
  <si>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</si>
  <si>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</si>
  <si>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</si>
  <si>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</si>
  <si>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</si>
  <si>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</si>
  <si>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</si>
  <si>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</si>
  <si>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</si>
  <si>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</si>
  <si>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</si>
  <si>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</si>
  <si>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</si>
  <si>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</si>
  <si>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</si>
  <si>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</si>
  <si>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</si>
  <si>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</si>
  <si>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</si>
  <si>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</si>
  <si>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</si>
  <si>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</si>
  <si>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</si>
  <si>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</si>
  <si>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</si>
  <si>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</si>
  <si>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</si>
  <si>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</si>
  <si>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</si>
  <si>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</si>
  <si>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</si>
  <si>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</si>
  <si>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</si>
  <si>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</si>
  <si>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</si>
  <si>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</si>
  <si>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</si>
  <si>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</si>
  <si>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</si>
  <si>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</si>
  <si>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</si>
  <si>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</si>
  <si>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</si>
  <si>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</si>
  <si>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</si>
  <si>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</si>
  <si>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</si>
  <si>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</si>
  <si>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</si>
  <si>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</si>
  <si>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</si>
  <si>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</si>
  <si>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</si>
  <si>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</si>
  <si>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</si>
  <si>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</si>
  <si>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</si>
  <si>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</si>
  <si>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</si>
  <si>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</si>
  <si>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</si>
  <si>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</si>
  <si>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</si>
  <si>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</si>
  <si>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</si>
  <si>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</si>
  <si>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</si>
  <si>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</si>
  <si>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</si>
  <si>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</si>
  <si>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</si>
  <si>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</si>
  <si>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</si>
  <si>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</si>
  <si>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</si>
  <si>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</si>
  <si>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</si>
  <si>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</si>
  <si>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</si>
  <si>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</si>
  <si>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</si>
  <si>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</si>
  <si>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</si>
  <si>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</si>
  <si>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</si>
  <si>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</si>
  <si>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</si>
  <si>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</si>
  <si>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</si>
  <si>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</si>
  <si>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</si>
  <si>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</si>
  <si>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</si>
  <si>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</si>
  <si>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</si>
  <si>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</si>
  <si>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</si>
  <si>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</si>
  <si>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</si>
  <si>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</si>
  <si>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</si>
  <si>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</si>
  <si>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</si>
  <si>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</si>
  <si>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</si>
  <si>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</si>
  <si>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</si>
  <si>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</si>
  <si>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</si>
  <si>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</si>
  <si>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</si>
  <si>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</si>
  <si>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</si>
  <si>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</si>
  <si>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</si>
  <si>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</si>
  <si>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</si>
  <si>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</si>
  <si>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</si>
  <si>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</si>
  <si>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</si>
  <si>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</si>
  <si>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</si>
  <si>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</si>
  <si>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</si>
  <si>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</si>
  <si>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</si>
  <si>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</si>
  <si>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</si>
  <si>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</si>
  <si>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</si>
  <si>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</si>
  <si>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</si>
  <si>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</si>
  <si>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</si>
  <si>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</si>
  <si>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</si>
  <si>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</si>
  <si>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</si>
  <si>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</si>
  <si>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</si>
  <si>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</si>
  <si>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</si>
  <si>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</si>
  <si>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</si>
  <si>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</si>
  <si>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</si>
  <si>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</si>
  <si>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</si>
  <si>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</si>
  <si>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</si>
  <si>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</si>
  <si>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</si>
  <si>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</si>
  <si>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</si>
  <si>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</si>
  <si>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</si>
  <si>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</si>
  <si>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</si>
  <si>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</si>
  <si>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</si>
  <si>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</si>
  <si>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</si>
  <si>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包含耗用物品以及原材料等，以年总收入为基数计算</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</si>
  <si>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</si>
  <si>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</si>
  <si>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</si>
  <si>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</si>
  <si>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</si>
  <si>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</si>
  <si>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</si>
  <si>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</si>
  <si>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</si>
  <si>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</si>
  <si>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</si>
  <si>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</si>
  <si>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</si>
  <si>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</si>
  <si>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</si>
  <si>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</si>
  <si>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</si>
  <si>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</si>
  <si>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</si>
  <si>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</si>
  <si>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</si>
  <si>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</si>
  <si>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</si>
  <si>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</si>
  <si>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</si>
  <si>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</si>
  <si>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</si>
  <si>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</si>
  <si>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</si>
  <si>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</si>
  <si>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</si>
  <si>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</si>
  <si>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</si>
  <si>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</si>
  <si>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</si>
  <si>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</si>
  <si>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</si>
  <si>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</si>
  <si>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</si>
  <si>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</si>
  <si>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</si>
  <si>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</si>
  <si>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</si>
  <si>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</si>
  <si>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</si>
  <si>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</si>
  <si>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</si>
  <si>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</si>
  <si>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</si>
  <si>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</si>
  <si>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</si>
  <si>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</si>
  <si>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</si>
  <si>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</si>
  <si>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</si>
  <si>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</si>
  <si>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</si>
  <si>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</si>
  <si>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</si>
  <si>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</si>
  <si>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</si>
  <si>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</si>
  <si>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</si>
  <si>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</si>
  <si>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</si>
  <si>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</si>
  <si>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</si>
  <si>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</si>
  <si>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</si>
  <si>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</si>
  <si>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</si>
  <si>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</si>
  <si>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</si>
  <si>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</si>
  <si>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</si>
  <si>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</si>
  <si>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</si>
  <si>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</si>
  <si>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</si>
  <si>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</si>
  <si>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</si>
  <si>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</si>
  <si>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</si>
  <si>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</si>
  <si>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</si>
  <si>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</si>
  <si>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</si>
  <si>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</si>
  <si>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</si>
  <si>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</si>
  <si>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</si>
  <si>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</si>
  <si>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</si>
  <si>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</si>
  <si>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</si>
  <si>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</si>
  <si>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</si>
  <si>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</si>
  <si>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</si>
  <si>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</si>
  <si>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</si>
  <si>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</si>
  <si>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</si>
  <si>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</si>
  <si>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</si>
  <si>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</si>
  <si>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</si>
  <si>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</si>
  <si>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</si>
  <si>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</si>
  <si>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</si>
  <si>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</si>
  <si>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</si>
  <si>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</si>
  <si>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</si>
  <si>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</si>
  <si>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</si>
  <si>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</si>
  <si>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</si>
  <si>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</si>
  <si>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</si>
  <si>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</si>
  <si>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</si>
  <si>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</si>
  <si>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</si>
  <si>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</si>
  <si>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</si>
  <si>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</si>
  <si>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</si>
  <si>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</si>
  <si>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</si>
  <si>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</si>
  <si>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</si>
  <si>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</si>
  <si>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</si>
  <si>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</si>
  <si>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</si>
  <si>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</si>
  <si>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</si>
  <si>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</si>
  <si>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</si>
  <si>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</si>
  <si>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</si>
  <si>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</si>
  <si>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</si>
  <si>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</si>
  <si>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</si>
  <si>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</si>
  <si>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</si>
  <si>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</si>
  <si>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</si>
  <si>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</si>
  <si>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</si>
  <si>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</si>
  <si>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</si>
  <si>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</si>
  <si>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</si>
  <si>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</si>
  <si>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</si>
  <si>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</si>
  <si>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</si>
  <si>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</si>
  <si>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</si>
  <si>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</si>
  <si>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</si>
  <si>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</si>
  <si>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</si>
  <si>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</si>
  <si>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</si>
  <si>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</si>
  <si>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</si>
  <si>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</si>
  <si>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</si>
  <si>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</si>
  <si>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</si>
  <si>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</si>
  <si>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</si>
  <si>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</si>
  <si>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</si>
  <si>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</si>
  <si>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</si>
  <si>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</si>
  <si>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</si>
  <si>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</si>
  <si>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</si>
  <si>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</si>
  <si>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</si>
  <si>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</si>
  <si>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</si>
  <si>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</si>
  <si>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</si>
  <si>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</si>
  <si>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</si>
  <si>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</si>
  <si>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</si>
  <si>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</si>
  <si>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</si>
  <si>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</si>
  <si>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</si>
  <si>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</si>
  <si>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</si>
  <si>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</si>
  <si>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</si>
  <si>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</si>
  <si>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</si>
  <si>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</si>
  <si>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</si>
  <si>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</si>
  <si>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</si>
  <si>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</si>
  <si>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</si>
  <si>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</si>
  <si>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</si>
  <si>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</si>
  <si>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</si>
  <si>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</si>
  <si>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</si>
  <si>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</si>
  <si>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</si>
  <si>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</si>
  <si>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</si>
  <si>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</si>
  <si>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</si>
  <si>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</si>
  <si>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</si>
  <si>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</si>
  <si>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</si>
  <si>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</si>
  <si>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</si>
  <si>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</si>
  <si>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</si>
  <si>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</si>
  <si>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</si>
  <si>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</si>
  <si>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</si>
  <si>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</si>
  <si>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</si>
  <si>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</si>
  <si>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</si>
  <si>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</si>
  <si>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</si>
  <si>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</si>
  <si>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</si>
  <si>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</si>
  <si>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</si>
  <si>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</si>
  <si>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</si>
  <si>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</si>
  <si>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</si>
  <si>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</si>
  <si>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</si>
  <si>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</si>
  <si>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</si>
  <si>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</si>
  <si>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</si>
  <si>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</si>
  <si>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</si>
  <si>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</si>
  <si>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</si>
  <si>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</si>
  <si>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</si>
  <si>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</si>
  <si>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</si>
  <si>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</si>
  <si>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</si>
  <si>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</si>
  <si>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</si>
  <si>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</si>
  <si>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</si>
  <si>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</si>
  <si>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</si>
  <si>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</si>
  <si>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</si>
  <si>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</si>
  <si>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</si>
  <si>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</si>
  <si>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</si>
  <si>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</si>
  <si>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</si>
  <si>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</si>
  <si>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</si>
  <si>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</si>
  <si>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</si>
  <si>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</si>
  <si>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</si>
  <si>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</si>
  <si>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</si>
  <si>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</si>
  <si>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</si>
  <si>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</si>
  <si>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</si>
  <si>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</si>
  <si>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</si>
  <si>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</si>
  <si>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</si>
  <si>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</si>
  <si>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</si>
  <si>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</si>
  <si>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</si>
  <si>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</si>
  <si>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</si>
  <si>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</si>
  <si>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</si>
  <si>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</si>
  <si>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</si>
  <si>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</si>
  <si>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</si>
  <si>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</si>
  <si>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</si>
  <si>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</si>
  <si>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</si>
  <si>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</si>
  <si>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</si>
  <si>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</si>
  <si>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</si>
  <si>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</si>
  <si>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</si>
  <si>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</si>
  <si>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</si>
  <si>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</si>
  <si>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</si>
  <si>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</si>
  <si>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</si>
  <si>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</si>
  <si>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</si>
  <si>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</si>
  <si>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</si>
  <si>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</si>
  <si>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</si>
  <si>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</si>
  <si>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</si>
  <si>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</si>
  <si>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</si>
  <si>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</si>
  <si>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</si>
  <si>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</si>
  <si>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</si>
  <si>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</si>
  <si>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</si>
  <si>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</si>
  <si>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</si>
  <si>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</si>
  <si>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</si>
  <si>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</si>
  <si>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</si>
  <si>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</si>
  <si>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</si>
  <si>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</si>
  <si>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</si>
  <si>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</si>
  <si>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</si>
  <si>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</si>
  <si>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</si>
  <si>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</si>
  <si>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</si>
  <si>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</si>
  <si>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</si>
  <si>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</si>
  <si>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</si>
  <si>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</si>
  <si>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</si>
  <si>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</si>
  <si>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</si>
  <si>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</si>
  <si>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</si>
  <si>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</si>
  <si>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</si>
  <si>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</si>
  <si>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</si>
  <si>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</si>
  <si>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</si>
  <si>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</si>
  <si>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</si>
  <si>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</si>
  <si>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</si>
  <si>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</si>
  <si>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</si>
  <si>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</si>
  <si>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</si>
  <si>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</si>
  <si>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</si>
  <si>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</si>
  <si>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</si>
  <si>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</si>
  <si>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</si>
  <si>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</si>
  <si>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</si>
  <si>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</si>
  <si>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</si>
  <si>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</si>
  <si>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</si>
  <si>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</si>
  <si>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</si>
  <si>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</si>
  <si>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</si>
  <si>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</si>
  <si>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</si>
  <si>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</si>
  <si>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</si>
  <si>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</si>
  <si>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</si>
  <si>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</si>
  <si>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</si>
  <si>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</si>
  <si>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</si>
  <si>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</si>
  <si>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</si>
  <si>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</si>
  <si>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</si>
  <si>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</si>
  <si>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</si>
  <si>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</si>
  <si>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</si>
  <si>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</si>
  <si>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</si>
  <si>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</si>
  <si>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</si>
  <si>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</si>
  <si>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</si>
  <si>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</si>
  <si>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</si>
  <si>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</si>
  <si>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</si>
  <si>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</si>
  <si>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</si>
  <si>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</si>
  <si>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</si>
  <si>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</si>
  <si>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</si>
  <si>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</si>
  <si>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</si>
  <si>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</si>
  <si>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</si>
  <si>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</si>
  <si>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</si>
  <si>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</si>
  <si>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</si>
  <si>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</si>
  <si>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</si>
  <si>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</si>
  <si>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</si>
  <si>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</si>
  <si>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</si>
  <si>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</si>
  <si>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</si>
  <si>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</si>
  <si>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</si>
  <si>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</si>
  <si>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</si>
  <si>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</si>
  <si>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</si>
  <si>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</si>
  <si>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</si>
  <si>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</si>
  <si>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</si>
  <si>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</si>
  <si>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</si>
  <si>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</si>
  <si>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</si>
  <si>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</si>
  <si>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</si>
  <si>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</si>
  <si>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</si>
  <si>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</si>
  <si>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</si>
  <si>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</si>
  <si>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</si>
  <si>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</si>
  <si>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</si>
  <si>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</si>
  <si>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</si>
  <si>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</si>
  <si>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</si>
  <si>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</si>
  <si>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</si>
  <si>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</si>
  <si>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</si>
  <si>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r>
      <t>精勤路以西，临渭路以南，求学路以东，学森一路以北</t>
    </r>
    <r>
      <rPr>
        <sz val="12"/>
        <color rgb="FF444444"/>
        <rFont val="Verdana"/>
        <family val="2"/>
      </rPr>
      <t>(陕西省西安市西咸新区</t>
    </r>
  </si>
  <si>
    <t>0星</t>
  </si>
  <si>
    <t>西安统筹科技发展有限公司</t>
  </si>
  <si>
    <t>2013-05-23</t>
  </si>
  <si>
    <t>挂牌</t>
  </si>
  <si>
    <t>≥1.5、≤2</t>
  </si>
  <si>
    <t>其它用地</t>
  </si>
  <si>
    <t>西安市</t>
  </si>
  <si>
    <t>沣东新城科源南路以北、科源一路以西、科源二路以东</t>
  </si>
  <si>
    <t>核工业二〇三研究所</t>
  </si>
  <si>
    <t>2013-08-15</t>
  </si>
  <si>
    <t>≥2.5、≤3</t>
  </si>
  <si>
    <t>沣东新城科源二路以东</t>
  </si>
  <si>
    <t>西安博大电炉有限公司</t>
  </si>
  <si>
    <t>≥1.2、≤1.5</t>
  </si>
  <si>
    <t>沣东新城阿房路以西、大庆路以北</t>
  </si>
  <si>
    <t>西安沣东发展集团有限公司</t>
  </si>
  <si>
    <t>2013-09-30</t>
  </si>
  <si>
    <t>≥0.7、≤0.8</t>
  </si>
  <si>
    <t>沣东新城红光大道以北、科源路以西</t>
  </si>
  <si>
    <t>陕西公路交通科技开发咨询公司</t>
  </si>
  <si>
    <t>2013-11-15</t>
  </si>
  <si>
    <t>沣东新城科源二路以西、规划路以北</t>
  </si>
  <si>
    <t>西安麦克传感器有限公司</t>
  </si>
  <si>
    <t>2013-11-29</t>
  </si>
  <si>
    <t>≥2、≤2.5</t>
  </si>
  <si>
    <t>沣东新城规划路以南、科源二路以西</t>
  </si>
  <si>
    <t>西安华津驾驶员培训有限公司</t>
  </si>
  <si>
    <t>2017-06-02</t>
  </si>
  <si>
    <t>≥0.8且≤1.2</t>
  </si>
  <si>
    <t>沣东新城三桥新街以南、晨光路以西、车城西路以东,西成高铁以南</t>
  </si>
  <si>
    <t>陕西国际商贸学院</t>
  </si>
  <si>
    <t>2018-02-24</t>
  </si>
  <si>
    <t>≥1.1且≤1.6</t>
  </si>
  <si>
    <t>康定路以北,同文路以东,同心路以西,统一路以南</t>
  </si>
  <si>
    <t>1星</t>
  </si>
  <si>
    <t>陕西逸达工贸有限公司</t>
  </si>
  <si>
    <t>2018-03-22</t>
  </si>
  <si>
    <t>≥1.3且≤1.8</t>
  </si>
  <si>
    <t>精勤路以西,临渭路以南,求学路以东,学森一路以北</t>
  </si>
  <si>
    <t>学森一路以南,精勤路以西,秀水路以东,学镇环路以北</t>
  </si>
  <si>
    <t>5星</t>
  </si>
  <si>
    <t>西咸新区丝路文化旅游发展有限公司</t>
  </si>
  <si>
    <t>2018-05-16</t>
  </si>
  <si>
    <t>≥1且≤1.5</t>
  </si>
  <si>
    <t>天元路以南,兴科路以东,红光大道以北,沣渭大道以西</t>
  </si>
  <si>
    <t>4星</t>
  </si>
  <si>
    <t>西安沣东新城文商置业有限公司</t>
  </si>
  <si>
    <t>2018-06-12</t>
  </si>
  <si>
    <t>拍卖</t>
  </si>
  <si>
    <t>≥1.78且≤2.56</t>
  </si>
  <si>
    <t>广场东环路以西、广场南环路以北、广场南环路以南</t>
  </si>
  <si>
    <t>2星</t>
  </si>
  <si>
    <t>陕西西咸新区秦汉新城天汉投资有限公司</t>
  </si>
  <si>
    <t>2018-08-01</t>
  </si>
  <si>
    <t>≤0.001</t>
  </si>
  <si>
    <t>兰池大道以北、兰池二路以南、泾渭大道以东、秦宫一路以西</t>
  </si>
  <si>
    <t>陕西上林苑投资开发有限公司</t>
  </si>
  <si>
    <t>2018-11-26</t>
  </si>
  <si>
    <t>≥0.5,≤1</t>
  </si>
  <si>
    <t>沣泾大道以西,丰明路以北,金融一路以东,丰登路以南</t>
  </si>
  <si>
    <t>陕西沣渭水务有限公司</t>
  </si>
  <si>
    <t>2019-02-22</t>
  </si>
  <si>
    <t>≤1.2</t>
  </si>
  <si>
    <t>西余铁路以南、丰镐大道以西</t>
  </si>
  <si>
    <t>西安沣瑞天然气有限公司</t>
  </si>
  <si>
    <t>≤1.1</t>
  </si>
  <si>
    <t>王寺西街以北、丰镐大道以东</t>
  </si>
  <si>
    <t>陕西西咸新区公共交通集团有限公司</t>
  </si>
  <si>
    <t>2019-03-11</t>
  </si>
  <si>
    <t>≥0.5</t>
  </si>
  <si>
    <t>兰启路以南、秦泉路以西</t>
  </si>
  <si>
    <t>陕西省西咸新区秦汉新城开发建设集团有限责任公司</t>
  </si>
  <si>
    <t>≥1,≤1.5</t>
  </si>
  <si>
    <t>陕西恒睿文化发展有限公司</t>
  </si>
  <si>
    <t>2019-03-21</t>
  </si>
  <si>
    <t>泾河湾路以南,乐华二路以东</t>
  </si>
  <si>
    <t>陕西西咸新区城建投资集团有限公司</t>
  </si>
  <si>
    <t>≥1.3,≤1.8</t>
  </si>
  <si>
    <t>沣泾大道以东、尚航七路以西、能源四路以南、能源三路以北</t>
  </si>
  <si>
    <t>阿房二路以南、西三环以东</t>
  </si>
  <si>
    <t>西咸新区空港新城东上医院管理有限公司</t>
  </si>
  <si>
    <t>2019-04-19</t>
  </si>
  <si>
    <t>土地星级</t>
  </si>
  <si>
    <t>受让单位</t>
  </si>
  <si>
    <t>溢价率</t>
  </si>
  <si>
    <t>成交楼面价(元/㎡)</t>
  </si>
  <si>
    <t>成交价(万元)</t>
  </si>
  <si>
    <t>起始价(万元)</t>
  </si>
  <si>
    <t>截止日期</t>
  </si>
  <si>
    <t>出让方式</t>
  </si>
  <si>
    <t>规划建筑面积(㎡)</t>
  </si>
  <si>
    <t>建设用地面积(㎡)</t>
  </si>
  <si>
    <t>用地性质</t>
  </si>
  <si>
    <t>城市</t>
  </si>
  <si>
    <t>地块名称</t>
  </si>
  <si>
    <t>正常</t>
  </si>
  <si>
    <t>抵押价格</t>
  </si>
  <si>
    <t>其他：</t>
  </si>
  <si>
    <t>企业</t>
  </si>
  <si>
    <t>地上</t>
  </si>
  <si>
    <t>地下</t>
  </si>
  <si>
    <t>不动产收益法</t>
  </si>
  <si>
    <t>东西地块</t>
  </si>
  <si>
    <t>东西地块</t>
    <phoneticPr fontId="7" type="noConversion"/>
  </si>
  <si>
    <t>钢混</t>
  </si>
  <si>
    <t>否</t>
  </si>
  <si>
    <t>剩余法-待开发</t>
  </si>
  <si>
    <t>比较法-住宅、综合</t>
  </si>
  <si>
    <t>较好</t>
  </si>
  <si>
    <t>一般</t>
  </si>
  <si>
    <t>七通</t>
  </si>
  <si>
    <t>六通</t>
  </si>
  <si>
    <t>五通</t>
  </si>
  <si>
    <t>四通</t>
  </si>
  <si>
    <t>三通</t>
  </si>
  <si>
    <t>较规则</t>
  </si>
  <si>
    <t>较规则</t>
    <phoneticPr fontId="26" type="noConversion"/>
  </si>
  <si>
    <t>较好</t>
    <phoneticPr fontId="26" type="noConversion"/>
  </si>
  <si>
    <t>较适宜</t>
  </si>
  <si>
    <t>较适宜</t>
    <phoneticPr fontId="26" type="noConversion"/>
  </si>
  <si>
    <t>医卫慈善</t>
  </si>
  <si>
    <t>医卫慈善</t>
    <phoneticPr fontId="26" type="noConversion"/>
  </si>
  <si>
    <t>医疗卫生</t>
  </si>
  <si>
    <t>医疗卫生</t>
    <phoneticPr fontId="26" type="noConversion"/>
  </si>
  <si>
    <t>楼面地价</t>
  </si>
  <si>
    <t>较差</t>
  </si>
  <si>
    <t>土地（套用方法）</t>
  </si>
  <si>
    <t>医院收入</t>
    <phoneticPr fontId="3" type="noConversion"/>
  </si>
  <si>
    <t>养老院</t>
    <phoneticPr fontId="3" type="noConversion"/>
  </si>
  <si>
    <t>医院成本</t>
    <phoneticPr fontId="3" type="noConversion"/>
  </si>
  <si>
    <t>养老成本</t>
    <phoneticPr fontId="3" type="noConversion"/>
  </si>
  <si>
    <r>
      <rPr>
        <sz val="10"/>
        <rFont val="宋体"/>
        <family val="3"/>
        <charset val="134"/>
      </rPr>
      <t>慈恩大街以南、草堂大街以北</t>
    </r>
    <r>
      <rPr>
        <sz val="10"/>
        <rFont val="Arial"/>
        <family val="2"/>
      </rPr>
      <t>,</t>
    </r>
    <r>
      <rPr>
        <sz val="10"/>
        <rFont val="宋体"/>
        <family val="3"/>
        <charset val="134"/>
      </rPr>
      <t>章义路以东、明义路以西</t>
    </r>
    <phoneticPr fontId="228" type="noConversion"/>
  </si>
  <si>
    <t>天汉大道以南、秦汉大道以西</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</si>
</sst>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8"/>
      <color rgb="FF333333"/>
      <name val="Verdana"/>
      <family val="2"/>
    </font>
    <font>
      <sz val="12"/>
      <color rgb="FF444444"/>
      <name val="Verdan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274" fillId="0" borderId="0" xfId="16" applyFont="1"/>
    <xf numFmtId="0" fontId="86" fillId="6" borderId="0" xfId="16" applyFill="1"/>
    <xf numFmtId="0" fontId="8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18" borderId="0" xfId="16" applyFill="1"/>
    <xf numFmtId="0" fontId="127" fillId="0" borderId="2" xfId="0" applyFont="1" applyFill="1" applyBorder="1" applyAlignment="1">
      <alignment horizontal="center" vertical="center"/>
    </xf>
    <xf numFmtId="0" fontId="127" fillId="0" borderId="2" xfId="0" applyFont="1" applyBorder="1" applyAlignment="1"/>
    <xf numFmtId="0" fontId="127" fillId="0" borderId="2" xfId="0" applyFont="1" applyBorder="1" applyAlignment="1">
      <alignment horizontal="center"/>
    </xf>
    <xf numFmtId="0" fontId="152" fillId="17" borderId="5" xfId="0" applyFont="1" applyFill="1" applyBorder="1" applyAlignment="1" applyProtection="1">
      <alignment horizontal="center" vertical="center"/>
    </xf>
    <xf numFmtId="0" fontId="127" fillId="6" borderId="0" xfId="16" applyFont="1" applyFill="1"/>
    <xf numFmtId="181" fontId="71" fillId="9" borderId="5" xfId="0" applyNumberFormat="1" applyFont="1" applyFill="1" applyBorder="1" applyAlignment="1" applyProtection="1">
      <alignment vertical="center"/>
      <protection locked="0"/>
    </xf>
    <xf numFmtId="0" fontId="75" fillId="19" borderId="57" xfId="0" applyFont="1" applyFill="1" applyBorder="1" applyAlignment="1" applyProtection="1">
      <alignment horizontal="left" vertical="center" wrapText="1"/>
    </xf>
    <xf numFmtId="0" fontId="71" fillId="19" borderId="9" xfId="0" applyNumberFormat="1" applyFont="1" applyFill="1" applyBorder="1" applyAlignment="1" applyProtection="1">
      <alignment horizontal="center" vertical="center" wrapText="1"/>
      <protection locked="0"/>
    </xf>
    <xf numFmtId="0" fontId="86" fillId="19" borderId="51" xfId="2" applyNumberFormat="1" applyFont="1" applyFill="1" applyBorder="1" applyAlignment="1" applyProtection="1">
      <alignment horizontal="center" vertical="center"/>
      <protection locked="0"/>
    </xf>
    <xf numFmtId="0" fontId="86" fillId="19" borderId="25" xfId="2" applyNumberFormat="1" applyFont="1" applyFill="1" applyBorder="1" applyAlignment="1" applyProtection="1">
      <alignment horizontal="center" vertical="center"/>
      <protection locked="0"/>
    </xf>
    <xf numFmtId="0" fontId="76" fillId="19" borderId="2" xfId="0" applyFont="1" applyFill="1" applyBorder="1" applyAlignment="1" applyProtection="1">
      <alignment horizontal="center" vertical="center"/>
    </xf>
    <xf numFmtId="0" fontId="85" fillId="19" borderId="17" xfId="0" applyFont="1" applyFill="1" applyBorder="1" applyAlignment="1" applyProtection="1">
      <alignment horizontal="center" vertical="center"/>
    </xf>
    <xf numFmtId="0" fontId="84" fillId="20" borderId="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228</xdr:row>
      <xdr:rowOff>19050</xdr:rowOff>
    </xdr:from>
    <xdr:to>
      <xdr:col>9</xdr:col>
      <xdr:colOff>55940</xdr:colOff>
      <xdr:row>251</xdr:row>
      <xdr:rowOff>37632</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36937950"/>
          <a:ext cx="5304215" cy="3742857"/>
        </a:xfrm>
        <a:prstGeom prst="rect">
          <a:avLst/>
        </a:prstGeom>
      </xdr:spPr>
    </xdr:pic>
    <xdr:clientData/>
  </xdr:twoCellAnchor>
  <xdr:twoCellAnchor editAs="oneCell">
    <xdr:from>
      <xdr:col>0</xdr:col>
      <xdr:colOff>0</xdr:colOff>
      <xdr:row>113</xdr:row>
      <xdr:rowOff>38100</xdr:rowOff>
    </xdr:from>
    <xdr:to>
      <xdr:col>9</xdr:col>
      <xdr:colOff>436863</xdr:colOff>
      <xdr:row>151</xdr:row>
      <xdr:rowOff>94474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335625"/>
          <a:ext cx="5923263" cy="6209524"/>
        </a:xfrm>
        <a:prstGeom prst="rect">
          <a:avLst/>
        </a:prstGeom>
      </xdr:spPr>
    </xdr:pic>
    <xdr:clientData/>
  </xdr:twoCellAnchor>
  <xdr:twoCellAnchor editAs="oneCell">
    <xdr:from>
      <xdr:col>0</xdr:col>
      <xdr:colOff>0</xdr:colOff>
      <xdr:row>24</xdr:row>
      <xdr:rowOff>0</xdr:rowOff>
    </xdr:from>
    <xdr:to>
      <xdr:col>7</xdr:col>
      <xdr:colOff>151335</xdr:colOff>
      <xdr:row>60</xdr:row>
      <xdr:rowOff>84971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86200"/>
          <a:ext cx="4418535" cy="5914271"/>
        </a:xfrm>
        <a:prstGeom prst="rect">
          <a:avLst/>
        </a:prstGeom>
      </xdr:spPr>
    </xdr:pic>
    <xdr:clientData/>
  </xdr:twoCellAnchor>
  <xdr:twoCellAnchor editAs="oneCell">
    <xdr:from>
      <xdr:col>0</xdr:col>
      <xdr:colOff>0</xdr:colOff>
      <xdr:row>62</xdr:row>
      <xdr:rowOff>0</xdr:rowOff>
    </xdr:from>
    <xdr:to>
      <xdr:col>7</xdr:col>
      <xdr:colOff>427526</xdr:colOff>
      <xdr:row>98</xdr:row>
      <xdr:rowOff>65938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039350"/>
          <a:ext cx="4694726" cy="5895238"/>
        </a:xfrm>
        <a:prstGeom prst="rect">
          <a:avLst/>
        </a:prstGeom>
      </xdr:spPr>
    </xdr:pic>
    <xdr:clientData/>
  </xdr:twoCellAnchor>
  <xdr:twoCellAnchor editAs="oneCell">
    <xdr:from>
      <xdr:col>0</xdr:col>
      <xdr:colOff>514350</xdr:colOff>
      <xdr:row>191</xdr:row>
      <xdr:rowOff>28575</xdr:rowOff>
    </xdr:from>
    <xdr:to>
      <xdr:col>7</xdr:col>
      <xdr:colOff>618066</xdr:colOff>
      <xdr:row>226</xdr:row>
      <xdr:rowOff>8819</xdr:rowOff>
    </xdr:to>
    <xdr:pic>
      <xdr:nvPicPr>
        <xdr:cNvPr id="6" name="图片 5"/>
        <xdr:cNvPicPr>
          <a:picLocks noChangeAspect="1"/>
        </xdr:cNvPicPr>
      </xdr:nvPicPr>
      <xdr:blipFill>
        <a:blip xmlns:r="http://schemas.openxmlformats.org/officeDocument/2006/relationships" r:embed="rId5"/>
        <a:stretch>
          <a:fillRect/>
        </a:stretch>
      </xdr:blipFill>
      <xdr:spPr>
        <a:xfrm>
          <a:off x="514350" y="30956250"/>
          <a:ext cx="4361391" cy="5647619"/>
        </a:xfrm>
        <a:prstGeom prst="rect">
          <a:avLst/>
        </a:prstGeom>
      </xdr:spPr>
    </xdr:pic>
    <xdr:clientData/>
  </xdr:twoCellAnchor>
  <xdr:twoCellAnchor editAs="oneCell">
    <xdr:from>
      <xdr:col>0</xdr:col>
      <xdr:colOff>0</xdr:colOff>
      <xdr:row>153</xdr:row>
      <xdr:rowOff>0</xdr:rowOff>
    </xdr:from>
    <xdr:to>
      <xdr:col>8</xdr:col>
      <xdr:colOff>627440</xdr:colOff>
      <xdr:row>176</xdr:row>
      <xdr:rowOff>47138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774525"/>
          <a:ext cx="5485190" cy="3771413"/>
        </a:xfrm>
        <a:prstGeom prst="rect">
          <a:avLst/>
        </a:prstGeom>
      </xdr:spPr>
    </xdr:pic>
    <xdr:clientData/>
  </xdr:twoCellAnchor>
  <xdr:twoCellAnchor editAs="oneCell">
    <xdr:from>
      <xdr:col>0</xdr:col>
      <xdr:colOff>0</xdr:colOff>
      <xdr:row>271</xdr:row>
      <xdr:rowOff>104775</xdr:rowOff>
    </xdr:from>
    <xdr:to>
      <xdr:col>8</xdr:col>
      <xdr:colOff>103630</xdr:colOff>
      <xdr:row>317</xdr:row>
      <xdr:rowOff>141940</xdr:rowOff>
    </xdr:to>
    <xdr:pic>
      <xdr:nvPicPr>
        <xdr:cNvPr id="9" name="图片 8"/>
        <xdr:cNvPicPr>
          <a:picLocks noChangeAspect="1"/>
        </xdr:cNvPicPr>
      </xdr:nvPicPr>
      <xdr:blipFill>
        <a:blip xmlns:r="http://schemas.openxmlformats.org/officeDocument/2006/relationships" r:embed="rId7"/>
        <a:stretch>
          <a:fillRect/>
        </a:stretch>
      </xdr:blipFill>
      <xdr:spPr>
        <a:xfrm>
          <a:off x="0" y="44234100"/>
          <a:ext cx="9161905" cy="7485715"/>
        </a:xfrm>
        <a:prstGeom prst="rect">
          <a:avLst/>
        </a:prstGeom>
      </xdr:spPr>
    </xdr:pic>
    <xdr:clientData/>
  </xdr:twoCellAnchor>
  <xdr:twoCellAnchor editAs="oneCell">
    <xdr:from>
      <xdr:col>0</xdr:col>
      <xdr:colOff>0</xdr:colOff>
      <xdr:row>396</xdr:row>
      <xdr:rowOff>0</xdr:rowOff>
    </xdr:from>
    <xdr:to>
      <xdr:col>9</xdr:col>
      <xdr:colOff>227339</xdr:colOff>
      <xdr:row>436</xdr:row>
      <xdr:rowOff>94429</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64369950"/>
          <a:ext cx="10095239" cy="6571429"/>
        </a:xfrm>
        <a:prstGeom prst="rect">
          <a:avLst/>
        </a:prstGeom>
      </xdr:spPr>
    </xdr:pic>
    <xdr:clientData/>
  </xdr:twoCellAnchor>
  <xdr:twoCellAnchor editAs="oneCell">
    <xdr:from>
      <xdr:col>0</xdr:col>
      <xdr:colOff>0</xdr:colOff>
      <xdr:row>325</xdr:row>
      <xdr:rowOff>0</xdr:rowOff>
    </xdr:from>
    <xdr:to>
      <xdr:col>9</xdr:col>
      <xdr:colOff>27339</xdr:colOff>
      <xdr:row>367</xdr:row>
      <xdr:rowOff>113436</xdr:rowOff>
    </xdr:to>
    <xdr:pic>
      <xdr:nvPicPr>
        <xdr:cNvPr id="8" name="图片 7"/>
        <xdr:cNvPicPr>
          <a:picLocks noChangeAspect="1"/>
        </xdr:cNvPicPr>
      </xdr:nvPicPr>
      <xdr:blipFill>
        <a:blip xmlns:r="http://schemas.openxmlformats.org/officeDocument/2006/relationships" r:embed="rId9"/>
        <a:stretch>
          <a:fillRect/>
        </a:stretch>
      </xdr:blipFill>
      <xdr:spPr>
        <a:xfrm>
          <a:off x="0" y="52873275"/>
          <a:ext cx="9895239" cy="6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455858</xdr:colOff>
      <xdr:row>30</xdr:row>
      <xdr:rowOff>104141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742858" cy="5076191"/>
        </a:xfrm>
        <a:prstGeom prst="rect">
          <a:avLst/>
        </a:prstGeom>
      </xdr:spPr>
    </xdr:pic>
    <xdr:clientData/>
  </xdr:twoCellAnchor>
  <xdr:twoCellAnchor editAs="oneCell">
    <xdr:from>
      <xdr:col>0</xdr:col>
      <xdr:colOff>0</xdr:colOff>
      <xdr:row>32</xdr:row>
      <xdr:rowOff>0</xdr:rowOff>
    </xdr:from>
    <xdr:to>
      <xdr:col>14</xdr:col>
      <xdr:colOff>370229</xdr:colOff>
      <xdr:row>54</xdr:row>
      <xdr:rowOff>56672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971429" cy="3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出让国有建设用地使用权抵押价格预评估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受贵公司委托，我公司对出让国有建设用地使用权抵押价格进行了预评估。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111025.1平方米。根据《建设工程规划许可证》[]、《出让合同》[]，估价对象规划建筑面积为248359.16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2019年12月11日（评估专业人员勘察现场之日）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根据《国有土地使用证》[]，估价对象（分摊）出让国有建设用地使用权面积为111025.1平方米。根据《建设工程规划许可证》[]、《出让合同》[]，估价对象规划建筑面积为248359.16平方米。</v>
      </c>
    </row>
    <row r="16" spans="1:55" s="2830" customFormat="1">
      <c r="A16" s="2831" t="s">
        <v>2667</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7月15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估价期日：2019年12月11日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111025.1</v>
      </c>
    </row>
    <row r="44" spans="1:2">
      <c r="A44" s="2831" t="s">
        <v>2738</v>
      </c>
      <c r="B44" s="2832" t="str">
        <f>'预评函-2'!O3</f>
        <v>规划建筑面积/㎡</v>
      </c>
    </row>
    <row r="45" spans="1:2">
      <c r="A45" s="2831" t="s">
        <v>2720</v>
      </c>
      <c r="B45" s="2832">
        <f>'预评函-2'!O5</f>
        <v>248359.16</v>
      </c>
    </row>
    <row r="46" spans="1:2">
      <c r="A46" s="2831" t="s">
        <v>2721</v>
      </c>
      <c r="B46" s="2832">
        <f ca="1">'预评函-2'!P5</f>
        <v>948</v>
      </c>
    </row>
    <row r="47" spans="1:2">
      <c r="A47" s="2831" t="s">
        <v>2722</v>
      </c>
      <c r="B47" s="2832">
        <f ca="1">'预评函-2'!Q5</f>
        <v>424</v>
      </c>
    </row>
    <row r="48" spans="1:2">
      <c r="A48" s="2831" t="s">
        <v>2723</v>
      </c>
      <c r="B48" s="2832">
        <f ca="1">'预评函-2'!R5</f>
        <v>10526</v>
      </c>
    </row>
    <row r="49" spans="1:2">
      <c r="A49" s="2831" t="s">
        <v>2739</v>
      </c>
      <c r="B49" s="2832" t="str">
        <f>'预评函-2'!A6</f>
        <v>抵押价格</v>
      </c>
    </row>
    <row r="50" spans="1:2">
      <c r="A50" s="2831" t="s">
        <v>2724</v>
      </c>
      <c r="B50" s="2832" t="str">
        <f>'预评函-2'!R6</f>
        <v>——</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5" thickBot="1">
      <c r="A72" s="2853" t="s">
        <v>2689</v>
      </c>
      <c r="B72" s="2859">
        <f>'预评函-3'!B21</f>
        <v>0</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7" sqref="F17"/>
    </sheetView>
  </sheetViews>
  <sheetFormatPr defaultColWidth="10" defaultRowHeight="14.25"/>
  <cols>
    <col min="1" max="1" width="15.375" style="1673" customWidth="1"/>
    <col min="2" max="2" width="11.375" style="1673" customWidth="1"/>
    <col min="3" max="3" width="12.625" style="1673" customWidth="1"/>
    <col min="4" max="4" width="11.75"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45" t="str">
        <f>IF(B10="北京市","北京市",C10)&amp;F10&amp;B16&amp;"国有建设用地使用权"&amp;B9&amp;"预评估"</f>
        <v>出让国有建设用地使用权抵押价格预评估</v>
      </c>
      <c r="C1" s="3246"/>
      <c r="D1" s="3246"/>
      <c r="E1" s="3246"/>
      <c r="F1" s="3246"/>
      <c r="G1" s="3246"/>
      <c r="H1" s="3246"/>
      <c r="I1" s="3247"/>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43810</v>
      </c>
      <c r="C3" s="1645" t="s">
        <v>1995</v>
      </c>
      <c r="D3" s="1644">
        <f>B3</f>
        <v>43810</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2994</v>
      </c>
      <c r="C8" s="1653"/>
      <c r="D8" s="3251" t="s">
        <v>1944</v>
      </c>
      <c r="E8" s="1826"/>
      <c r="F8" s="1654"/>
      <c r="G8" s="1642"/>
      <c r="H8" s="1642"/>
      <c r="I8" s="1689"/>
      <c r="J8" s="1676"/>
      <c r="K8" s="1756"/>
      <c r="L8" s="1705"/>
      <c r="M8" s="1705"/>
      <c r="N8" s="1676"/>
      <c r="O8" s="1677"/>
      <c r="P8" s="1676"/>
      <c r="Q8" s="1676"/>
      <c r="R8" s="1676"/>
      <c r="S8" s="1676"/>
      <c r="T8" s="1676"/>
      <c r="U8" s="1676"/>
    </row>
    <row r="9" spans="1:21" ht="15" thickBot="1">
      <c r="A9" s="1655" t="s">
        <v>1943</v>
      </c>
      <c r="B9" s="1656" t="s">
        <v>3096</v>
      </c>
      <c r="C9" s="1657"/>
      <c r="D9" s="3252"/>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3097</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3098</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48"/>
      <c r="C12" s="3249"/>
      <c r="D12" s="3250"/>
      <c r="E12" s="1681" t="s">
        <v>2061</v>
      </c>
      <c r="F12" s="3266" t="s">
        <v>2888</v>
      </c>
      <c r="G12" s="3267"/>
      <c r="H12" s="3267"/>
      <c r="I12" s="3268"/>
      <c r="J12" s="1676"/>
      <c r="K12" s="1756"/>
      <c r="L12" s="1705"/>
      <c r="M12" s="1705"/>
      <c r="N12" s="1676"/>
      <c r="O12" s="1677"/>
      <c r="P12" s="1676"/>
      <c r="Q12" s="1676"/>
      <c r="R12" s="1676"/>
      <c r="S12" s="1676"/>
      <c r="T12" s="1676"/>
      <c r="U12" s="1676"/>
    </row>
    <row r="13" spans="1:21">
      <c r="A13" s="1669" t="s">
        <v>2059</v>
      </c>
      <c r="B13" s="3248"/>
      <c r="C13" s="3249"/>
      <c r="D13" s="3250"/>
      <c r="E13" s="1681" t="s">
        <v>2061</v>
      </c>
      <c r="F13" s="3266" t="s">
        <v>2889</v>
      </c>
      <c r="G13" s="3267"/>
      <c r="H13" s="3267"/>
      <c r="I13" s="3268"/>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28.5">
      <c r="A16" s="1662" t="s">
        <v>1947</v>
      </c>
      <c r="B16" s="1663" t="s">
        <v>2989</v>
      </c>
      <c r="C16" s="1681" t="s">
        <v>1948</v>
      </c>
      <c r="D16" s="2608" t="s">
        <v>1949</v>
      </c>
      <c r="E16" s="1704"/>
      <c r="F16" s="1704" t="s">
        <v>1677</v>
      </c>
      <c r="G16" s="1704"/>
      <c r="H16" s="1704"/>
      <c r="I16" s="1668" t="s">
        <v>1954</v>
      </c>
      <c r="J16" s="1676"/>
      <c r="K16" s="2418" t="str">
        <f>IF(D17="","",D16&amp;TEXT(D17,"yyyy年m月d日;;"))</f>
        <v/>
      </c>
      <c r="L16" s="1681" t="str">
        <f>IF(OR(K16="",M16=""),"","、")</f>
        <v/>
      </c>
      <c r="M16" s="2418" t="str">
        <f>IF(E17="","",E16&amp;TEXT(E17,"yyyy年m月d日;;"))</f>
        <v/>
      </c>
      <c r="N16" s="1681" t="str">
        <f>IF(OR(M16="",O16=""),"","、")</f>
        <v/>
      </c>
      <c r="O16" s="2418" t="str">
        <f>IF(F17="","",F16&amp;TEXT(F17,"yyyy年m月d日;;"))</f>
        <v>办公2065年7月15日</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c r="E17" s="1682"/>
      <c r="F17" s="1682">
        <v>60463</v>
      </c>
      <c r="G17" s="1682"/>
      <c r="H17" s="1682"/>
      <c r="I17" s="1682"/>
      <c r="J17" s="1676"/>
      <c r="K17" s="2417" t="str">
        <f>CONCATENATE(K16,L16,M16,N16,O16,P16,Q16,R16,S16,T16,,U16)</f>
        <v>办公2065年7月15日</v>
      </c>
      <c r="L17" s="1705"/>
      <c r="M17" s="1705"/>
      <c r="N17" s="1676"/>
      <c r="O17" s="1677"/>
      <c r="P17" s="1676"/>
      <c r="Q17" s="1676"/>
      <c r="R17" s="1676"/>
      <c r="S17" s="1676"/>
      <c r="T17" s="1676"/>
      <c r="U17" s="1676"/>
    </row>
    <row r="18" spans="1:21">
      <c r="A18" s="1745"/>
      <c r="B18" s="1664"/>
      <c r="C18" s="1665" t="s">
        <v>1956</v>
      </c>
      <c r="D18" s="1666"/>
      <c r="E18" s="1666"/>
      <c r="F18" s="1666">
        <v>50</v>
      </c>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t="str">
        <f>IF(B16="出让",IF(D17="","",ROUNDDOWN(MIN((D17-$D$3)/365,D18),2)),D18)</f>
        <v/>
      </c>
      <c r="E19" s="1667" t="str">
        <f>IF(B16="出让",IF(E17="","",ROUNDDOWN(MIN((E17-$D$3)/365,E18),2)),E18)</f>
        <v/>
      </c>
      <c r="F19" s="1667">
        <f>IF(B16="出让",IF(F17="","",ROUNDDOWN(MIN((F17-$D$3)/365,F18),2)),F18)</f>
        <v>45.62</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63"/>
      <c r="E20" s="3264"/>
      <c r="F20" s="3264"/>
      <c r="G20" s="3264"/>
      <c r="H20" s="3264"/>
      <c r="I20" s="3265"/>
      <c r="J20" s="1676"/>
      <c r="K20" s="1756"/>
      <c r="L20" s="1705"/>
      <c r="M20" s="1705"/>
      <c r="N20" s="1676"/>
      <c r="O20" s="1677"/>
      <c r="P20" s="1676"/>
      <c r="Q20" s="1676"/>
      <c r="R20" s="1676"/>
      <c r="S20" s="1676"/>
      <c r="T20" s="1676"/>
      <c r="U20" s="1676"/>
    </row>
    <row r="21" spans="1:21">
      <c r="A21" s="1745" t="s">
        <v>1958</v>
      </c>
      <c r="B21" s="1746" t="s">
        <v>1959</v>
      </c>
      <c r="C21" s="1741">
        <f>'数据-汇总表'!E3</f>
        <v>248359.16</v>
      </c>
      <c r="D21" s="1742" t="s">
        <v>1960</v>
      </c>
      <c r="E21" s="3253" t="s">
        <v>1998</v>
      </c>
      <c r="F21" s="3254"/>
      <c r="G21" s="3254"/>
      <c r="H21" s="3254"/>
      <c r="I21" s="3255"/>
      <c r="J21" s="1676"/>
      <c r="K21" s="1756"/>
      <c r="L21" s="1705"/>
      <c r="M21" s="1705"/>
      <c r="N21" s="1676"/>
      <c r="O21" s="1677"/>
      <c r="P21" s="1676"/>
      <c r="Q21" s="1676"/>
      <c r="R21" s="1676"/>
      <c r="S21" s="1676"/>
      <c r="T21" s="1676"/>
      <c r="U21" s="1676"/>
    </row>
    <row r="22" spans="1:21">
      <c r="A22" s="3095" t="s">
        <v>952</v>
      </c>
      <c r="B22" s="1643" t="s">
        <v>1961</v>
      </c>
      <c r="C22" s="1668">
        <f>'数据-汇总表'!D3</f>
        <v>111025.1</v>
      </c>
      <c r="D22" s="1669" t="s">
        <v>1960</v>
      </c>
      <c r="E22" s="3253" t="s">
        <v>2890</v>
      </c>
      <c r="F22" s="3254"/>
      <c r="G22" s="3254"/>
      <c r="H22" s="3254"/>
      <c r="I22" s="3255"/>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56" t="s">
        <v>1966</v>
      </c>
      <c r="C24" s="3257"/>
      <c r="D24" s="3258" t="s">
        <v>1967</v>
      </c>
      <c r="E24" s="3259"/>
      <c r="F24" s="1690" t="s">
        <v>1968</v>
      </c>
      <c r="G24" s="1676"/>
      <c r="H24" s="1676"/>
      <c r="I24" s="1689"/>
      <c r="J24" s="1676"/>
      <c r="K24" s="3244"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44"/>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44"/>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30" t="s">
        <v>2001</v>
      </c>
      <c r="B31" s="1746" t="s">
        <v>2002</v>
      </c>
      <c r="C31" s="3269"/>
      <c r="D31" s="3270"/>
      <c r="E31" s="1676"/>
      <c r="F31" s="1676"/>
      <c r="G31" s="1676"/>
      <c r="H31" s="1676"/>
      <c r="I31" s="1689"/>
      <c r="J31" s="1676"/>
      <c r="K31" s="2420"/>
      <c r="L31" s="1676"/>
      <c r="M31" s="1676"/>
      <c r="N31" s="1676"/>
      <c r="O31" s="1676"/>
      <c r="P31" s="1676"/>
      <c r="Q31" s="1676"/>
      <c r="R31" s="1676"/>
      <c r="S31" s="1676"/>
      <c r="T31" s="1676"/>
      <c r="U31" s="1676"/>
    </row>
    <row r="32" spans="1:21">
      <c r="A32" s="3230"/>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0"/>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1"/>
      <c r="B34" s="1643" t="s">
        <v>2005</v>
      </c>
      <c r="C34" s="3232"/>
      <c r="D34" s="3233"/>
      <c r="E34" s="1676"/>
      <c r="F34" s="1676"/>
      <c r="G34" s="1676"/>
      <c r="H34" s="1676"/>
      <c r="I34" s="1689"/>
      <c r="J34" s="1676"/>
      <c r="K34" s="2420"/>
      <c r="L34" s="1676"/>
      <c r="M34" s="1676"/>
      <c r="N34" s="1676"/>
      <c r="O34" s="1676"/>
      <c r="P34" s="1676"/>
      <c r="Q34" s="1676"/>
      <c r="R34" s="1676"/>
      <c r="S34" s="1676"/>
      <c r="T34" s="1676"/>
      <c r="U34" s="1676"/>
    </row>
    <row r="35" spans="1:21">
      <c r="A35" s="3234" t="s">
        <v>847</v>
      </c>
      <c r="B35" s="1704"/>
      <c r="C35" s="1758" t="str">
        <f>IF(B35="场地平整","——","具体情况：")</f>
        <v>具体情况：</v>
      </c>
      <c r="D35" s="3236"/>
      <c r="E35" s="3237"/>
      <c r="F35" s="3237"/>
      <c r="G35" s="3237"/>
      <c r="H35" s="3237"/>
      <c r="I35" s="3238"/>
      <c r="J35" s="1676"/>
      <c r="K35" s="1757"/>
      <c r="L35" s="1705"/>
      <c r="M35" s="1705"/>
      <c r="N35" s="1676"/>
      <c r="O35" s="1677"/>
      <c r="P35" s="1676"/>
      <c r="Q35" s="1676"/>
      <c r="R35" s="1676"/>
      <c r="S35" s="1676"/>
      <c r="T35" s="1676"/>
      <c r="U35" s="1676"/>
    </row>
    <row r="36" spans="1:21">
      <c r="A36" s="3230"/>
      <c r="B36" s="3239" t="s">
        <v>2054</v>
      </c>
      <c r="C36" s="3240"/>
      <c r="D36" s="1774"/>
      <c r="E36" s="3241"/>
      <c r="F36" s="3241"/>
      <c r="G36" s="1669" t="str">
        <f>IF(B35="场地未平整","估价结果处理","")</f>
        <v/>
      </c>
      <c r="H36" s="3242"/>
      <c r="I36" s="3242"/>
      <c r="J36" s="1676"/>
      <c r="K36" s="1757"/>
      <c r="L36" s="1705"/>
      <c r="M36" s="1705"/>
      <c r="N36" s="1676"/>
      <c r="O36" s="1677"/>
      <c r="P36" s="1676"/>
      <c r="Q36" s="1676"/>
      <c r="R36" s="1676"/>
      <c r="S36" s="1676"/>
      <c r="T36" s="1676"/>
      <c r="U36" s="1676"/>
    </row>
    <row r="37" spans="1:21" ht="28.5">
      <c r="A37" s="3230"/>
      <c r="B37" s="3260"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30"/>
      <c r="B38" s="3261"/>
      <c r="C38" s="1651" t="s">
        <v>850</v>
      </c>
      <c r="D38" s="1773">
        <f>ROUNDDOWN(MIN(('数据-取费表'!$B$2-D37)/365,D34),1)</f>
        <v>120</v>
      </c>
      <c r="E38" s="1709" t="s">
        <v>851</v>
      </c>
      <c r="F38" s="1676"/>
      <c r="G38" s="1676"/>
      <c r="H38" s="1676"/>
      <c r="I38" s="1689"/>
      <c r="J38" s="1676"/>
      <c r="K38" s="1757"/>
      <c r="L38" s="1676"/>
      <c r="M38" s="1676"/>
      <c r="N38" s="1676"/>
      <c r="O38" s="1676"/>
      <c r="P38" s="1676"/>
      <c r="Q38" s="1676"/>
      <c r="R38" s="1676"/>
      <c r="S38" s="1676"/>
      <c r="T38" s="1676"/>
      <c r="U38" s="1676"/>
    </row>
    <row r="39" spans="1:21">
      <c r="A39" s="3231"/>
      <c r="B39" s="3262"/>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43" t="s">
        <v>1985</v>
      </c>
      <c r="T40" s="1713" t="str">
        <f>NUMBERSTRING(7-K40,1)&amp;"通"</f>
        <v>七通</v>
      </c>
      <c r="U40" s="1676"/>
    </row>
    <row r="41" spans="1:21">
      <c r="A41" s="1645"/>
      <c r="B41" s="3235" t="s">
        <v>1721</v>
      </c>
      <c r="C41" s="3235"/>
      <c r="D41" s="3235"/>
      <c r="E41" s="323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3"/>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65403.1+45622</f>
        <v>111025.1</v>
      </c>
      <c r="B3" s="22">
        <f>IF(C3="否",G5-AT5,G5)</f>
        <v>248359.16</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248359.16</v>
      </c>
      <c r="H5" s="27">
        <f t="shared" ref="H5:AT5" si="0">SUM(H13:H641)</f>
        <v>248359.16</v>
      </c>
      <c r="I5" s="27">
        <f t="shared" si="0"/>
        <v>183350.32</v>
      </c>
      <c r="J5" s="27">
        <f t="shared" si="0"/>
        <v>0</v>
      </c>
      <c r="K5" s="27">
        <f t="shared" si="0"/>
        <v>65008.84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248359.16</v>
      </c>
      <c r="BA5" s="29">
        <f t="shared" si="1"/>
        <v>248359.16</v>
      </c>
      <c r="BB5" s="29">
        <f t="shared" si="1"/>
        <v>183350.32</v>
      </c>
      <c r="BC5" s="29">
        <f t="shared" si="1"/>
        <v>65008.84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111025.1</v>
      </c>
      <c r="F6" s="27" t="s">
        <v>1</v>
      </c>
      <c r="G6" s="27" t="s">
        <v>2</v>
      </c>
      <c r="H6" s="33">
        <f>SUMIF(I$12:AB$12,"总值",I6:AB6)</f>
        <v>111025.1</v>
      </c>
      <c r="I6" s="27">
        <f t="shared" ref="I6:AB6" si="2">ROUND($A$3*I5/$B$3,2)</f>
        <v>81963.91</v>
      </c>
      <c r="J6" s="27">
        <f t="shared" si="2"/>
        <v>0</v>
      </c>
      <c r="K6" s="27">
        <f t="shared" si="2"/>
        <v>29061.19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111025.1</v>
      </c>
      <c r="AZ6" s="27" t="s">
        <v>3</v>
      </c>
      <c r="BA6" s="27">
        <f>ROUND($AY$6*BA5/$AZ$5,2)</f>
        <v>111025.1</v>
      </c>
      <c r="BB6" s="27">
        <f>ROUND($AY$6*BB5/$AZ$5,2)</f>
        <v>81963.91</v>
      </c>
      <c r="BC6" s="27">
        <f t="shared" ref="BC6:BH6" si="4">ROUND($AY$6*BC5/$AZ$5,2)</f>
        <v>29061.19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3099</v>
      </c>
      <c r="J9" s="51"/>
      <c r="K9" s="2969" t="s">
        <v>3100</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1677</v>
      </c>
      <c r="J10" s="51"/>
      <c r="K10" s="2971" t="s">
        <v>1677</v>
      </c>
      <c r="L10" s="51"/>
      <c r="M10" s="2971"/>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办公</v>
      </c>
      <c r="BC11" s="50" t="str">
        <f>K10</f>
        <v>办公</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1678</v>
      </c>
      <c r="E13" s="27">
        <f t="shared" ref="E13:E20" si="6">IF($C$3="是",ROUND($A$3*G13/$B$3,2),ROUND($A$3*(G13-AT13)/$B$3,2))</f>
        <v>111025.1</v>
      </c>
      <c r="F13" s="81"/>
      <c r="G13" s="82">
        <f t="shared" ref="G13:G20" si="7">H13+AC13+AT13</f>
        <v>248359.16</v>
      </c>
      <c r="H13" s="33">
        <f t="shared" ref="H13:H20" si="8">SUMIF(I$12:AB$12,"总值",I13:AB13)</f>
        <v>248359.16</v>
      </c>
      <c r="I13" s="2968">
        <f>95500.32+84000+1250+1500+1100</f>
        <v>183350.32</v>
      </c>
      <c r="J13" s="2968"/>
      <c r="K13" s="2968">
        <f>33808.84+31200</f>
        <v>65008.84</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111025.1</v>
      </c>
      <c r="AZ13" s="27">
        <f t="shared" ref="AZ13:AZ20" si="12">BA13+BL13</f>
        <v>248359.16</v>
      </c>
      <c r="BA13" s="27">
        <f t="shared" ref="BA13:BA20" si="13">SUM(BB13:BK13)</f>
        <v>248359.16</v>
      </c>
      <c r="BB13" s="27">
        <f t="shared" ref="BB13:BB20" si="14">IF($D13="是",I13-J13,0)</f>
        <v>183350.32</v>
      </c>
      <c r="BC13" s="27">
        <f t="shared" ref="BC13:BC20" si="15">IF($D13="是",K13-L13,0)</f>
        <v>65008.84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I6" sqref="I6"/>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2" t="s">
        <v>203</v>
      </c>
      <c r="B2" s="3282"/>
      <c r="C2" s="3282"/>
      <c r="D2" s="1958" t="s">
        <v>204</v>
      </c>
      <c r="E2" s="106" t="s">
        <v>205</v>
      </c>
      <c r="F2" s="1967"/>
      <c r="G2" s="1193"/>
      <c r="H2" s="1194"/>
      <c r="I2" s="1195" t="s">
        <v>857</v>
      </c>
      <c r="J2" s="1967"/>
      <c r="K2" s="1967"/>
      <c r="L2" s="1967"/>
    </row>
    <row r="3" spans="1:16" ht="15.75" thickBot="1">
      <c r="A3" s="3283" t="s">
        <v>206</v>
      </c>
      <c r="B3" s="3283"/>
      <c r="C3" s="3283"/>
      <c r="D3" s="107">
        <f>'数据-基础表'!AY6</f>
        <v>111025.1</v>
      </c>
      <c r="E3" s="107">
        <f>'数据-基础表'!AZ5</f>
        <v>248359.16</v>
      </c>
      <c r="F3" s="1967"/>
      <c r="G3" s="280" t="s">
        <v>858</v>
      </c>
      <c r="H3" s="275" t="s">
        <v>859</v>
      </c>
      <c r="I3" s="1959">
        <f>ROUND('数据-基础表'!B3/'数据-基础表'!A3,2)</f>
        <v>2.2400000000000002</v>
      </c>
      <c r="J3" s="1967"/>
      <c r="K3" s="1967"/>
      <c r="L3" s="1967"/>
    </row>
    <row r="4" spans="1:16" ht="15">
      <c r="A4" s="3284"/>
      <c r="B4" s="3285"/>
      <c r="C4" s="3286"/>
      <c r="D4" s="108" t="s">
        <v>204</v>
      </c>
      <c r="E4" s="109" t="s">
        <v>205</v>
      </c>
      <c r="F4" s="1967"/>
      <c r="G4" s="1196"/>
      <c r="H4" s="275" t="s">
        <v>860</v>
      </c>
      <c r="I4" s="1959">
        <f>ROUND(SUMIF('数据-基础表'!I9:AS9,"地上",'数据-基础表'!I5:AS5)/'数据-基础表'!A3,2)</f>
        <v>1.65</v>
      </c>
      <c r="J4" s="1967"/>
      <c r="K4" s="1967"/>
      <c r="L4" s="1967"/>
    </row>
    <row r="5" spans="1:16">
      <c r="A5" s="110" t="s">
        <v>207</v>
      </c>
      <c r="B5" s="3287" t="s">
        <v>230</v>
      </c>
      <c r="C5" s="3287"/>
      <c r="D5" s="111">
        <f>ROUND($D$3*E5/$E$3,2)</f>
        <v>0</v>
      </c>
      <c r="E5" s="112">
        <f>SUMIF('数据-基础表'!$11:$11,"住宅",'数据-基础表'!$5:$5)</f>
        <v>0</v>
      </c>
      <c r="F5" s="1967"/>
      <c r="G5" s="280" t="s">
        <v>861</v>
      </c>
      <c r="H5" s="275" t="s">
        <v>859</v>
      </c>
      <c r="I5" s="1959">
        <f>ROUND(E31/D31,2)</f>
        <v>2.2400000000000002</v>
      </c>
      <c r="J5" s="1967"/>
      <c r="K5" s="1967"/>
      <c r="L5" s="1967"/>
    </row>
    <row r="6" spans="1:16" ht="15" thickBot="1">
      <c r="A6" s="113"/>
      <c r="B6" s="3287" t="s">
        <v>208</v>
      </c>
      <c r="C6" s="3287"/>
      <c r="D6" s="111">
        <f>ROUND($D$3*E6/$E$3,2)</f>
        <v>111025.1</v>
      </c>
      <c r="E6" s="112">
        <f>E3-E5</f>
        <v>248359.16</v>
      </c>
      <c r="F6" s="1967"/>
      <c r="G6" s="1196"/>
      <c r="H6" s="275" t="s">
        <v>860</v>
      </c>
      <c r="I6" s="1959">
        <f>ROUND(F31/D31,2)</f>
        <v>1.65</v>
      </c>
      <c r="J6" s="1967"/>
      <c r="K6" s="1967"/>
      <c r="L6" s="1967"/>
    </row>
    <row r="7" spans="1:16" ht="15">
      <c r="A7" s="3279"/>
      <c r="B7" s="3280"/>
      <c r="C7" s="3281"/>
      <c r="D7" s="108" t="s">
        <v>204</v>
      </c>
      <c r="E7" s="114" t="s">
        <v>231</v>
      </c>
      <c r="F7" s="1967"/>
      <c r="G7" s="1151" t="s">
        <v>1645</v>
      </c>
      <c r="H7" s="1152"/>
      <c r="I7" s="1829"/>
      <c r="J7" s="1967"/>
      <c r="K7" s="1967"/>
      <c r="L7" s="1967"/>
    </row>
    <row r="8" spans="1:16">
      <c r="A8" s="110" t="s">
        <v>209</v>
      </c>
      <c r="B8" s="115" t="s">
        <v>210</v>
      </c>
      <c r="C8" s="111" t="s">
        <v>211</v>
      </c>
      <c r="D8" s="111">
        <f t="shared" ref="D8:D15" si="0">ROUND($D$3*E8/$E$3,2)</f>
        <v>81963.91</v>
      </c>
      <c r="E8" s="116">
        <f>SUMIF('数据-基础表'!BB10:BK10,"地上",'数据-基础表'!BB5:BK5)</f>
        <v>183350.32</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29061.19</v>
      </c>
      <c r="E11" s="116">
        <f>SUMPRODUCT(('数据-基础表'!BB10:BK10="地下")*('数据-基础表'!BB11:BK11="办公")*('数据-基础表'!BB5:BK5))+'数据-基础表'!AJ5</f>
        <v>65008.84</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111025.1</v>
      </c>
      <c r="E16" s="120">
        <f>SUM(E8:E15)</f>
        <v>248359.16</v>
      </c>
      <c r="F16" s="1967"/>
      <c r="G16" s="1969"/>
      <c r="H16" s="968" t="s">
        <v>219</v>
      </c>
      <c r="I16" s="969"/>
      <c r="J16" s="1967"/>
      <c r="K16" s="3273" t="s">
        <v>2564</v>
      </c>
      <c r="L16" s="3274"/>
      <c r="M16" s="3274"/>
      <c r="N16" s="3274"/>
      <c r="O16" s="3274"/>
      <c r="P16" s="3275"/>
    </row>
    <row r="17" spans="1:19" ht="15">
      <c r="A17" s="121" t="s">
        <v>216</v>
      </c>
      <c r="B17" s="122" t="s">
        <v>217</v>
      </c>
      <c r="C17" s="2281" t="s">
        <v>2313</v>
      </c>
      <c r="D17" s="108" t="s">
        <v>204</v>
      </c>
      <c r="E17" s="124" t="s">
        <v>205</v>
      </c>
      <c r="F17" s="125"/>
      <c r="G17" s="1361"/>
      <c r="H17" s="970" t="s">
        <v>218</v>
      </c>
      <c r="I17" s="971" t="s">
        <v>2312</v>
      </c>
      <c r="J17" s="1967"/>
      <c r="K17" s="3276" t="s">
        <v>2565</v>
      </c>
      <c r="L17" s="3277"/>
      <c r="M17" s="3278"/>
      <c r="N17" s="3276" t="s">
        <v>2566</v>
      </c>
      <c r="O17" s="3277"/>
      <c r="P17" s="3278"/>
      <c r="R17" s="2282" t="s">
        <v>2311</v>
      </c>
      <c r="S17" s="144"/>
    </row>
    <row r="18" spans="1:19" ht="15">
      <c r="A18" s="117"/>
      <c r="B18" s="128"/>
      <c r="C18" s="129"/>
      <c r="D18" s="2604"/>
      <c r="E18" s="130" t="s">
        <v>220</v>
      </c>
      <c r="F18" s="131" t="s">
        <v>221</v>
      </c>
      <c r="G18" s="1362" t="s">
        <v>222</v>
      </c>
      <c r="H18" s="972" t="s">
        <v>223</v>
      </c>
      <c r="I18" s="973" t="s">
        <v>224</v>
      </c>
      <c r="J18" s="1967"/>
      <c r="K18" s="2567" t="s">
        <v>2567</v>
      </c>
      <c r="L18" s="2568" t="s">
        <v>2568</v>
      </c>
      <c r="M18" s="2569" t="s">
        <v>2569</v>
      </c>
      <c r="N18" s="2567" t="s">
        <v>2567</v>
      </c>
      <c r="O18" s="2568" t="s">
        <v>2568</v>
      </c>
      <c r="P18" s="2569" t="s">
        <v>2569</v>
      </c>
      <c r="R18" s="2283" t="s">
        <v>2309</v>
      </c>
      <c r="S18" s="2283" t="s">
        <v>2310</v>
      </c>
    </row>
    <row r="19" spans="1:19">
      <c r="A19" s="133"/>
      <c r="B19" s="115" t="s">
        <v>225</v>
      </c>
      <c r="C19" s="2975" t="s">
        <v>3103</v>
      </c>
      <c r="D19" s="111">
        <f t="shared" ref="D19:D26" si="1">ROUND($D$3*E19/$E$3,2)</f>
        <v>111025.1</v>
      </c>
      <c r="E19" s="134">
        <f t="shared" ref="E19:E26" si="2">SUM(F19:G19)</f>
        <v>248359.16</v>
      </c>
      <c r="F19" s="135">
        <f>'数据-基础表'!I13</f>
        <v>183350.32</v>
      </c>
      <c r="G19" s="1363">
        <f>'数据-基础表'!K13</f>
        <v>65008.84</v>
      </c>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111025.1</v>
      </c>
      <c r="S19" s="2284">
        <f t="shared" si="5"/>
        <v>248359.16</v>
      </c>
    </row>
    <row r="20" spans="1:19">
      <c r="A20" s="138"/>
      <c r="B20" s="115" t="s">
        <v>226</v>
      </c>
      <c r="C20" s="2975"/>
      <c r="D20" s="111">
        <f t="shared" si="1"/>
        <v>0</v>
      </c>
      <c r="E20" s="134">
        <f t="shared" si="2"/>
        <v>0</v>
      </c>
      <c r="F20" s="135"/>
      <c r="G20" s="1363"/>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3"/>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60"/>
      <c r="D22" s="111">
        <f t="shared" si="1"/>
        <v>0</v>
      </c>
      <c r="E22" s="134">
        <f t="shared" si="2"/>
        <v>0</v>
      </c>
      <c r="F22" s="140"/>
      <c r="G22" s="1364"/>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111025.1</v>
      </c>
      <c r="E27" s="143">
        <f>IF(SUM(E19:E26)='数据-基础表'!BA5,SUM(E19:E26),IF(F27="地上面积有误","面积有误","地下面积有误"))</f>
        <v>248359.16</v>
      </c>
      <c r="F27" s="134">
        <f>IF(SUM(F19:F26)=E8,SUM(F19:F26),"地上面积有误")</f>
        <v>183350.32</v>
      </c>
      <c r="G27" s="112">
        <f>SUM(G19:G26)</f>
        <v>65008.84</v>
      </c>
      <c r="H27" s="975">
        <f>SUM(H19:H26)</f>
        <v>0</v>
      </c>
      <c r="I27" s="976">
        <f>SUM(I19:I26)</f>
        <v>0</v>
      </c>
      <c r="J27" s="1967"/>
      <c r="K27" s="2579">
        <f t="shared" ref="K27:P27" si="10">SUM(K19:K26)</f>
        <v>0</v>
      </c>
      <c r="L27" s="2580">
        <f t="shared" si="10"/>
        <v>0</v>
      </c>
      <c r="M27" s="2581">
        <f t="shared" si="10"/>
        <v>0</v>
      </c>
      <c r="N27" s="2579">
        <f t="shared" si="10"/>
        <v>0</v>
      </c>
      <c r="O27" s="2580">
        <f t="shared" si="10"/>
        <v>0</v>
      </c>
      <c r="P27" s="2582">
        <f t="shared" si="10"/>
        <v>0</v>
      </c>
      <c r="R27" s="2288">
        <f>IF(SUM(R19:R26)=$D$3,SUM(R19:R26),SUM(R19:R26)&amp;"误差"&amp;ROUND(SUM(R19:R26)-$D$3,2))</f>
        <v>111025.1</v>
      </c>
      <c r="S27" s="275">
        <f>IF(SUM(S19:S26)=$E$3,SUM(S19:S26),SUM(S19:S26)&amp;"误差"&amp;ROUND(SUM(S19:S26)-E3,2))</f>
        <v>248359.16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2322</v>
      </c>
      <c r="D31" s="1367">
        <f>D27+D30</f>
        <v>111025.1</v>
      </c>
      <c r="E31" s="1367">
        <f>E27+E30</f>
        <v>248359.16</v>
      </c>
      <c r="F31" s="1368">
        <f>F27+F30</f>
        <v>183350.32</v>
      </c>
      <c r="G31" s="1369">
        <f>G27+G30</f>
        <v>65008.84</v>
      </c>
      <c r="H31" s="1967"/>
      <c r="I31" s="1967"/>
      <c r="J31" s="1967"/>
      <c r="K31" s="1967"/>
      <c r="L31" s="1967"/>
    </row>
    <row r="32" spans="1:19">
      <c r="A32" s="1967"/>
      <c r="B32" s="2325" t="s">
        <v>2321</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6" sqref="A6:XFD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1" width="12.125" style="1198" customWidth="1"/>
    <col min="22" max="22" width="6.375" style="1198" customWidth="1"/>
    <col min="23" max="24" width="6.75" style="1198" customWidth="1"/>
    <col min="25" max="25" width="8.125" style="1198" customWidth="1"/>
    <col min="26" max="26" width="9.875" style="1198" customWidth="1"/>
    <col min="27"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43810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东西地块</v>
      </c>
      <c r="B6" s="2320" t="str">
        <f>IF(A6=0,"","经营性")</f>
        <v>经营性</v>
      </c>
      <c r="C6" s="173" t="s">
        <v>1677</v>
      </c>
      <c r="D6" s="2291">
        <f>SUMIF(项目基本情况!D$15:I$15,C6,项目基本情况!D$18:I$18)</f>
        <v>50</v>
      </c>
      <c r="E6" s="2292">
        <f>IF(B6="","",SUMIF(项目基本情况!D$15:I$15,C6,项目基本情况!D$17:I$17))</f>
        <v>60463</v>
      </c>
      <c r="F6" s="174">
        <f>SUMIF(项目基本情况!D$15:I$15,C6,项目基本情况!D$19:I$19)</f>
        <v>45.62</v>
      </c>
      <c r="G6" s="175">
        <f t="shared" ref="G6:G13" si="0">IF(ISERROR(ROUND(POWER(1+H6,D6-F6)*(POWER(1+H6,F6)-1)/(POWER(1+H6,D6)-1),3)),0,ROUND(POWER(1+H6,D6-F6)*(POWER(1+H6,F6)-1)/(POWER(1+H6,D6)-1),3))</f>
        <v>0.98</v>
      </c>
      <c r="H6" s="2976">
        <v>5.5E-2</v>
      </c>
      <c r="I6" s="2976">
        <v>0.06</v>
      </c>
      <c r="J6" s="176">
        <v>0.08</v>
      </c>
      <c r="K6" s="179">
        <f>SUMIF('数据-汇总表'!C$19:C$33,'数据-取费表'!A6,'数据-汇总表'!E$19:E$33)</f>
        <v>248359.16</v>
      </c>
      <c r="L6" s="2977">
        <v>5600</v>
      </c>
      <c r="M6" s="177">
        <f t="shared" ref="M6:M14" si="1">ROUND(K6*L6/10000,0)</f>
        <v>139081</v>
      </c>
      <c r="N6" s="2978">
        <v>0</v>
      </c>
      <c r="O6" s="177">
        <f>IF($N$5="成新度","——",ROUND(M6*N6,0))</f>
        <v>0</v>
      </c>
      <c r="P6" s="178">
        <f>IF($N$5="成新度","——",M6-O6)</f>
        <v>139081</v>
      </c>
      <c r="Q6" s="2979">
        <v>0.3</v>
      </c>
      <c r="R6" s="179">
        <f>SUMIF('数据-汇总表'!C$19:C$33,A6,'数据-汇总表'!R$19:R$33)</f>
        <v>111025.1</v>
      </c>
      <c r="S6" s="132">
        <f>IF('数据-汇总表'!$I$17="按面积比例",SUMIF('数据-汇总表'!C$19:C$33,A6,'数据-汇总表'!K$19:K$33),SUMIF('数据-汇总表'!C$19:C$33,A6,'数据-汇总表'!N$19:N$33))</f>
        <v>0</v>
      </c>
      <c r="T6" s="2217" t="str">
        <f>IF($T$4="按面积比例",IF(ISERROR(ROUND($M$14*S6/S$16,0)),"0",ROUND($M$14*S6/S$16,0)),"需自行计算录入")</f>
        <v>0</v>
      </c>
      <c r="U6" s="180">
        <f>酒店收入计算!E26*10000</f>
        <v>120000000</v>
      </c>
      <c r="V6" s="181"/>
      <c r="W6" s="181">
        <v>0</v>
      </c>
      <c r="X6" s="2304"/>
      <c r="Y6" s="182">
        <v>1</v>
      </c>
      <c r="Z6" s="183">
        <f>'酒店收入计算 (2)'!E26*10000</f>
        <v>180000000</v>
      </c>
      <c r="AA6" s="176">
        <v>0.02</v>
      </c>
      <c r="AB6" s="176"/>
      <c r="AC6" s="2307"/>
      <c r="AD6" s="3194">
        <v>0.98</v>
      </c>
      <c r="AE6" s="972">
        <f ca="1">IF(AN6="",0,SUMIF(INDIRECT("'"&amp;AN6&amp;"'"&amp;"!E:E"),$AE$5,INDIRECT("'"&amp;AN6&amp;"'"&amp;"!F:F")))</f>
        <v>42.62</v>
      </c>
      <c r="AF6" s="141">
        <v>3</v>
      </c>
      <c r="AG6" s="1208">
        <f ca="1">IF(AF6="",0,AE6-AF6)</f>
        <v>39.619999999999997</v>
      </c>
      <c r="AH6" s="141">
        <v>1</v>
      </c>
      <c r="AI6" s="187">
        <v>1</v>
      </c>
      <c r="AJ6" s="188"/>
      <c r="AK6" s="189">
        <v>1.4999999999999999E-2</v>
      </c>
      <c r="AL6" s="190">
        <v>2E-3</v>
      </c>
      <c r="AM6" s="2990">
        <v>1.4999999999999999E-2</v>
      </c>
      <c r="AN6" s="2354" t="s">
        <v>3101</v>
      </c>
      <c r="AO6" s="1983"/>
      <c r="AP6" s="1199">
        <f>ROUND(1-1/(1+H6)^F6,3)</f>
        <v>0.91300000000000003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f>'数据-汇总表'!C20</f>
        <v>0</v>
      </c>
      <c r="B7" s="2320" t="str">
        <f t="shared" ref="B7:B13" si="2">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si="0"/>
        <v>0</v>
      </c>
      <c r="H7" s="2976"/>
      <c r="I7" s="2976"/>
      <c r="J7" s="176"/>
      <c r="K7" s="179">
        <f>SUMIF('数据-汇总表'!C$19:C$33,'数据-取费表'!A7,'数据-汇总表'!E$19:E$33)</f>
        <v>0</v>
      </c>
      <c r="L7" s="2977"/>
      <c r="M7" s="177">
        <f t="shared" si="1"/>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f>'数据-汇总表'!C21</f>
        <v>0</v>
      </c>
      <c r="B8" s="2320" t="str">
        <f t="shared" si="2"/>
        <v/>
      </c>
      <c r="C8" s="173"/>
      <c r="D8" s="2291">
        <f>SUMIF(项目基本情况!D$15:I$15,C8,项目基本情况!D$18:I$18)</f>
        <v>0</v>
      </c>
      <c r="E8" s="2292" t="str">
        <f>IF(B8="","",SUMIF(项目基本情况!D$15:I$15,C8,项目基本情况!D$17:I$17))</f>
        <v/>
      </c>
      <c r="F8" s="174">
        <f>SUMIF(项目基本情况!D$15:I$15,C8,项目基本情况!D$19:I$19)</f>
        <v>0</v>
      </c>
      <c r="G8" s="175">
        <f t="shared" si="0"/>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2"/>
        <v/>
      </c>
      <c r="C9" s="173"/>
      <c r="D9" s="2291">
        <f>SUMIF(项目基本情况!D$15:I$15,C9,项目基本情况!D$18:I$18)</f>
        <v>0</v>
      </c>
      <c r="E9" s="2292"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2"/>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2"/>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2"/>
        <v/>
      </c>
      <c r="C12" s="173"/>
      <c r="D12" s="2291">
        <f>SUMIF(项目基本情况!D$15:I$15,C12,项目基本情况!D$18:I$18)</f>
        <v>0</v>
      </c>
      <c r="E12" s="2292"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2"/>
        <v/>
      </c>
      <c r="C13" s="173"/>
      <c r="D13" s="2291">
        <f>SUMIF(项目基本情况!D$15:I$15,C13,项目基本情况!D$18:I$18)</f>
        <v>0</v>
      </c>
      <c r="E13" s="2292"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c r="M14" s="177">
        <f t="shared" si="1"/>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0.98</v>
      </c>
      <c r="H16" s="203">
        <f>ROUND(SUMPRODUCT(H6:H13,K6:K13)/SUMPRODUCT((H6:H13&gt;0)*(K6:K13)),3)</f>
        <v>5.5E-2</v>
      </c>
      <c r="I16" s="204"/>
      <c r="J16" s="204"/>
      <c r="K16" s="205">
        <f>SUM(K6:K15)</f>
        <v>248359.16</v>
      </c>
      <c r="L16" s="206">
        <f>ROUND(M16*10000/SUM(K6:K14),0)</f>
        <v>5600</v>
      </c>
      <c r="M16" s="206">
        <f>SUM(M6:M14)</f>
        <v>139081</v>
      </c>
      <c r="N16" s="207">
        <f>ROUND(SUMPRODUCT(M6:M14,N6:N14)/M16,3)</f>
        <v>0</v>
      </c>
      <c r="O16" s="206">
        <f>SUM(O6:O14)</f>
        <v>0</v>
      </c>
      <c r="P16" s="206">
        <f>SUM(P6:P14)</f>
        <v>139081</v>
      </c>
      <c r="Q16" s="208">
        <f>ROUND(SUMPRODUCT(Q6:Q13,K6:K13)/SUMPRODUCT((Q6:Q13&gt;0)*(K6:K13)),2)</f>
        <v>0.3</v>
      </c>
      <c r="R16" s="2294">
        <f>SUM(R6:R13)</f>
        <v>111025.1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0.91300000000000003</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f>Z6/10000</f>
        <v>18000</v>
      </c>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240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v>0</v>
      </c>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v>240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3197">
        <v>240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240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3198">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12</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925</v>
      </c>
      <c r="C53" s="3026" t="s">
        <v>2903</v>
      </c>
      <c r="D53" s="3027"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2905</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2906</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2907</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2908</v>
      </c>
      <c r="B57" s="186">
        <v>12</v>
      </c>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2909</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2910</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2911</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2914</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5" sqref="H15"/>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8" t="s">
        <v>1663</v>
      </c>
      <c r="B1" s="3289"/>
      <c r="C1" s="3289"/>
      <c r="D1" s="3289"/>
      <c r="E1" s="3289"/>
      <c r="F1" s="3289"/>
      <c r="G1" s="3289"/>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54">
      <c r="A3" s="1222" t="s">
        <v>1666</v>
      </c>
      <c r="B3" s="1223" t="s">
        <v>1653</v>
      </c>
      <c r="C3" s="3031" t="s">
        <v>2921</v>
      </c>
      <c r="D3" s="1992"/>
      <c r="E3" s="1224" t="s">
        <v>1666</v>
      </c>
      <c r="F3" s="1225" t="s">
        <v>1654</v>
      </c>
      <c r="G3" s="3035" t="s">
        <v>2920</v>
      </c>
      <c r="H3" s="1991"/>
      <c r="I3" s="1991"/>
      <c r="J3" s="1991"/>
      <c r="K3" s="1991"/>
      <c r="L3" s="1991"/>
      <c r="M3" s="1991"/>
      <c r="N3" s="1991"/>
      <c r="O3" s="1991"/>
      <c r="P3" s="1991"/>
      <c r="Q3" s="1991"/>
      <c r="R3" s="1991"/>
    </row>
    <row r="4" spans="1:18" ht="41.25">
      <c r="A4" s="1224"/>
      <c r="B4" s="1226" t="s">
        <v>1667</v>
      </c>
      <c r="C4" s="3032" t="s">
        <v>2922</v>
      </c>
      <c r="D4" s="1992"/>
      <c r="E4" s="1227"/>
      <c r="F4" s="1228" t="s">
        <v>1668</v>
      </c>
      <c r="G4" s="3033" t="s">
        <v>2917</v>
      </c>
      <c r="H4" s="1991"/>
      <c r="I4" s="1991"/>
      <c r="J4" s="1991"/>
      <c r="K4" s="1991"/>
      <c r="L4" s="1991"/>
      <c r="M4" s="1991"/>
      <c r="N4" s="1991"/>
      <c r="O4" s="1991"/>
      <c r="P4" s="1991"/>
      <c r="Q4" s="1991"/>
      <c r="R4" s="1991"/>
    </row>
    <row r="5" spans="1:18" ht="41.25">
      <c r="A5" s="1224"/>
      <c r="B5" s="1226" t="s">
        <v>1669</v>
      </c>
      <c r="C5" s="3032" t="s">
        <v>2923</v>
      </c>
      <c r="D5" s="1992"/>
      <c r="E5" s="1227"/>
      <c r="F5" s="1226" t="s">
        <v>2544</v>
      </c>
      <c r="G5" s="3033" t="s">
        <v>2918</v>
      </c>
      <c r="H5" s="1991"/>
      <c r="I5" s="1991"/>
      <c r="J5" s="1991"/>
      <c r="K5" s="1991"/>
      <c r="L5" s="1991"/>
      <c r="M5" s="1991"/>
      <c r="N5" s="1991"/>
      <c r="O5" s="1991"/>
      <c r="P5" s="1991"/>
      <c r="Q5" s="1991"/>
      <c r="R5" s="1991"/>
    </row>
    <row r="6" spans="1:18" ht="54">
      <c r="A6" s="1224"/>
      <c r="B6" s="1226" t="s">
        <v>1655</v>
      </c>
      <c r="C6" s="3033" t="s">
        <v>2917</v>
      </c>
      <c r="D6" s="1992"/>
      <c r="E6" s="1227"/>
      <c r="F6" s="1226" t="s">
        <v>2545</v>
      </c>
      <c r="G6" s="3033" t="s">
        <v>2915</v>
      </c>
      <c r="H6" s="1991"/>
      <c r="I6" s="1991"/>
      <c r="J6" s="1991"/>
      <c r="K6" s="1991"/>
      <c r="L6" s="1991"/>
      <c r="M6" s="1991"/>
      <c r="N6" s="1991"/>
      <c r="O6" s="1991"/>
      <c r="P6" s="1991"/>
      <c r="Q6" s="1991"/>
      <c r="R6" s="1991"/>
    </row>
    <row r="7" spans="1:18" ht="41.25" thickBot="1">
      <c r="A7" s="1224"/>
      <c r="B7" s="1226" t="s">
        <v>2544</v>
      </c>
      <c r="C7" s="3033" t="s">
        <v>2918</v>
      </c>
      <c r="D7" s="1993"/>
      <c r="E7" s="1229"/>
      <c r="F7" s="1230" t="s">
        <v>1670</v>
      </c>
      <c r="G7" s="3036" t="s">
        <v>2919</v>
      </c>
      <c r="H7" s="1991"/>
      <c r="I7" s="1991"/>
      <c r="J7" s="1991"/>
      <c r="K7" s="1991"/>
      <c r="L7" s="1991"/>
      <c r="M7" s="1991"/>
      <c r="N7" s="1991"/>
      <c r="O7" s="1991"/>
      <c r="P7" s="1991"/>
      <c r="Q7" s="1991"/>
      <c r="R7" s="1991"/>
    </row>
    <row r="8" spans="1:18" ht="27">
      <c r="A8" s="1224"/>
      <c r="B8" s="1226" t="s">
        <v>2545</v>
      </c>
      <c r="C8" s="3033" t="s">
        <v>2915</v>
      </c>
      <c r="D8" s="1993"/>
      <c r="E8" s="1993"/>
      <c r="F8" s="1538"/>
      <c r="G8" s="1538"/>
      <c r="H8" s="1991"/>
      <c r="I8" s="1991"/>
      <c r="J8" s="1991"/>
      <c r="K8" s="1991"/>
      <c r="L8" s="1991"/>
      <c r="M8" s="1991"/>
      <c r="N8" s="1991"/>
      <c r="O8" s="1991"/>
      <c r="P8" s="1991"/>
      <c r="Q8" s="1991"/>
      <c r="R8" s="1991"/>
    </row>
    <row r="9" spans="1:18" ht="40.5">
      <c r="A9" s="1224"/>
      <c r="B9" s="1226" t="s">
        <v>1656</v>
      </c>
      <c r="C9" s="3032" t="s">
        <v>2916</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0.5">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54">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2544</v>
      </c>
      <c r="G19" s="1004" t="str">
        <f>G5</f>
        <v>估价对象所在区域公共配套设施齐备情况</v>
      </c>
    </row>
    <row r="20" spans="1:7" ht="40.5">
      <c r="A20" s="2551"/>
      <c r="B20" s="1242" t="s">
        <v>1660</v>
      </c>
      <c r="C20" s="1241" t="str">
        <f>C9</f>
        <v>区域自然环境：；人文环境；综合评价环境状况一般</v>
      </c>
      <c r="D20" s="1993"/>
      <c r="E20" s="2548"/>
      <c r="F20" s="1226" t="s">
        <v>2545</v>
      </c>
      <c r="G20" s="1004" t="str">
        <f>G6</f>
        <v>估价对象所在区域基础设施水平</v>
      </c>
    </row>
    <row r="21" spans="1:7" ht="27">
      <c r="A21" s="2551"/>
      <c r="B21" s="1226" t="s">
        <v>2544</v>
      </c>
      <c r="C21" s="1004" t="str">
        <f>C7</f>
        <v>估价对象所在区域公共配套设施齐备情况</v>
      </c>
      <c r="D21" s="1992"/>
      <c r="E21" s="2548"/>
      <c r="F21" s="1242" t="s">
        <v>1661</v>
      </c>
      <c r="G21" s="3037"/>
    </row>
    <row r="22" spans="1:7" ht="27">
      <c r="A22" s="2551"/>
      <c r="B22" s="1226" t="s">
        <v>2545</v>
      </c>
      <c r="C22" s="1004" t="str">
        <f>C8</f>
        <v>估价对象所在区域基础设施水平</v>
      </c>
      <c r="D22" s="1992"/>
      <c r="E22" s="2548"/>
      <c r="F22" s="1242" t="s">
        <v>1671</v>
      </c>
      <c r="G22" s="2748"/>
    </row>
    <row r="23" spans="1:7" ht="15" thickBot="1">
      <c r="A23" s="2551"/>
      <c r="B23" s="1242" t="s">
        <v>1661</v>
      </c>
      <c r="C23" s="3037"/>
      <c r="E23" s="2549"/>
      <c r="F23" s="1243" t="s">
        <v>1675</v>
      </c>
      <c r="G23" s="3038"/>
    </row>
    <row r="24" spans="1:7" ht="14.2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2842</v>
      </c>
      <c r="B1" s="2995">
        <f>SUM(B14:B23)</f>
        <v>248359.16</v>
      </c>
      <c r="C1" s="2996"/>
      <c r="D1" s="2996"/>
      <c r="E1" s="2996"/>
      <c r="F1" s="2996"/>
    </row>
    <row r="2" spans="1:9" ht="16.5">
      <c r="A2" s="2995" t="s">
        <v>2843</v>
      </c>
      <c r="B2" s="2995">
        <f>SUM(C14:C23)</f>
        <v>111025.1</v>
      </c>
      <c r="C2" s="2996"/>
      <c r="D2" s="2996"/>
      <c r="E2" s="2996"/>
      <c r="F2" s="2996"/>
    </row>
    <row r="3" spans="1:9" ht="16.5">
      <c r="A3" s="2995" t="s">
        <v>2844</v>
      </c>
      <c r="B3" s="2997">
        <f>项目基本情况!D3</f>
        <v>43810</v>
      </c>
      <c r="C3" s="2996"/>
      <c r="D3" s="2996"/>
      <c r="E3" s="2996"/>
      <c r="F3" s="2996"/>
    </row>
    <row r="4" spans="1:9" ht="33">
      <c r="A4" s="2995" t="s">
        <v>2845</v>
      </c>
      <c r="B4" s="2995" t="s">
        <v>2846</v>
      </c>
      <c r="C4" s="2995" t="s">
        <v>2847</v>
      </c>
      <c r="D4" s="2995" t="s">
        <v>2848</v>
      </c>
      <c r="E4" s="2996"/>
      <c r="F4" s="2996"/>
    </row>
    <row r="5" spans="1:9" ht="16.5">
      <c r="A5" s="2995" t="s">
        <v>2849</v>
      </c>
      <c r="B5" s="2995">
        <f ca="1">SUM(D14:D23)</f>
        <v>10526</v>
      </c>
      <c r="C5" s="2995">
        <f ca="1">ROUND(B5*10000/$B$1,0)</f>
        <v>424</v>
      </c>
      <c r="D5" s="2995">
        <f ca="1">ROUND(B5*10000/$B$2,0)</f>
        <v>948</v>
      </c>
      <c r="E5" s="2996"/>
      <c r="F5" s="2996"/>
    </row>
    <row r="6" spans="1:9" ht="16.5">
      <c r="A6" s="2995" t="s">
        <v>2850</v>
      </c>
      <c r="B6" s="2995">
        <f>SUM(G14:G23)</f>
        <v>0</v>
      </c>
      <c r="C6" s="2995">
        <f>ROUND(B6*10000/$B$1,0)</f>
        <v>0</v>
      </c>
      <c r="D6" s="2995">
        <f>ROUND(B6*10000/$B$2,0)</f>
        <v>0</v>
      </c>
      <c r="E6" s="2996"/>
      <c r="F6" s="2996"/>
    </row>
    <row r="7" spans="1:9" ht="16.5">
      <c r="A7" s="2995" t="s">
        <v>2851</v>
      </c>
      <c r="B7" s="2995">
        <f>SUM(H14:H23)</f>
        <v>0</v>
      </c>
      <c r="C7" s="2995">
        <f>ROUND(B7*10000/$B$1,0)</f>
        <v>0</v>
      </c>
      <c r="D7" s="2995">
        <f>ROUND(B7*10000/$B$2,0)</f>
        <v>0</v>
      </c>
      <c r="E7" s="2996"/>
      <c r="F7" s="2996"/>
    </row>
    <row r="8" spans="1:9" ht="16.5">
      <c r="A8" s="2995" t="s">
        <v>2852</v>
      </c>
      <c r="B8" s="2995">
        <f>SUM(I14:I23)</f>
        <v>0</v>
      </c>
      <c r="C8" s="2995">
        <f>ROUND(B8*10000/$B$1,0)</f>
        <v>0</v>
      </c>
      <c r="D8" s="2995">
        <f>ROUND(B8*10000/$B$2,0)</f>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248359.16</v>
      </c>
      <c r="C14" s="2999">
        <f>结果表!K38</f>
        <v>111025.1</v>
      </c>
      <c r="D14" s="2999">
        <f ca="1">结果表!C42</f>
        <v>10526</v>
      </c>
      <c r="E14" s="2999">
        <f ca="1">ROUND(D14*10000/B14,0)</f>
        <v>424</v>
      </c>
      <c r="F14" s="2999">
        <f ca="1">ROUND(D14*10000/C14,0)</f>
        <v>948</v>
      </c>
      <c r="G14" s="2999" t="str">
        <f>结果表!C44</f>
        <v>——</v>
      </c>
      <c r="H14" s="2999" t="str">
        <f>结果表!C45</f>
        <v>——</v>
      </c>
      <c r="I14" s="2999" t="str">
        <f>结果表!C46</f>
        <v>——</v>
      </c>
    </row>
    <row r="15" spans="1:9" ht="16.5">
      <c r="A15" s="3002" t="s">
        <v>2859</v>
      </c>
      <c r="B15" s="3003"/>
      <c r="C15" s="3003"/>
      <c r="D15" s="3003"/>
      <c r="E15" s="2999" t="e">
        <f t="shared" ref="E15:E23" si="0">ROUND(D15*10000/B15,0)</f>
        <v>#DIV/0!</v>
      </c>
      <c r="F15" s="2999" t="e">
        <f t="shared" ref="F15:F23" si="1">ROUND(D15*10000/C15,0)</f>
        <v>#DIV/0!</v>
      </c>
      <c r="G15" s="3000"/>
      <c r="H15" s="3000"/>
      <c r="I15" s="3003"/>
    </row>
    <row r="16" spans="1:9" ht="16.5">
      <c r="A16" s="3002" t="s">
        <v>2860</v>
      </c>
      <c r="B16" s="3003"/>
      <c r="C16" s="3003"/>
      <c r="D16" s="3003"/>
      <c r="E16" s="2999" t="e">
        <f t="shared" si="0"/>
        <v>#DIV/0!</v>
      </c>
      <c r="F16" s="2999" t="e">
        <f t="shared" si="1"/>
        <v>#DIV/0!</v>
      </c>
      <c r="G16" s="3000"/>
      <c r="H16" s="3000"/>
      <c r="I16" s="3003"/>
    </row>
    <row r="17" spans="1:9" ht="16.5">
      <c r="A17" s="3002" t="s">
        <v>2861</v>
      </c>
      <c r="B17" s="3003"/>
      <c r="C17" s="3003"/>
      <c r="D17" s="3003"/>
      <c r="E17" s="2999" t="e">
        <f t="shared" si="0"/>
        <v>#DIV/0!</v>
      </c>
      <c r="F17" s="2999" t="e">
        <f t="shared" si="1"/>
        <v>#DIV/0!</v>
      </c>
      <c r="G17" s="3000"/>
      <c r="H17" s="3000"/>
      <c r="I17" s="3003"/>
    </row>
    <row r="18" spans="1:9" ht="16.5">
      <c r="A18" s="3002" t="s">
        <v>2862</v>
      </c>
      <c r="B18" s="3003"/>
      <c r="C18" s="3003"/>
      <c r="D18" s="3003"/>
      <c r="E18" s="2999" t="e">
        <f t="shared" si="0"/>
        <v>#DIV/0!</v>
      </c>
      <c r="F18" s="2999" t="e">
        <f t="shared" si="1"/>
        <v>#DIV/0!</v>
      </c>
      <c r="G18" s="3003"/>
      <c r="H18" s="3003"/>
      <c r="I18" s="3003"/>
    </row>
    <row r="19" spans="1:9" ht="16.5">
      <c r="A19" s="3002" t="s">
        <v>2863</v>
      </c>
      <c r="B19" s="3003"/>
      <c r="C19" s="3003"/>
      <c r="D19" s="3003"/>
      <c r="E19" s="2999" t="e">
        <f t="shared" si="0"/>
        <v>#DIV/0!</v>
      </c>
      <c r="F19" s="2999" t="e">
        <f t="shared" si="1"/>
        <v>#DIV/0!</v>
      </c>
      <c r="G19" s="3003"/>
      <c r="H19" s="3003"/>
      <c r="I19" s="3003"/>
    </row>
    <row r="20" spans="1:9" ht="16.5">
      <c r="A20" s="3002" t="s">
        <v>2864</v>
      </c>
      <c r="B20" s="3003"/>
      <c r="C20" s="3003"/>
      <c r="D20" s="3003"/>
      <c r="E20" s="2999" t="e">
        <f t="shared" si="0"/>
        <v>#DIV/0!</v>
      </c>
      <c r="F20" s="2999" t="e">
        <f t="shared" si="1"/>
        <v>#DIV/0!</v>
      </c>
      <c r="G20" s="3003"/>
      <c r="H20" s="3003"/>
      <c r="I20" s="3003"/>
    </row>
    <row r="21" spans="1:9" ht="16.5">
      <c r="A21" s="3002" t="s">
        <v>2865</v>
      </c>
      <c r="B21" s="3003"/>
      <c r="C21" s="3003"/>
      <c r="D21" s="3003"/>
      <c r="E21" s="2999" t="e">
        <f t="shared" si="0"/>
        <v>#DIV/0!</v>
      </c>
      <c r="F21" s="2999" t="e">
        <f t="shared" si="1"/>
        <v>#DIV/0!</v>
      </c>
      <c r="G21" s="3003"/>
      <c r="H21" s="3003"/>
      <c r="I21" s="3003"/>
    </row>
    <row r="22" spans="1:9" ht="16.5">
      <c r="A22" s="3002" t="s">
        <v>2866</v>
      </c>
      <c r="B22" s="3003"/>
      <c r="C22" s="3003"/>
      <c r="D22" s="3003"/>
      <c r="E22" s="2999" t="e">
        <f t="shared" si="0"/>
        <v>#DIV/0!</v>
      </c>
      <c r="F22" s="2999" t="e">
        <f t="shared" si="1"/>
        <v>#DIV/0!</v>
      </c>
      <c r="G22" s="3003"/>
      <c r="H22" s="3003"/>
      <c r="I22" s="3003"/>
    </row>
    <row r="23" spans="1:9" ht="16.5">
      <c r="A23" s="3002" t="s">
        <v>2867</v>
      </c>
      <c r="B23" s="3003"/>
      <c r="C23" s="3003"/>
      <c r="D23" s="3003"/>
      <c r="E23" s="2995" t="e">
        <f t="shared" si="0"/>
        <v>#DIV/0!</v>
      </c>
      <c r="F23" s="2995" t="e">
        <f t="shared" si="1"/>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9" t="s">
        <v>2055</v>
      </c>
      <c r="B1" s="1760"/>
      <c r="C1" s="1788" t="s">
        <v>2056</v>
      </c>
      <c r="D1" s="1789"/>
      <c r="E1" s="1788" t="s">
        <v>2057</v>
      </c>
      <c r="F1" s="1790"/>
      <c r="G1" s="311"/>
      <c r="H1" s="311"/>
      <c r="I1" s="311"/>
      <c r="J1" s="2012"/>
      <c r="K1" s="2012"/>
      <c r="L1" s="2012"/>
      <c r="M1" s="2012"/>
      <c r="N1" s="2012"/>
      <c r="O1" s="2012"/>
      <c r="P1" s="2012"/>
      <c r="Q1" s="2012"/>
      <c r="R1" s="2012"/>
      <c r="S1" s="2012"/>
      <c r="T1" s="2012"/>
      <c r="U1" s="2012"/>
      <c r="V1" s="2012"/>
    </row>
    <row r="2" spans="1:22" ht="21.75" customHeight="1" thickBot="1">
      <c r="A2" s="3326" t="str">
        <f>项目基本情况!K2</f>
        <v>出让国有建设用地使用权</v>
      </c>
      <c r="B2" s="3327"/>
      <c r="C2" s="3328"/>
      <c r="D2" s="3328"/>
      <c r="E2" s="3328"/>
      <c r="F2" s="3328"/>
      <c r="G2" s="3327"/>
      <c r="H2" s="3327"/>
      <c r="I2" s="3329"/>
      <c r="J2" s="2013"/>
      <c r="K2" s="2012"/>
      <c r="L2" s="2012"/>
      <c r="M2" s="2012"/>
      <c r="N2" s="2012"/>
      <c r="O2" s="2012"/>
      <c r="P2" s="2012"/>
      <c r="Q2" s="2012"/>
      <c r="R2" s="2012"/>
      <c r="S2" s="2012"/>
      <c r="T2" s="2012"/>
      <c r="U2" s="2012"/>
      <c r="V2" s="2012"/>
    </row>
    <row r="3" spans="1:22" ht="14.25">
      <c r="A3" s="3319" t="s">
        <v>298</v>
      </c>
      <c r="B3" s="3320"/>
      <c r="C3" s="3320"/>
      <c r="D3" s="3320"/>
      <c r="E3" s="3320"/>
      <c r="F3" s="3320"/>
      <c r="G3" s="3320"/>
      <c r="H3" s="3320"/>
      <c r="I3" s="3320"/>
      <c r="J3" s="2013"/>
      <c r="K3" s="2012"/>
      <c r="L3" s="2012"/>
      <c r="M3" s="2012"/>
      <c r="N3" s="2012"/>
      <c r="O3" s="2012"/>
      <c r="P3" s="2012"/>
      <c r="Q3" s="2012"/>
      <c r="R3" s="2012"/>
      <c r="S3" s="2012"/>
      <c r="T3" s="2012"/>
      <c r="U3" s="2012"/>
      <c r="V3" s="2012"/>
    </row>
    <row r="4" spans="1:22" ht="14.25">
      <c r="A4" s="258" t="s">
        <v>299</v>
      </c>
      <c r="B4" s="259" t="s">
        <v>300</v>
      </c>
      <c r="C4" s="260" t="s">
        <v>3107</v>
      </c>
      <c r="D4" s="260" t="s">
        <v>3106</v>
      </c>
      <c r="E4" s="3291" t="s">
        <v>301</v>
      </c>
      <c r="F4" s="3292"/>
      <c r="G4" s="3292"/>
      <c r="H4" s="3292"/>
      <c r="I4" s="3321"/>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90" t="s">
        <v>302</v>
      </c>
      <c r="B5" s="3316">
        <v>25</v>
      </c>
      <c r="C5" s="3314"/>
      <c r="D5" s="3318"/>
      <c r="E5" s="261" t="s">
        <v>303</v>
      </c>
      <c r="F5" s="262"/>
      <c r="G5" s="262"/>
      <c r="H5" s="262"/>
      <c r="I5" s="263"/>
      <c r="J5" s="2013"/>
      <c r="K5" s="2012"/>
      <c r="L5" s="2012"/>
      <c r="M5" s="2012"/>
      <c r="N5" s="2012"/>
      <c r="O5" s="2012"/>
      <c r="P5" s="2012"/>
      <c r="Q5" s="2012"/>
      <c r="R5" s="2012"/>
      <c r="S5" s="2012"/>
      <c r="T5" s="2012"/>
      <c r="U5" s="2012"/>
      <c r="V5" s="2012"/>
    </row>
    <row r="6" spans="1:22" ht="14.25">
      <c r="A6" s="3290"/>
      <c r="B6" s="3316"/>
      <c r="C6" s="3317"/>
      <c r="D6" s="3318"/>
      <c r="E6" s="261" t="s">
        <v>304</v>
      </c>
      <c r="F6" s="262"/>
      <c r="G6" s="262"/>
      <c r="H6" s="262"/>
      <c r="I6" s="263"/>
      <c r="J6" s="2013"/>
      <c r="K6" s="2012"/>
      <c r="L6" s="2012"/>
      <c r="M6" s="2012"/>
      <c r="N6" s="2012"/>
      <c r="O6" s="2012"/>
      <c r="P6" s="2012"/>
      <c r="Q6" s="2012"/>
      <c r="R6" s="2012"/>
      <c r="S6" s="2012"/>
      <c r="T6" s="2012"/>
      <c r="U6" s="2012"/>
      <c r="V6" s="2012"/>
    </row>
    <row r="7" spans="1:22" ht="14.25">
      <c r="A7" s="3290"/>
      <c r="B7" s="3316"/>
      <c r="C7" s="3315"/>
      <c r="D7" s="3318"/>
      <c r="E7" s="261" t="s">
        <v>305</v>
      </c>
      <c r="F7" s="262"/>
      <c r="G7" s="262"/>
      <c r="H7" s="262"/>
      <c r="I7" s="263"/>
      <c r="J7" s="2013"/>
      <c r="K7" s="2012"/>
      <c r="L7" s="2012"/>
      <c r="M7" s="2012"/>
      <c r="N7" s="2012"/>
      <c r="O7" s="2012"/>
      <c r="P7" s="2012"/>
      <c r="Q7" s="2012"/>
      <c r="R7" s="2012"/>
      <c r="S7" s="2012"/>
      <c r="T7" s="2012"/>
      <c r="U7" s="2012"/>
      <c r="V7" s="2012"/>
    </row>
    <row r="8" spans="1:22" ht="14.25">
      <c r="A8" s="3290" t="s">
        <v>306</v>
      </c>
      <c r="B8" s="3316">
        <v>15</v>
      </c>
      <c r="C8" s="3314"/>
      <c r="D8" s="3318"/>
      <c r="E8" s="261" t="s">
        <v>307</v>
      </c>
      <c r="F8" s="262"/>
      <c r="G8" s="262"/>
      <c r="H8" s="262"/>
      <c r="I8" s="263"/>
      <c r="J8" s="2013"/>
      <c r="K8" s="2012"/>
      <c r="L8" s="2012"/>
      <c r="M8" s="2012"/>
      <c r="N8" s="2012"/>
      <c r="O8" s="2012"/>
      <c r="P8" s="2012"/>
      <c r="Q8" s="2012"/>
      <c r="R8" s="2012"/>
      <c r="S8" s="2012"/>
      <c r="T8" s="2012"/>
      <c r="U8" s="2012"/>
      <c r="V8" s="2012"/>
    </row>
    <row r="9" spans="1:22" ht="14.25">
      <c r="A9" s="3290"/>
      <c r="B9" s="3316"/>
      <c r="C9" s="3315"/>
      <c r="D9" s="3318"/>
      <c r="E9" s="261" t="s">
        <v>308</v>
      </c>
      <c r="F9" s="262"/>
      <c r="G9" s="262"/>
      <c r="H9" s="262"/>
      <c r="I9" s="263"/>
      <c r="J9" s="2013"/>
      <c r="K9" s="2012"/>
      <c r="L9" s="2012"/>
      <c r="M9" s="2012"/>
      <c r="N9" s="2012"/>
      <c r="O9" s="2012"/>
      <c r="P9" s="2012"/>
      <c r="Q9" s="2012"/>
      <c r="R9" s="2012"/>
      <c r="S9" s="2012"/>
      <c r="T9" s="2012"/>
      <c r="U9" s="2012"/>
      <c r="V9" s="2012"/>
    </row>
    <row r="10" spans="1:22" ht="14.25">
      <c r="A10" s="3290" t="s">
        <v>309</v>
      </c>
      <c r="B10" s="3316">
        <v>15</v>
      </c>
      <c r="C10" s="3314"/>
      <c r="D10" s="3318"/>
      <c r="E10" s="261" t="s">
        <v>310</v>
      </c>
      <c r="F10" s="262"/>
      <c r="G10" s="262"/>
      <c r="H10" s="262"/>
      <c r="I10" s="263"/>
      <c r="J10" s="2013"/>
      <c r="K10" s="2012"/>
      <c r="L10" s="2012"/>
      <c r="M10" s="2012"/>
      <c r="N10" s="2012"/>
      <c r="O10" s="2012"/>
      <c r="P10" s="2012"/>
      <c r="Q10" s="2012"/>
      <c r="R10" s="2012"/>
      <c r="S10" s="2012"/>
      <c r="T10" s="2012"/>
      <c r="U10" s="2012"/>
      <c r="V10" s="2012"/>
    </row>
    <row r="11" spans="1:22" ht="14.25">
      <c r="A11" s="3290"/>
      <c r="B11" s="3316"/>
      <c r="C11" s="3315"/>
      <c r="D11" s="3318"/>
      <c r="E11" s="261" t="s">
        <v>311</v>
      </c>
      <c r="F11" s="262"/>
      <c r="G11" s="262"/>
      <c r="H11" s="262"/>
      <c r="I11" s="263"/>
      <c r="J11" s="2013"/>
      <c r="K11" s="2012"/>
      <c r="L11" s="2012"/>
      <c r="M11" s="2012"/>
      <c r="N11" s="2012"/>
      <c r="O11" s="2012"/>
      <c r="P11" s="2012"/>
      <c r="Q11" s="2012"/>
      <c r="R11" s="2012"/>
      <c r="S11" s="2012"/>
      <c r="T11" s="2012"/>
      <c r="U11" s="2012"/>
      <c r="V11" s="2012"/>
    </row>
    <row r="12" spans="1:22" ht="14.25">
      <c r="A12" s="3290" t="s">
        <v>312</v>
      </c>
      <c r="B12" s="3316">
        <v>15</v>
      </c>
      <c r="C12" s="3314"/>
      <c r="D12" s="3318"/>
      <c r="E12" s="261" t="s">
        <v>313</v>
      </c>
      <c r="F12" s="262"/>
      <c r="G12" s="262"/>
      <c r="H12" s="262"/>
      <c r="I12" s="263"/>
      <c r="J12" s="2013"/>
      <c r="K12" s="2012"/>
      <c r="L12" s="2012"/>
      <c r="M12" s="2012"/>
      <c r="N12" s="2012"/>
      <c r="O12" s="2012"/>
      <c r="P12" s="2012"/>
      <c r="Q12" s="2012"/>
      <c r="R12" s="2012"/>
      <c r="S12" s="2012"/>
      <c r="T12" s="2012"/>
      <c r="U12" s="2012"/>
      <c r="V12" s="2012"/>
    </row>
    <row r="13" spans="1:22" ht="14.25">
      <c r="A13" s="3290"/>
      <c r="B13" s="3316"/>
      <c r="C13" s="3315"/>
      <c r="D13" s="3318"/>
      <c r="E13" s="261" t="s">
        <v>314</v>
      </c>
      <c r="F13" s="262"/>
      <c r="G13" s="262"/>
      <c r="H13" s="262"/>
      <c r="I13" s="263"/>
      <c r="J13" s="2013"/>
      <c r="K13" s="2012"/>
      <c r="L13" s="2012"/>
      <c r="M13" s="2012"/>
      <c r="N13" s="2012"/>
      <c r="O13" s="2012"/>
      <c r="P13" s="2012"/>
      <c r="Q13" s="2012"/>
      <c r="R13" s="2012"/>
      <c r="S13" s="2012"/>
      <c r="T13" s="2012"/>
      <c r="U13" s="2012"/>
      <c r="V13" s="2012"/>
    </row>
    <row r="14" spans="1:22" ht="14.25">
      <c r="A14" s="3290" t="s">
        <v>315</v>
      </c>
      <c r="B14" s="3316">
        <v>30</v>
      </c>
      <c r="C14" s="3314">
        <v>7</v>
      </c>
      <c r="D14" s="3318">
        <v>3</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290"/>
      <c r="B15" s="3316"/>
      <c r="C15" s="3317"/>
      <c r="D15" s="3318"/>
      <c r="E15" s="261" t="s">
        <v>317</v>
      </c>
      <c r="F15" s="262"/>
      <c r="G15" s="262"/>
      <c r="H15" s="262"/>
      <c r="I15" s="263"/>
      <c r="J15" s="2013"/>
      <c r="K15" s="2012"/>
      <c r="L15" s="2012"/>
      <c r="M15" s="2012"/>
      <c r="N15" s="2012"/>
      <c r="O15" s="2012"/>
      <c r="P15" s="2012"/>
      <c r="Q15" s="2012"/>
      <c r="R15" s="2012"/>
      <c r="S15" s="2012"/>
      <c r="T15" s="2012"/>
      <c r="U15" s="2012"/>
      <c r="V15" s="2012"/>
    </row>
    <row r="16" spans="1:22" ht="14.25">
      <c r="A16" s="3290"/>
      <c r="B16" s="3316"/>
      <c r="C16" s="3315"/>
      <c r="D16" s="3318"/>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7</v>
      </c>
      <c r="D17" s="265">
        <f>SUM(D5:D16)</f>
        <v>3</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0.7</v>
      </c>
      <c r="D18" s="267">
        <f>1-C18</f>
        <v>0.30000000000000004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9021</v>
      </c>
      <c r="D19" s="271">
        <f ca="1">SUMIF(INDIRECT("'"&amp;D4&amp;"'"&amp;"!A:A"),结果表!B19,INDIRECT("'"&amp;D4&amp;"'"&amp;"!B:B"))</f>
        <v>14036</v>
      </c>
      <c r="E19" s="268" t="s">
        <v>323</v>
      </c>
      <c r="F19" s="269" t="s">
        <v>322</v>
      </c>
      <c r="G19" s="272">
        <f ca="1">ROUND(C19*$C$18+D19*$D$18,0)</f>
        <v>10526</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363</v>
      </c>
      <c r="D20" s="277">
        <f ca="1">SUMIF(INDIRECT("'"&amp;D4&amp;"'"&amp;"!A:A"),结果表!B20,INDIRECT("'"&amp;D4&amp;"'"&amp;"!B:B"))</f>
        <v>565</v>
      </c>
      <c r="E20" s="274"/>
      <c r="F20" s="275" t="s">
        <v>325</v>
      </c>
      <c r="G20" s="278">
        <f ca="1">ROUND(C20*$C$18+D20*$D$18,0)</f>
        <v>424</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813</v>
      </c>
      <c r="D21" s="151">
        <f ca="1">SUMIF(INDIRECT("'"&amp;D4&amp;"'"&amp;"!A:A"),结果表!B21,INDIRECT("'"&amp;D4&amp;"'"&amp;"!B:B"))</f>
        <v>1264</v>
      </c>
      <c r="E21" s="274"/>
      <c r="F21" s="280" t="s">
        <v>327</v>
      </c>
      <c r="G21" s="282">
        <f ca="1">ROUND(C21*$C$18+D21*$D$18,0)</f>
        <v>948</v>
      </c>
      <c r="H21" s="1246" t="s">
        <v>326</v>
      </c>
      <c r="I21" s="311"/>
      <c r="J21" s="2012"/>
      <c r="K21" s="2012"/>
      <c r="L21" s="2012"/>
      <c r="M21" s="2012"/>
      <c r="N21" s="2012"/>
      <c r="O21" s="2012"/>
      <c r="P21" s="2012"/>
      <c r="Q21" s="2012"/>
      <c r="R21" s="2012"/>
      <c r="S21" s="2012"/>
      <c r="T21" s="2012"/>
      <c r="U21" s="2012"/>
      <c r="V21" s="2012"/>
    </row>
    <row r="22" spans="1:26" ht="15.75" thickBot="1">
      <c r="A22" s="126" t="s">
        <v>328</v>
      </c>
      <c r="B22" s="1247"/>
      <c r="C22" s="1248"/>
      <c r="D22" s="283">
        <f ca="1">IF(C19&lt;D19,D19/C19-1,C19/D19-1)</f>
        <v>0.55592506374016182</v>
      </c>
      <c r="E22" s="284"/>
      <c r="F22" s="285"/>
      <c r="G22" s="286">
        <f ca="1">ROUND(G19/('数据-汇总表'!D3/666.67),0)</f>
        <v>63</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296"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297"/>
      <c r="B25" s="1316" t="s">
        <v>331</v>
      </c>
      <c r="C25" s="290">
        <f>IF(B30=0,0,C30)</f>
        <v>0</v>
      </c>
      <c r="D25" s="291"/>
      <c r="E25" s="311"/>
      <c r="F25" s="311"/>
      <c r="G25" s="311"/>
      <c r="H25" s="311"/>
      <c r="I25" s="311"/>
      <c r="J25" s="2012"/>
      <c r="K25" s="1250" t="str">
        <f ca="1">项目基本情况!B16&amp;"国有建设用地使用权价格："&amp;O38&amp;"万元"</f>
        <v>出让国有建设用地使用权价格：10526万元</v>
      </c>
      <c r="L25" s="1251"/>
      <c r="M25" s="1251"/>
      <c r="N25" s="1251"/>
      <c r="O25" s="1252"/>
      <c r="P25" s="2012"/>
      <c r="Q25" s="2012"/>
      <c r="R25" s="2012"/>
      <c r="S25" s="2012"/>
      <c r="T25" s="2012"/>
      <c r="U25" s="2012"/>
      <c r="V25" s="2012"/>
    </row>
    <row r="26" spans="1:26" s="1249" customFormat="1" ht="18">
      <c r="A26" s="293" t="s">
        <v>332</v>
      </c>
      <c r="B26" s="294" t="s">
        <v>333</v>
      </c>
      <c r="C26" s="294" t="s">
        <v>334</v>
      </c>
      <c r="D26" s="295" t="s">
        <v>335</v>
      </c>
      <c r="E26" s="311"/>
      <c r="F26" s="311"/>
      <c r="G26" s="311"/>
      <c r="H26" s="311"/>
      <c r="I26" s="311"/>
      <c r="J26" s="2012"/>
      <c r="K26" s="1253" t="str">
        <f ca="1">"大写金额：人民币"&amp;NUMBERSTRING(INT(O38*10000),2)&amp;"元整"</f>
        <v>大写金额：人民币壹亿零伍佰贰拾陆万元整</v>
      </c>
      <c r="L26" s="1247"/>
      <c r="M26" s="1247"/>
      <c r="N26" s="1247"/>
      <c r="O26" s="1246"/>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3" t="str">
        <f ca="1">"单位面积地价："&amp;M38&amp;"元/平方米"</f>
        <v>单位面积地价：948元/平方米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楼面地价：424元/平方米</v>
      </c>
      <c r="L28" s="1247"/>
      <c r="M28" s="1247"/>
      <c r="N28" s="1247"/>
      <c r="O28" s="1246"/>
      <c r="P28" s="2012"/>
      <c r="V28" s="2012"/>
    </row>
    <row r="29" spans="1:26" ht="18">
      <c r="A29" s="293"/>
      <c r="B29" s="294"/>
      <c r="C29" s="294"/>
      <c r="D29" s="295"/>
      <c r="E29" s="311"/>
      <c r="F29" s="311"/>
      <c r="G29" s="311"/>
      <c r="H29" s="311"/>
      <c r="I29" s="311"/>
      <c r="J29" s="2012"/>
      <c r="K29" s="1253" t="str">
        <f>IF(OR(项目基本情况!E8="抵押价格",项目基本情况!E8="已注销及未注销"),"抵押价格："&amp;O39&amp;"万元","——")</f>
        <v>——</v>
      </c>
      <c r="L29" s="1247"/>
      <c r="M29" s="1247"/>
      <c r="N29" s="1247"/>
      <c r="O29" s="1246"/>
      <c r="P29" s="2012"/>
      <c r="V29" s="2012"/>
    </row>
    <row r="30" spans="1:26" ht="18.75" thickBot="1">
      <c r="A30" s="3080" t="s">
        <v>336</v>
      </c>
      <c r="B30" s="309"/>
      <c r="C30" s="309"/>
      <c r="D30" s="310"/>
      <c r="E30" s="3081" t="s">
        <v>2967</v>
      </c>
      <c r="F30" s="311"/>
      <c r="G30" s="311"/>
      <c r="H30" s="311"/>
      <c r="I30" s="311"/>
      <c r="J30" s="2012"/>
      <c r="K30" s="1253" t="str">
        <f>IF(K29="——","——","大写金额：人民币"&amp;NUMBERSTRING(INT(O39*10000),2)&amp;"元整")</f>
        <v>——</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1688</v>
      </c>
      <c r="C32" s="1377">
        <f ca="1">G19-C24</f>
        <v>10526</v>
      </c>
      <c r="D32" s="1378" t="s">
        <v>1689</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1690</v>
      </c>
      <c r="C33" s="264">
        <f ca="1">ROUND(C32*10000/'数据-汇总表'!E3,0)</f>
        <v>424</v>
      </c>
      <c r="D33" s="1380" t="s">
        <v>1691</v>
      </c>
      <c r="E33" s="3296" t="s">
        <v>338</v>
      </c>
      <c r="F33" s="296" t="s">
        <v>339</v>
      </c>
      <c r="G33" s="297"/>
      <c r="H33" s="979"/>
      <c r="I33" s="1254"/>
      <c r="J33" s="2012"/>
      <c r="K33" s="1253" t="str">
        <f>IF(项目基本情况!E9="——","——","抵押净值："&amp;C46&amp;"万元")</f>
        <v>抵押净值：——万元</v>
      </c>
      <c r="L33" s="1247"/>
      <c r="M33" s="1247"/>
      <c r="N33" s="1247"/>
      <c r="O33" s="1246"/>
      <c r="P33" s="2012"/>
      <c r="V33" s="2012"/>
    </row>
    <row r="34" spans="1:26" s="1249" customFormat="1" ht="18.75" thickBot="1">
      <c r="A34" s="300"/>
      <c r="B34" s="1381" t="s">
        <v>1692</v>
      </c>
      <c r="C34" s="264">
        <f ca="1">ROUND(C32*10000/'数据-汇总表'!D3,0)</f>
        <v>948</v>
      </c>
      <c r="D34" s="1382" t="s">
        <v>1691</v>
      </c>
      <c r="E34" s="3337"/>
      <c r="F34" s="127" t="s">
        <v>341</v>
      </c>
      <c r="G34" s="299"/>
      <c r="H34" s="105"/>
      <c r="I34" s="311"/>
      <c r="J34" s="2012"/>
      <c r="K34" s="1256" t="e">
        <f>IF(K33="——","——","大写金额：人民币"&amp;NUMBERSTRING(INT(O41*10000),2)&amp;"元整")</f>
        <v>#VALUE!</v>
      </c>
      <c r="L34" s="1257"/>
      <c r="M34" s="1257"/>
      <c r="N34" s="1257"/>
      <c r="O34" s="1258"/>
      <c r="P34" s="2012"/>
      <c r="Q34" s="292"/>
      <c r="R34" s="292"/>
      <c r="S34" s="292"/>
      <c r="T34" s="292"/>
      <c r="U34" s="292"/>
      <c r="V34" s="2012"/>
      <c r="W34" s="292"/>
      <c r="X34" s="292"/>
      <c r="Y34" s="292"/>
      <c r="Z34" s="292"/>
    </row>
    <row r="35" spans="1:26" ht="15.75" thickBot="1">
      <c r="A35" s="284"/>
      <c r="B35" s="1383"/>
      <c r="C35" s="1384">
        <f ca="1">ROUND(C32/('数据-汇总表'!D3/666.67),0)</f>
        <v>63</v>
      </c>
      <c r="D35" s="1385" t="s">
        <v>1693</v>
      </c>
      <c r="E35" s="3338"/>
      <c r="F35" s="301" t="s">
        <v>342</v>
      </c>
      <c r="G35" s="981"/>
      <c r="H35" s="980" t="s">
        <v>343</v>
      </c>
      <c r="I35" s="311"/>
      <c r="J35" s="2012"/>
      <c r="K35" s="3311" t="s">
        <v>350</v>
      </c>
      <c r="L35" s="3311" t="s">
        <v>351</v>
      </c>
      <c r="M35" s="1259" t="s">
        <v>352</v>
      </c>
      <c r="N35" s="3311" t="s">
        <v>353</v>
      </c>
      <c r="O35" s="3311" t="s">
        <v>354</v>
      </c>
      <c r="P35" s="2012"/>
      <c r="V35" s="2012"/>
    </row>
    <row r="36" spans="1:26" ht="16.5" customHeight="1">
      <c r="A36" s="303" t="s">
        <v>344</v>
      </c>
      <c r="B36" s="304" t="s">
        <v>333</v>
      </c>
      <c r="C36" s="305" t="s">
        <v>345</v>
      </c>
      <c r="D36" s="305" t="s">
        <v>346</v>
      </c>
      <c r="E36" s="306" t="s">
        <v>347</v>
      </c>
      <c r="F36" s="311"/>
      <c r="G36" s="311"/>
      <c r="H36" s="311"/>
      <c r="I36" s="311"/>
      <c r="J36" s="2014"/>
      <c r="K36" s="3312"/>
      <c r="L36" s="3312"/>
      <c r="M36" s="1261" t="s">
        <v>355</v>
      </c>
      <c r="N36" s="3312"/>
      <c r="O36" s="3312"/>
      <c r="P36" s="2012"/>
      <c r="V36" s="2012"/>
    </row>
    <row r="37" spans="1:26" ht="16.5" customHeight="1" thickBot="1">
      <c r="A37" s="1255" t="s">
        <v>348</v>
      </c>
      <c r="B37" s="307"/>
      <c r="C37" s="294"/>
      <c r="D37" s="294"/>
      <c r="E37" s="295"/>
      <c r="F37" s="311"/>
      <c r="G37" s="311"/>
      <c r="H37" s="311"/>
      <c r="I37" s="311"/>
      <c r="J37" s="2014"/>
      <c r="K37" s="3313"/>
      <c r="L37" s="3313"/>
      <c r="M37" s="1262"/>
      <c r="N37" s="3313"/>
      <c r="O37" s="3313"/>
      <c r="P37" s="2012"/>
      <c r="V37" s="2012"/>
    </row>
    <row r="38" spans="1:26" ht="16.5" customHeight="1" thickBot="1">
      <c r="A38" s="1255" t="s">
        <v>349</v>
      </c>
      <c r="B38" s="307"/>
      <c r="C38" s="294"/>
      <c r="D38" s="294"/>
      <c r="E38" s="295"/>
      <c r="F38" s="311"/>
      <c r="G38" s="311"/>
      <c r="H38" s="311"/>
      <c r="I38" s="311"/>
      <c r="J38" s="2014"/>
      <c r="K38" s="1263">
        <f>'数据-汇总表'!D3</f>
        <v>111025.1</v>
      </c>
      <c r="L38" s="1264">
        <f>'数据-汇总表'!E3</f>
        <v>248359.16</v>
      </c>
      <c r="M38" s="1264">
        <f ca="1">C34</f>
        <v>948</v>
      </c>
      <c r="N38" s="1264">
        <f ca="1">C33</f>
        <v>424</v>
      </c>
      <c r="O38" s="1265">
        <f ca="1">C32</f>
        <v>10526</v>
      </c>
      <c r="P38" s="2012"/>
      <c r="V38" s="2012"/>
    </row>
    <row r="39" spans="1:26" ht="16.5" customHeight="1" thickBot="1">
      <c r="A39" s="1260"/>
      <c r="B39" s="308"/>
      <c r="C39" s="309"/>
      <c r="D39" s="309"/>
      <c r="E39" s="310"/>
      <c r="F39" s="311"/>
      <c r="G39" s="311"/>
      <c r="H39" s="311"/>
      <c r="I39" s="311"/>
      <c r="J39" s="2014"/>
      <c r="K39" s="3356" t="str">
        <f>MID(A44,3,LEN(A44)-2)</f>
        <v/>
      </c>
      <c r="L39" s="3357"/>
      <c r="M39" s="3357"/>
      <c r="N39" s="3358"/>
      <c r="O39" s="1387" t="str">
        <f>C44</f>
        <v>——</v>
      </c>
      <c r="P39" s="2012"/>
      <c r="V39" s="2012"/>
    </row>
    <row r="40" spans="1:26" ht="19.5" thickBot="1">
      <c r="A40" s="104" t="s">
        <v>873</v>
      </c>
      <c r="B40" s="311"/>
      <c r="C40" s="311"/>
      <c r="D40" s="311"/>
      <c r="E40" s="311"/>
      <c r="F40" s="311"/>
      <c r="G40" s="311"/>
      <c r="H40" s="311"/>
      <c r="I40" s="311"/>
      <c r="J40" s="2014"/>
      <c r="K40" s="3356" t="str">
        <f>MID(A45,3,LEN(A45)-2)</f>
        <v/>
      </c>
      <c r="L40" s="3357"/>
      <c r="M40" s="3357"/>
      <c r="N40" s="3358"/>
      <c r="O40" s="1387" t="str">
        <f>C45</f>
        <v>——</v>
      </c>
      <c r="P40" s="2012"/>
      <c r="V40" s="2012"/>
    </row>
    <row r="41" spans="1:26" ht="16.5" thickBot="1">
      <c r="A41" s="312" t="s">
        <v>356</v>
      </c>
      <c r="B41" s="313"/>
      <c r="C41" s="314" t="s">
        <v>357</v>
      </c>
      <c r="D41" s="315" t="s">
        <v>358</v>
      </c>
      <c r="E41" s="315" t="s">
        <v>359</v>
      </c>
      <c r="F41" s="316" t="s">
        <v>360</v>
      </c>
      <c r="G41" s="311"/>
      <c r="H41" s="311"/>
      <c r="I41" s="311"/>
      <c r="J41" s="2014"/>
      <c r="K41" s="3356" t="str">
        <f>MID(A46,3,LEN(A46)-2)</f>
        <v/>
      </c>
      <c r="L41" s="3357"/>
      <c r="M41" s="3357"/>
      <c r="N41" s="3358"/>
      <c r="O41" s="1387" t="str">
        <f>C46</f>
        <v>——</v>
      </c>
      <c r="P41" s="2012"/>
      <c r="V41" s="2012"/>
    </row>
    <row r="42" spans="1:26" ht="29.25">
      <c r="A42" s="3298" t="s">
        <v>2067</v>
      </c>
      <c r="B42" s="3299"/>
      <c r="C42" s="264">
        <f ca="1">C32</f>
        <v>10526</v>
      </c>
      <c r="D42" s="317">
        <f ca="1">C33</f>
        <v>424</v>
      </c>
      <c r="E42" s="317">
        <f ca="1">C34</f>
        <v>948</v>
      </c>
      <c r="F42" s="318">
        <f ca="1">C35</f>
        <v>63</v>
      </c>
      <c r="G42" s="311"/>
      <c r="H42" s="311"/>
      <c r="I42" s="319"/>
      <c r="J42" s="2014"/>
      <c r="K42" s="1266" t="s">
        <v>361</v>
      </c>
      <c r="L42" s="2031" t="s">
        <v>362</v>
      </c>
      <c r="M42" s="1267" t="s">
        <v>363</v>
      </c>
      <c r="N42" s="2032" t="s">
        <v>364</v>
      </c>
      <c r="O42" s="2033" t="s">
        <v>365</v>
      </c>
      <c r="P42" s="2012"/>
      <c r="V42" s="2012"/>
    </row>
    <row r="43" spans="1:26" ht="30">
      <c r="A43" s="3309" t="s">
        <v>2728</v>
      </c>
      <c r="B43" s="3310"/>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9021</v>
      </c>
      <c r="M43" s="1270">
        <f>C18</f>
        <v>0.7</v>
      </c>
      <c r="N43" s="1271">
        <f ca="1">IF(N42="测算结果/万元",G19,G20)</f>
        <v>10526</v>
      </c>
      <c r="O43" s="1272">
        <f ca="1">IF(O42="最终结果/万元",C32,C33)</f>
        <v>10526</v>
      </c>
      <c r="P43" s="2012"/>
      <c r="V43" s="2012"/>
    </row>
    <row r="44" spans="1:26" ht="30.75" thickBot="1">
      <c r="A44" s="3298" t="str">
        <f>IF(OR(项目基本情况!E8="抵押价格",项目基本情况!E8="已注销及未注销"),"3.抵押价格","——")</f>
        <v>——</v>
      </c>
      <c r="B44" s="3299"/>
      <c r="C44" s="264" t="str">
        <f>IF(A44="——","——",C42-C43)</f>
        <v>——</v>
      </c>
      <c r="D44" s="317" t="e">
        <f>ROUND(C44*10000/'数据-汇总表'!E3,0)</f>
        <v>#VALUE!</v>
      </c>
      <c r="E44" s="317" t="e">
        <f>ROUND(C44*10000/'数据-汇总表'!D3,0)</f>
        <v>#VALUE!</v>
      </c>
      <c r="F44" s="318" t="e">
        <f>ROUND(C44/('数据-汇总表'!D3/666.67),0)</f>
        <v>#VALUE!</v>
      </c>
      <c r="G44" s="311"/>
      <c r="H44" s="311"/>
      <c r="I44" s="319"/>
      <c r="J44" s="2014"/>
      <c r="K44" s="1273" t="str">
        <f>D4</f>
        <v>剩余法-待开发</v>
      </c>
      <c r="L44" s="1274">
        <f ca="1">IF(L42="估价结果/万元",D19,D20)</f>
        <v>14036</v>
      </c>
      <c r="M44" s="1275">
        <f>D18</f>
        <v>0.30000000000000004</v>
      </c>
      <c r="N44" s="1276"/>
      <c r="O44" s="1277"/>
      <c r="P44" s="2012"/>
      <c r="V44" s="2012"/>
    </row>
    <row r="45" spans="1:26" ht="15">
      <c r="A45" s="3304" t="str">
        <f>IF(项目基本情况!E8="已注销及未注销","4.抵押担保权已注销时的抵押价格",IF(项目基本情况!E8="已注销","3.抵押担保权已注销时的抵押价格","——"))</f>
        <v>——</v>
      </c>
      <c r="B45" s="3305"/>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00" t="str">
        <f>IF(项目基本情况!E9="抵押净值",IF(A45="——","4.抵押净值","5.抵押净值"),"——")</f>
        <v>——</v>
      </c>
      <c r="B46" s="3301"/>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45" t="s">
        <v>374</v>
      </c>
      <c r="B63" s="3346"/>
      <c r="C63" s="3347"/>
      <c r="D63" s="341">
        <f ca="1">ROUND(C42*F63,0)</f>
        <v>6316</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06" t="s">
        <v>378</v>
      </c>
      <c r="B64" s="3307"/>
      <c r="C64" s="3307"/>
      <c r="D64" s="3307"/>
      <c r="E64" s="3307"/>
      <c r="F64" s="3307"/>
      <c r="G64" s="3308"/>
      <c r="H64" s="1283"/>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8"/>
      <c r="J65" s="1974"/>
      <c r="K65" s="1284"/>
      <c r="L65" s="1285"/>
      <c r="M65" s="1285"/>
      <c r="N65" s="1317" t="s">
        <v>379</v>
      </c>
      <c r="O65" s="1318"/>
      <c r="P65" s="1319"/>
      <c r="Q65" s="2012"/>
      <c r="R65" s="2012"/>
      <c r="S65" s="2012"/>
      <c r="T65" s="2012"/>
      <c r="U65" s="2012"/>
      <c r="V65" s="2012"/>
    </row>
    <row r="66" spans="1:22" ht="25.5">
      <c r="A66" s="3302" t="s">
        <v>386</v>
      </c>
      <c r="B66" s="3303"/>
      <c r="C66" s="3303"/>
      <c r="D66" s="261">
        <f ca="1">IF(H66="情况1",0,IF(H66="情况2",D70,IF(H66="情况3",D71,IF(H66="情况4",D72))))</f>
        <v>331</v>
      </c>
      <c r="E66" s="992" t="str">
        <f>IF(H66="情况4","(销售额-原购置价)×税（费）率","销售额×税（费）率")</f>
        <v>销售额×税（费）率</v>
      </c>
      <c r="F66" s="350">
        <f>IF(H66="情况1","免征",'数据-取费表'!B41)</f>
        <v>5.5000000000000007E-2</v>
      </c>
      <c r="G66" s="351" t="s">
        <v>387</v>
      </c>
      <c r="H66" s="191" t="s">
        <v>388</v>
      </c>
      <c r="I66" s="1283"/>
      <c r="J66" s="2018"/>
      <c r="K66" s="1286">
        <v>1</v>
      </c>
      <c r="L66" s="3360" t="s">
        <v>385</v>
      </c>
      <c r="M66" s="3361"/>
      <c r="N66" s="2421"/>
      <c r="O66" s="2422"/>
      <c r="P66" s="2423"/>
      <c r="Q66" s="2012"/>
      <c r="R66" s="2012"/>
      <c r="S66" s="2012"/>
      <c r="T66" s="2012"/>
      <c r="U66" s="2012"/>
      <c r="V66" s="2012"/>
    </row>
    <row r="67" spans="1:22" ht="25.5" customHeight="1">
      <c r="A67" s="352" t="s">
        <v>390</v>
      </c>
      <c r="B67" s="3293" t="s">
        <v>391</v>
      </c>
      <c r="C67" s="3293"/>
      <c r="D67" s="353">
        <v>0</v>
      </c>
      <c r="E67" s="41" t="s">
        <v>392</v>
      </c>
      <c r="F67" s="62" t="s">
        <v>21</v>
      </c>
      <c r="G67" s="3348"/>
      <c r="H67" s="311"/>
      <c r="I67" s="1287"/>
      <c r="J67" s="2019"/>
      <c r="K67" s="1960">
        <v>2</v>
      </c>
      <c r="L67" s="3359" t="s">
        <v>389</v>
      </c>
      <c r="M67" s="3359"/>
      <c r="N67" s="1320">
        <f>'数据-取费表'!B2</f>
        <v>43810</v>
      </c>
      <c r="O67" s="1320"/>
      <c r="P67" s="1320"/>
      <c r="Q67" s="2012"/>
      <c r="R67" s="2012"/>
      <c r="S67" s="2012"/>
      <c r="T67" s="2012"/>
      <c r="U67" s="2012"/>
      <c r="V67" s="2012"/>
    </row>
    <row r="68" spans="1:22" ht="25.5" customHeight="1">
      <c r="A68" s="354"/>
      <c r="B68" s="3293" t="s">
        <v>394</v>
      </c>
      <c r="C68" s="3293"/>
      <c r="D68" s="355"/>
      <c r="E68" s="77"/>
      <c r="F68" s="356"/>
      <c r="G68" s="3349"/>
      <c r="H68" s="311"/>
      <c r="I68" s="1287"/>
      <c r="J68" s="2019"/>
      <c r="K68" s="1960">
        <v>3</v>
      </c>
      <c r="L68" s="3359" t="s">
        <v>393</v>
      </c>
      <c r="M68" s="3359"/>
      <c r="N68" s="1288">
        <f ca="1">C42</f>
        <v>10526</v>
      </c>
      <c r="O68" s="1288"/>
      <c r="P68" s="1288"/>
      <c r="Q68" s="2012"/>
      <c r="R68" s="2012"/>
      <c r="S68" s="2012"/>
      <c r="T68" s="2012"/>
      <c r="U68" s="2012"/>
      <c r="V68" s="2012"/>
    </row>
    <row r="69" spans="1:22" ht="12" customHeight="1">
      <c r="A69" s="357"/>
      <c r="B69" s="3293" t="s">
        <v>395</v>
      </c>
      <c r="C69" s="3293"/>
      <c r="D69" s="358"/>
      <c r="E69" s="73"/>
      <c r="F69" s="356"/>
      <c r="G69" s="3350"/>
      <c r="H69" s="311"/>
      <c r="I69" s="1287"/>
      <c r="J69" s="2019"/>
      <c r="K69" s="1289">
        <v>4</v>
      </c>
      <c r="L69" s="3364" t="s">
        <v>2881</v>
      </c>
      <c r="M69" s="3365"/>
      <c r="N69" s="1290" t="str">
        <f>C44</f>
        <v>——</v>
      </c>
      <c r="O69" s="1290"/>
      <c r="P69" s="1290"/>
      <c r="Q69" s="2012"/>
      <c r="R69" s="2012"/>
      <c r="S69" s="2012"/>
      <c r="T69" s="2012"/>
      <c r="U69" s="2012"/>
      <c r="V69" s="2012"/>
    </row>
    <row r="70" spans="1:22" ht="24" customHeight="1">
      <c r="A70" s="359" t="s">
        <v>396</v>
      </c>
      <c r="B70" s="3293" t="s">
        <v>397</v>
      </c>
      <c r="C70" s="3293"/>
      <c r="D70" s="358">
        <f ca="1">ROUND(D63*'数据-取费表'!B41/(1+'数据-取费表'!C42),0)</f>
        <v>331</v>
      </c>
      <c r="E70" s="17" t="s">
        <v>398</v>
      </c>
      <c r="F70" s="360">
        <f>'数据-取费表'!B41</f>
        <v>5.5000000000000007E-2</v>
      </c>
      <c r="G70" s="361"/>
      <c r="H70" s="311"/>
      <c r="I70" s="1287"/>
      <c r="J70" s="2019"/>
      <c r="K70" s="3012"/>
      <c r="L70" s="3013"/>
      <c r="M70" s="3013"/>
      <c r="N70" s="3014" t="s">
        <v>2886</v>
      </c>
      <c r="O70" s="3013"/>
      <c r="P70" s="3015"/>
      <c r="Q70" s="2012"/>
      <c r="R70" s="2012"/>
      <c r="S70" s="2012"/>
      <c r="T70" s="2012"/>
      <c r="U70" s="2012"/>
      <c r="V70" s="2012"/>
    </row>
    <row r="71" spans="1:22" ht="12" customHeight="1">
      <c r="A71" s="359" t="s">
        <v>404</v>
      </c>
      <c r="B71" s="3294" t="s">
        <v>405</v>
      </c>
      <c r="C71" s="3295"/>
      <c r="D71" s="358">
        <f ca="1">ROUND(D63*'数据-取费表'!B41/(1+'数据-取费表'!C42),0)</f>
        <v>331</v>
      </c>
      <c r="E71" s="17" t="s">
        <v>398</v>
      </c>
      <c r="F71" s="360">
        <f>'数据-取费表'!B41</f>
        <v>5.5000000000000007E-2</v>
      </c>
      <c r="G71" s="361"/>
      <c r="H71" s="311"/>
      <c r="I71" s="1287"/>
      <c r="J71" s="2019"/>
      <c r="K71" s="3011" t="s">
        <v>399</v>
      </c>
      <c r="L71" s="3366" t="s">
        <v>400</v>
      </c>
      <c r="M71" s="3366"/>
      <c r="N71" s="3011" t="s">
        <v>401</v>
      </c>
      <c r="O71" s="3011" t="s">
        <v>402</v>
      </c>
      <c r="P71" s="3011" t="s">
        <v>403</v>
      </c>
      <c r="Q71" s="2012"/>
      <c r="R71" s="2012"/>
      <c r="S71" s="2012"/>
      <c r="T71" s="2012"/>
      <c r="U71" s="2012"/>
      <c r="V71" s="2012"/>
    </row>
    <row r="72" spans="1:22" ht="12" customHeight="1">
      <c r="A72" s="359" t="s">
        <v>407</v>
      </c>
      <c r="B72" s="3294" t="s">
        <v>408</v>
      </c>
      <c r="C72" s="3295"/>
      <c r="D72" s="358">
        <f ca="1">C86</f>
        <v>221</v>
      </c>
      <c r="E72" s="73" t="s">
        <v>409</v>
      </c>
      <c r="F72" s="360">
        <f>'数据-取费表'!B41</f>
        <v>5.5000000000000007E-2</v>
      </c>
      <c r="G72" s="361"/>
      <c r="H72" s="1293"/>
      <c r="I72" s="1287"/>
      <c r="J72" s="2019"/>
      <c r="K72" s="1960">
        <v>1</v>
      </c>
      <c r="L72" s="3341" t="s">
        <v>406</v>
      </c>
      <c r="M72" s="3341"/>
      <c r="N72" s="1291">
        <f ca="1">D66</f>
        <v>331</v>
      </c>
      <c r="O72" s="1843" t="str">
        <f>E66</f>
        <v>销售额×税（费）率</v>
      </c>
      <c r="P72" s="1292">
        <f>F66</f>
        <v>5.5000000000000007E-2</v>
      </c>
      <c r="Q72" s="2012"/>
      <c r="R72" s="2012"/>
      <c r="S72" s="2012"/>
      <c r="T72" s="2012"/>
      <c r="U72" s="2012"/>
      <c r="V72" s="2012"/>
    </row>
    <row r="73" spans="1:22" ht="24" customHeight="1">
      <c r="A73" s="3335" t="s">
        <v>411</v>
      </c>
      <c r="B73" s="3303"/>
      <c r="C73" s="3303"/>
      <c r="D73" s="362">
        <f>IF(H73="个人住宅",0,ROUND(D63*I73,0))</f>
        <v>0</v>
      </c>
      <c r="E73" s="17" t="s">
        <v>412</v>
      </c>
      <c r="F73" s="360" t="str">
        <f>IF(H73="正常",I73,"免征")</f>
        <v>免征</v>
      </c>
      <c r="G73" s="361"/>
      <c r="H73" s="191" t="s">
        <v>2455</v>
      </c>
      <c r="I73" s="360">
        <f>'数据-取费表'!B49</f>
        <v>5.0000000000000001E-4</v>
      </c>
      <c r="J73" s="2019"/>
      <c r="K73" s="1960">
        <v>2</v>
      </c>
      <c r="L73" s="3341" t="s">
        <v>410</v>
      </c>
      <c r="M73" s="3341"/>
      <c r="N73" s="1291">
        <f t="shared" ref="N73:P74" si="0">D73</f>
        <v>0</v>
      </c>
      <c r="O73" s="1843" t="str">
        <f t="shared" si="0"/>
        <v>销售额×税（费）率</v>
      </c>
      <c r="P73" s="1292" t="str">
        <f t="shared" si="0"/>
        <v>免征</v>
      </c>
      <c r="Q73" s="2012"/>
      <c r="R73" s="2012"/>
      <c r="S73" s="2012"/>
      <c r="T73" s="2012"/>
      <c r="U73" s="2012"/>
      <c r="V73" s="2012"/>
    </row>
    <row r="74" spans="1:22" ht="24.75">
      <c r="A74" s="3335" t="s">
        <v>415</v>
      </c>
      <c r="B74" s="3303"/>
      <c r="C74" s="3303"/>
      <c r="D74" s="362">
        <f ca="1">IF(H74="个人住宅",D75,D76)</f>
        <v>2925</v>
      </c>
      <c r="E74" s="17" t="s">
        <v>416</v>
      </c>
      <c r="F74" s="360" t="str">
        <f>IF(H74="正常",F76,"免征")</f>
        <v>——</v>
      </c>
      <c r="G74" s="982" t="s">
        <v>417</v>
      </c>
      <c r="H74" s="363" t="s">
        <v>413</v>
      </c>
      <c r="I74" s="42"/>
      <c r="J74" s="2019"/>
      <c r="K74" s="1960">
        <v>3</v>
      </c>
      <c r="L74" s="3341" t="s">
        <v>414</v>
      </c>
      <c r="M74" s="3341"/>
      <c r="N74" s="1291">
        <f t="shared" ca="1" si="0"/>
        <v>2925</v>
      </c>
      <c r="O74" s="1843" t="str">
        <f t="shared" si="0"/>
        <v>增值额×税（费）率</v>
      </c>
      <c r="P74" s="1294" t="str">
        <f t="shared" si="0"/>
        <v>——</v>
      </c>
      <c r="Q74" s="2012"/>
      <c r="R74" s="2012"/>
      <c r="S74" s="2012"/>
      <c r="T74" s="2012"/>
      <c r="U74" s="2012"/>
      <c r="V74" s="2012"/>
    </row>
    <row r="75" spans="1:22" ht="24">
      <c r="A75" s="359" t="s">
        <v>418</v>
      </c>
      <c r="B75" s="3291" t="s">
        <v>419</v>
      </c>
      <c r="C75" s="3321"/>
      <c r="D75" s="364">
        <v>0</v>
      </c>
      <c r="E75" s="41" t="s">
        <v>420</v>
      </c>
      <c r="F75" s="365"/>
      <c r="G75" s="361"/>
      <c r="H75" s="42"/>
      <c r="I75" s="42"/>
      <c r="J75" s="2019"/>
      <c r="K75" s="3004">
        <f>IF(H77="非个人房产","",4)</f>
        <v>4</v>
      </c>
      <c r="L75" s="3341" t="str">
        <f>IF(H77="非个人房产","——","个人所得税")</f>
        <v>个人所得税</v>
      </c>
      <c r="M75" s="3341"/>
      <c r="N75" s="1295">
        <f ca="1">D77</f>
        <v>63</v>
      </c>
      <c r="O75" s="1856" t="str">
        <f>E77</f>
        <v>销售额×税（费）率</v>
      </c>
      <c r="P75" s="1296">
        <f>F77</f>
        <v>0.01</v>
      </c>
      <c r="Q75" s="2012"/>
      <c r="R75" s="2012"/>
      <c r="S75" s="2012"/>
      <c r="T75" s="2012"/>
      <c r="U75" s="2012"/>
      <c r="V75" s="2012"/>
    </row>
    <row r="76" spans="1:22" ht="24.75">
      <c r="A76" s="359" t="s">
        <v>396</v>
      </c>
      <c r="B76" s="3291" t="s">
        <v>422</v>
      </c>
      <c r="C76" s="3292"/>
      <c r="D76" s="362">
        <f ca="1">IF(H76="转让取得",C99,C115)</f>
        <v>2925</v>
      </c>
      <c r="E76" s="17" t="s">
        <v>423</v>
      </c>
      <c r="F76" s="53" t="s">
        <v>21</v>
      </c>
      <c r="G76" s="361"/>
      <c r="H76" s="363" t="s">
        <v>424</v>
      </c>
      <c r="I76" s="42"/>
      <c r="J76" s="2019"/>
      <c r="K76" s="3004" t="str">
        <f>IF(项目基本情况!K6="上海银行",IF(K75="",4,K75+1),"")</f>
        <v/>
      </c>
      <c r="L76" s="3352" t="str">
        <f>IF(项目基本情况!K6="上海银行","其他处置费用","")</f>
        <v/>
      </c>
      <c r="M76" s="3353"/>
      <c r="N76" s="1291" t="str">
        <f>IF(项目基本情况!K6="上海银行",N89,"")</f>
        <v/>
      </c>
      <c r="O76" s="3354" t="str">
        <f>IF(项目基本情况!K6="上海银行","包含处置中涉及的律师、诉讼、拍卖、评估等费用","")</f>
        <v/>
      </c>
      <c r="P76" s="3355"/>
      <c r="Q76" s="2012"/>
      <c r="R76" s="2012"/>
      <c r="S76" s="2012"/>
      <c r="T76" s="2012"/>
      <c r="U76" s="2012"/>
      <c r="V76" s="2012"/>
    </row>
    <row r="77" spans="1:22" ht="26.25" thickBot="1">
      <c r="A77" s="3343" t="s">
        <v>426</v>
      </c>
      <c r="B77" s="3344"/>
      <c r="C77" s="3344"/>
      <c r="D77" s="366">
        <f ca="1">IF(H77="非个人房产","——",IF(H77="个人住宅",0,ROUND(D63*I77,0)))</f>
        <v>63</v>
      </c>
      <c r="E77" s="367" t="str">
        <f>IF(H77="非个人房产","——","销售额×税（费）率")</f>
        <v>销售额×税（费）率</v>
      </c>
      <c r="F77" s="368">
        <f>IF(H77="非个人房产","——",IF(H77="个人住宅","免征",I77))</f>
        <v>0.01</v>
      </c>
      <c r="G77" s="983" t="s">
        <v>417</v>
      </c>
      <c r="H77" s="363" t="s">
        <v>2882</v>
      </c>
      <c r="I77" s="369">
        <v>0.01</v>
      </c>
      <c r="J77" s="2019"/>
      <c r="K77" s="3342">
        <f>IF(AND(K75="",K76=""),4,IF(项目基本情况!K6="上海银行",K76+1,K75+1))</f>
        <v>5</v>
      </c>
      <c r="L77" s="3341" t="s">
        <v>2883</v>
      </c>
      <c r="M77" s="3010" t="s">
        <v>421</v>
      </c>
      <c r="N77" s="1297"/>
      <c r="O77" s="1298">
        <f ca="1">SUMIF(N72:N76,"&lt;9e307")</f>
        <v>3319</v>
      </c>
      <c r="P77" s="1299"/>
      <c r="Q77" s="3008" t="e">
        <f ca="1">O77/N69</f>
        <v>#VALUE!</v>
      </c>
      <c r="R77" s="2012"/>
      <c r="S77" s="2012"/>
      <c r="T77" s="2012"/>
      <c r="U77" s="2012"/>
      <c r="V77" s="2012"/>
    </row>
    <row r="78" spans="1:22" ht="12" customHeight="1">
      <c r="A78" s="1300"/>
      <c r="B78" s="311"/>
      <c r="C78" s="311"/>
      <c r="D78" s="311"/>
      <c r="E78" s="42"/>
      <c r="F78" s="42"/>
      <c r="G78" s="42"/>
      <c r="H78" s="1002"/>
      <c r="I78" s="311"/>
      <c r="J78" s="2019"/>
      <c r="K78" s="3342"/>
      <c r="L78" s="3341"/>
      <c r="M78" s="3010" t="s">
        <v>425</v>
      </c>
      <c r="N78" s="1297"/>
      <c r="O78" s="1298" t="str">
        <f ca="1">NUMBERSTRING(INT(O77*10000),2)&amp;"元整"</f>
        <v>叁仟叁佰壹拾玖万元整</v>
      </c>
      <c r="P78" s="1299"/>
      <c r="Q78" s="2012"/>
      <c r="R78" s="2012"/>
      <c r="S78" s="2012"/>
      <c r="T78" s="2012"/>
      <c r="U78" s="2012"/>
      <c r="V78" s="2012"/>
    </row>
    <row r="79" spans="1:22" ht="13.5" thickBot="1">
      <c r="A79" s="3336" t="s">
        <v>427</v>
      </c>
      <c r="B79" s="3336"/>
      <c r="C79" s="3336"/>
      <c r="D79" s="3336"/>
      <c r="E79" s="3336"/>
      <c r="F79" s="42"/>
      <c r="G79" s="42"/>
      <c r="H79" s="1002"/>
      <c r="I79" s="311"/>
      <c r="J79" s="2019"/>
      <c r="K79" s="3362">
        <f>K77+1</f>
        <v>6</v>
      </c>
      <c r="L79" s="3341" t="s">
        <v>2884</v>
      </c>
      <c r="M79" s="3010" t="s">
        <v>421</v>
      </c>
      <c r="N79" s="1297"/>
      <c r="O79" s="1298" t="e">
        <f ca="1">N69-O77</f>
        <v>#VALUE!</v>
      </c>
      <c r="P79" s="1299"/>
      <c r="Q79" s="2012"/>
      <c r="R79" s="2012"/>
      <c r="S79" s="2012"/>
      <c r="T79" s="2012"/>
      <c r="U79" s="2012"/>
      <c r="V79" s="2012"/>
    </row>
    <row r="80" spans="1:22" ht="12.75">
      <c r="A80" s="3331" t="s">
        <v>428</v>
      </c>
      <c r="B80" s="3332"/>
      <c r="C80" s="993"/>
      <c r="D80" s="993" t="s">
        <v>429</v>
      </c>
      <c r="E80" s="370" t="s">
        <v>430</v>
      </c>
      <c r="F80" s="42"/>
      <c r="G80" s="42"/>
      <c r="H80" s="1002"/>
      <c r="I80" s="311"/>
      <c r="J80" s="2012"/>
      <c r="K80" s="3363"/>
      <c r="L80" s="3341"/>
      <c r="M80" s="3010" t="s">
        <v>425</v>
      </c>
      <c r="N80" s="1297"/>
      <c r="O80" s="1298" t="e">
        <f ca="1">NUMBERSTRING(INT(O79*10000),2)&amp;"元整"</f>
        <v>#VALUE!</v>
      </c>
      <c r="P80" s="1299"/>
      <c r="Q80" s="2012"/>
      <c r="R80" s="2012"/>
      <c r="S80" s="2012"/>
      <c r="T80" s="2012"/>
      <c r="U80" s="2012"/>
      <c r="V80" s="2012"/>
    </row>
    <row r="81" spans="1:26" ht="13.5" thickBot="1">
      <c r="A81" s="381" t="s">
        <v>1823</v>
      </c>
      <c r="B81" s="371" t="s">
        <v>431</v>
      </c>
      <c r="C81" s="372">
        <f ca="1">ROUND((C82+C83)/(1+'数据-取费表'!C42),0)</f>
        <v>6015</v>
      </c>
      <c r="D81" s="373"/>
      <c r="E81" s="374"/>
      <c r="F81" s="42"/>
      <c r="G81" s="42"/>
      <c r="H81" s="1002"/>
      <c r="I81" s="311"/>
      <c r="J81" s="2012"/>
      <c r="K81" s="3004">
        <f>K79+1</f>
        <v>7</v>
      </c>
      <c r="L81" s="3339" t="s">
        <v>2885</v>
      </c>
      <c r="M81" s="3340"/>
      <c r="N81" s="1301"/>
      <c r="O81" s="1302" t="e">
        <f ca="1">ROUND(O79*10000/'数据-汇总表'!E3,0)</f>
        <v>#VALUE!</v>
      </c>
      <c r="P81" s="1303"/>
      <c r="Q81" s="2012"/>
      <c r="R81" s="2012"/>
      <c r="S81" s="2012"/>
      <c r="T81" s="2012"/>
      <c r="U81" s="2012"/>
      <c r="V81" s="2012"/>
    </row>
    <row r="82" spans="1:26" ht="13.5" thickTop="1">
      <c r="A82" s="375" t="s">
        <v>1824</v>
      </c>
      <c r="B82" s="376" t="s">
        <v>432</v>
      </c>
      <c r="C82" s="377">
        <f ca="1">D63</f>
        <v>6316</v>
      </c>
      <c r="D82" s="378" t="s">
        <v>19</v>
      </c>
      <c r="E82" s="379"/>
      <c r="F82" s="42"/>
      <c r="G82" s="42"/>
      <c r="H82" s="1002"/>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2"/>
      <c r="I83" s="311"/>
      <c r="J83" s="2012"/>
      <c r="K83" s="3351" t="s">
        <v>2872</v>
      </c>
      <c r="L83" s="3016" t="s">
        <v>2873</v>
      </c>
      <c r="M83" s="3006" t="e">
        <f>IF(N69&gt;10000,N69*0.5%,IF(AND(N69&gt;1000,N69&lt;=10000),N69*1%,IF(AND(N69&gt;100,N69&lt;=1000),N69*3%,IF(AND(N69&gt;10,N69&lt;=100),N69*5%,N69*8%))))</f>
        <v>#VALUE!</v>
      </c>
      <c r="N83" s="53" t="e">
        <f>ROUND(M83,1)</f>
        <v>#VALUE!</v>
      </c>
      <c r="O83" s="3009"/>
      <c r="P83" s="2012"/>
      <c r="Q83" s="2012"/>
      <c r="R83" s="2012"/>
      <c r="S83" s="2012"/>
      <c r="T83" s="2012"/>
      <c r="U83" s="2012"/>
      <c r="V83" s="2012"/>
    </row>
    <row r="84" spans="1:26" ht="12.75">
      <c r="A84" s="381" t="s">
        <v>1826</v>
      </c>
      <c r="B84" s="382" t="s">
        <v>434</v>
      </c>
      <c r="C84" s="383">
        <v>2000</v>
      </c>
      <c r="D84" s="384" t="s">
        <v>19</v>
      </c>
      <c r="E84" s="3051" t="s">
        <v>2940</v>
      </c>
      <c r="F84" s="42"/>
      <c r="G84" s="42"/>
      <c r="H84" s="1002"/>
      <c r="I84" s="311"/>
      <c r="J84" s="2012"/>
      <c r="K84" s="3351"/>
      <c r="L84" s="3016" t="s">
        <v>2874</v>
      </c>
      <c r="M84" s="3006"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2" t="s">
        <v>2875</v>
      </c>
      <c r="P84" s="2012"/>
      <c r="Q84" s="2012"/>
      <c r="R84" s="2012"/>
      <c r="S84" s="2012"/>
      <c r="T84" s="2012"/>
      <c r="U84" s="2012"/>
      <c r="V84" s="2012"/>
    </row>
    <row r="85" spans="1:26" ht="12.75">
      <c r="A85" s="381" t="s">
        <v>1827</v>
      </c>
      <c r="B85" s="382" t="s">
        <v>435</v>
      </c>
      <c r="C85" s="385">
        <f ca="1">C81-C84</f>
        <v>4015</v>
      </c>
      <c r="D85" s="378" t="s">
        <v>19</v>
      </c>
      <c r="E85" s="379"/>
      <c r="F85" s="42"/>
      <c r="G85" s="42"/>
      <c r="H85" s="1002"/>
      <c r="I85" s="311"/>
      <c r="J85" s="2012"/>
      <c r="K85" s="3351"/>
      <c r="L85" s="3016" t="s">
        <v>2876</v>
      </c>
      <c r="M85" s="3006" t="e">
        <f>IF(N69&gt;1000,N69*0.1%,IF(AND(N69&gt;500,N69&lt;=1000),N69*0.5%,IF(AND(N69&gt;50,N69&lt;=500),N69*1%,IF(AND(N69&gt;1,N69&lt;=50),N69*1.5%))))</f>
        <v>#VALUE!</v>
      </c>
      <c r="N85" s="53" t="e">
        <f>ROUND(M85,1)</f>
        <v>#VALUE!</v>
      </c>
      <c r="O85" s="2012" t="s">
        <v>2875</v>
      </c>
      <c r="P85" s="2012"/>
      <c r="Q85" s="2012"/>
      <c r="R85" s="2012"/>
      <c r="S85" s="2012"/>
      <c r="T85" s="2012"/>
      <c r="U85" s="2012"/>
      <c r="V85" s="2012"/>
    </row>
    <row r="86" spans="1:26" ht="13.5" thickBot="1">
      <c r="A86" s="386" t="s">
        <v>1828</v>
      </c>
      <c r="B86" s="387" t="s">
        <v>436</v>
      </c>
      <c r="C86" s="388">
        <f ca="1">IF(C85&lt;=0,0,ROUND(C85*D86,0))</f>
        <v>221</v>
      </c>
      <c r="D86" s="389">
        <f>'数据-取费表'!B41</f>
        <v>5.5000000000000007E-2</v>
      </c>
      <c r="E86" s="390"/>
      <c r="F86" s="42"/>
      <c r="G86" s="42"/>
      <c r="H86" s="1002"/>
      <c r="I86" s="311"/>
      <c r="J86" s="2012"/>
      <c r="K86" s="3351"/>
      <c r="L86" s="3016" t="s">
        <v>2877</v>
      </c>
      <c r="M86" s="3006" t="e">
        <f>N69*0.5%</f>
        <v>#VALUE!</v>
      </c>
      <c r="N86" s="53" t="e">
        <f>IF(M86&gt;0.5,0.5,ROUND(M86,0))</f>
        <v>#VALUE!</v>
      </c>
      <c r="O86" s="2012" t="s">
        <v>2878</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51"/>
      <c r="L87" s="3016" t="s">
        <v>2879</v>
      </c>
      <c r="M87" s="30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9"/>
      <c r="P87" s="311"/>
      <c r="Q87" s="2012"/>
      <c r="R87" s="2012"/>
      <c r="S87" s="2012"/>
      <c r="T87" s="2012"/>
      <c r="U87" s="2012"/>
      <c r="V87" s="2012"/>
      <c r="W87" s="292"/>
      <c r="X87" s="292"/>
      <c r="Y87" s="292"/>
      <c r="Z87" s="292"/>
    </row>
    <row r="88" spans="1:26" s="1309" customFormat="1" ht="15" thickBot="1">
      <c r="A88" s="3333" t="s">
        <v>437</v>
      </c>
      <c r="B88" s="3334"/>
      <c r="C88" s="3334"/>
      <c r="D88" s="3334"/>
      <c r="E88" s="3334"/>
      <c r="F88" s="3334"/>
      <c r="G88" s="3334"/>
      <c r="H88" s="3334"/>
      <c r="I88" s="1310"/>
      <c r="J88" s="2020"/>
      <c r="K88" s="3351"/>
      <c r="L88" s="3016" t="s">
        <v>2880</v>
      </c>
      <c r="M88" s="3006" t="e">
        <f>IF(N69&gt;10000,N69*0.5%,IF(AND(N69&gt;5000,N69&lt;=10000),N69*1%,IF(AND(N69&gt;1000,N69&lt;=5000),N69*2%,IF(AND(N69&gt;200,N69&lt;=1000),N69*3%,N69*5%))))</f>
        <v>#VALUE!</v>
      </c>
      <c r="N88" s="53" t="e">
        <f>ROUND(M88,1)</f>
        <v>#VALUE!</v>
      </c>
      <c r="O88" s="3009"/>
      <c r="P88" s="11"/>
      <c r="Q88" s="2017"/>
      <c r="R88" s="2017"/>
      <c r="S88" s="2017"/>
      <c r="T88" s="2017"/>
      <c r="U88" s="2017"/>
      <c r="V88" s="2017"/>
      <c r="W88" s="2021"/>
      <c r="X88" s="2021"/>
      <c r="Y88" s="2021"/>
      <c r="Z88" s="2021"/>
    </row>
    <row r="89" spans="1:26" s="1309" customFormat="1" ht="14.25">
      <c r="A89" s="3331" t="s">
        <v>428</v>
      </c>
      <c r="B89" s="3332"/>
      <c r="C89" s="993"/>
      <c r="D89" s="993" t="s">
        <v>429</v>
      </c>
      <c r="E89" s="391" t="s">
        <v>438</v>
      </c>
      <c r="F89" s="392"/>
      <c r="G89" s="392"/>
      <c r="H89" s="393"/>
      <c r="I89" s="1311"/>
      <c r="J89" s="2022"/>
      <c r="K89" s="3351"/>
      <c r="L89" s="3016" t="s">
        <v>27</v>
      </c>
      <c r="M89" s="3007"/>
      <c r="N89" s="53" t="e">
        <f>ROUND(SUM(N83:N88),0)</f>
        <v>#VALUE!</v>
      </c>
      <c r="O89" s="3017" t="e">
        <f>N89/N69</f>
        <v>#VALUE!</v>
      </c>
      <c r="P89" s="2017"/>
      <c r="Q89" s="2017"/>
      <c r="R89" s="2017"/>
      <c r="S89" s="2017"/>
      <c r="T89" s="2017"/>
      <c r="U89" s="2017"/>
      <c r="V89" s="2017"/>
      <c r="W89" s="2021"/>
      <c r="X89" s="2021"/>
      <c r="Y89" s="2021"/>
      <c r="Z89" s="2021"/>
    </row>
    <row r="90" spans="1:26" s="1309" customFormat="1" ht="14.25">
      <c r="A90" s="381" t="s">
        <v>1823</v>
      </c>
      <c r="B90" s="382" t="s">
        <v>439</v>
      </c>
      <c r="C90" s="385">
        <f ca="1">ROUND(D63/(1+'数据-取费表'!C42),0)</f>
        <v>6015</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1" t="s">
        <v>1829</v>
      </c>
      <c r="B91" s="348" t="s">
        <v>440</v>
      </c>
      <c r="C91" s="385">
        <f ca="1">C92+C96</f>
        <v>2591</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294" t="s">
        <v>447</v>
      </c>
      <c r="F94" s="3293"/>
      <c r="G94" s="3293"/>
      <c r="H94" s="3330"/>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30</v>
      </c>
      <c r="D96" s="406">
        <f>'数据-取费表'!B43</f>
        <v>5.000000000000001E-3</v>
      </c>
      <c r="E96" s="3322" t="s">
        <v>2428</v>
      </c>
      <c r="F96" s="3323"/>
      <c r="G96" s="3323"/>
      <c r="H96" s="3324"/>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2" t="s">
        <v>451</v>
      </c>
      <c r="C97" s="385">
        <f ca="1">C90-C91</f>
        <v>3424</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1.3214974913160942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7" t="s">
        <v>453</v>
      </c>
      <c r="C99" s="408">
        <f ca="1">ROUND(IF(C97&lt;=0,0,IF(C98&gt;=200%,C97*60%-C91*35%,IF(C98&gt;=100%,C97*50%-C91*15%,IF(C98&gt;=50%,C97*40%-C91*5%,IF(C98&lt;50%,C97*30%,0))))),0)</f>
        <v>1323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33" t="s">
        <v>454</v>
      </c>
      <c r="B101" s="3334"/>
      <c r="C101" s="3334"/>
      <c r="D101" s="3334"/>
      <c r="E101" s="3334"/>
      <c r="F101" s="3334"/>
      <c r="G101" s="3334"/>
      <c r="H101" s="3334"/>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31" t="s">
        <v>428</v>
      </c>
      <c r="B102" s="3332"/>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1" t="s">
        <v>1823</v>
      </c>
      <c r="B103" s="382" t="s">
        <v>439</v>
      </c>
      <c r="C103" s="385">
        <f ca="1">ROUND(D63/(1+'数据-取费表'!C42),0)</f>
        <v>6015</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1" t="s">
        <v>1829</v>
      </c>
      <c r="B104" s="348" t="s">
        <v>440</v>
      </c>
      <c r="C104" s="385">
        <f ca="1">IF(H106="仅含出让金",C105+C108+C109+C110+C111+C112,C105+C109+C110+C111+C112)</f>
        <v>720</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5" t="s">
        <v>1831</v>
      </c>
      <c r="B106" s="376" t="s">
        <v>456</v>
      </c>
      <c r="C106" s="416">
        <v>555</v>
      </c>
      <c r="D106" s="406"/>
      <c r="E106" s="417" t="s">
        <v>457</v>
      </c>
      <c r="F106" s="985"/>
      <c r="G106" s="418" t="s">
        <v>458</v>
      </c>
      <c r="H106" s="419"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25" t="s">
        <v>462</v>
      </c>
      <c r="F109" s="3323"/>
      <c r="G109" s="3323"/>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25" t="s">
        <v>464</v>
      </c>
      <c r="F110" s="3323"/>
      <c r="G110" s="3323"/>
      <c r="H110" s="3324"/>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30</v>
      </c>
      <c r="D111" s="406">
        <f>'数据-取费表'!B43</f>
        <v>5.000000000000001E-3</v>
      </c>
      <c r="E111" s="3322" t="s">
        <v>2428</v>
      </c>
      <c r="F111" s="3323"/>
      <c r="G111" s="3323"/>
      <c r="H111" s="3324"/>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25" t="s">
        <v>2453</v>
      </c>
      <c r="F112" s="3323"/>
      <c r="G112" s="3323"/>
      <c r="H112" s="3324"/>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2" t="s">
        <v>451</v>
      </c>
      <c r="C113" s="385">
        <f ca="1">ROUND(C103-C104,0)</f>
        <v>5295</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7.354166666666667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7" t="s">
        <v>453</v>
      </c>
      <c r="C115" s="408">
        <f ca="1">ROUND(IF(C113&lt;=0,0,IF(C114&gt;=200%,C113*60%-C104*35%,IF(C114&gt;=100%,C113*50%-C104*15%,IF(C114&gt;=50%,C113*40%-C104*5%,IF(C114&lt;50%,C113*30%,0))))),0)</f>
        <v>2925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39" sqref="F3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t="s">
        <v>3102</v>
      </c>
      <c r="C1" s="2088"/>
      <c r="D1" s="2088"/>
      <c r="E1" s="2088">
        <f ca="1">结果表!G19</f>
        <v>10526</v>
      </c>
      <c r="F1" s="2088"/>
      <c r="G1" s="2088"/>
      <c r="H1" s="2088"/>
      <c r="I1" s="2088"/>
      <c r="J1" s="2088"/>
      <c r="K1" s="422">
        <f>MATCH(B1,'数据-取费表'!A6:A16,0)+5</f>
        <v>6</v>
      </c>
    </row>
    <row r="2" spans="1:31" s="2025" customFormat="1" ht="18" customHeight="1">
      <c r="A2" s="2085" t="s">
        <v>467</v>
      </c>
      <c r="B2" s="2089">
        <f ca="1">C36</f>
        <v>14036</v>
      </c>
      <c r="C2" s="2088"/>
      <c r="D2" s="2088"/>
      <c r="E2" s="2088">
        <f ca="1">E1*10000/'比较法-住宅、综合'!E58</f>
        <v>574.09226228784325</v>
      </c>
      <c r="F2" s="2088"/>
      <c r="G2" s="2088"/>
      <c r="H2" s="2088"/>
      <c r="I2" s="2088"/>
      <c r="J2" s="2088"/>
      <c r="K2" s="2088"/>
    </row>
    <row r="3" spans="1:31" s="2025" customFormat="1" ht="18" customHeight="1">
      <c r="A3" s="2090" t="s">
        <v>1684</v>
      </c>
      <c r="B3" s="2091">
        <f ca="1">ROUND(B2*10000/IF(B1="",'数据-汇总表'!E3,INDIRECT("'数据-取费表'!K"&amp;$K$1)),0)</f>
        <v>565</v>
      </c>
      <c r="C3" s="2088"/>
      <c r="D3" s="2088"/>
      <c r="E3" s="2088"/>
      <c r="F3" s="2088"/>
      <c r="G3" s="2088"/>
      <c r="H3" s="2088"/>
      <c r="I3" s="2088"/>
      <c r="J3" s="2088"/>
      <c r="K3" s="2088"/>
    </row>
    <row r="4" spans="1:31" s="2025" customFormat="1" ht="18" customHeight="1">
      <c r="A4" s="426" t="s">
        <v>468</v>
      </c>
      <c r="B4" s="427">
        <f ca="1">ROUND(B2*10000/IF(B1="",'数据-汇总表'!D3,INDIRECT("'数据-取费表'!R"&amp;$K$1)),0)</f>
        <v>1264</v>
      </c>
      <c r="C4" s="428"/>
      <c r="D4" s="422"/>
      <c r="E4" s="422"/>
      <c r="F4" s="422"/>
      <c r="G4" s="422"/>
      <c r="H4" s="422"/>
      <c r="I4" s="422"/>
      <c r="J4" s="422"/>
      <c r="K4" s="422"/>
    </row>
    <row r="5" spans="1:31" s="2025" customFormat="1" ht="18" customHeight="1" thickBot="1">
      <c r="A5" s="429"/>
      <c r="B5" s="430">
        <f ca="1">ROUND(B2/(IF(B1="",'数据-汇总表'!D3,INDIRECT("'数据-取费表'!R"&amp;$K$1))/666.67),0)</f>
        <v>84</v>
      </c>
      <c r="C5" s="431" t="s">
        <v>469</v>
      </c>
      <c r="D5" s="422"/>
      <c r="E5" s="422"/>
      <c r="F5" s="422"/>
      <c r="G5" s="422"/>
      <c r="H5" s="422"/>
      <c r="I5" s="422"/>
      <c r="J5" s="422"/>
      <c r="K5" s="422"/>
    </row>
    <row r="6" spans="1:31" s="2095" customFormat="1" ht="16.5" customHeight="1">
      <c r="A6" s="2782" t="s">
        <v>1842</v>
      </c>
      <c r="B6" s="2783"/>
      <c r="C6" s="2784">
        <f ca="1">SUM(C10:K10)</f>
        <v>260420</v>
      </c>
      <c r="D6" s="2783"/>
      <c r="E6" s="2783"/>
      <c r="F6" s="2783"/>
      <c r="G6" s="2783"/>
      <c r="H6" s="2783"/>
      <c r="I6" s="2783"/>
      <c r="J6" s="2783"/>
      <c r="K6" s="2785"/>
    </row>
    <row r="7" spans="1:31" s="2097" customFormat="1" ht="15">
      <c r="A7" s="2786" t="s">
        <v>470</v>
      </c>
      <c r="B7" s="2787" t="s">
        <v>471</v>
      </c>
      <c r="C7" s="436" t="s">
        <v>3102</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 ca="1">不动产收益法!B3</f>
        <v>10486</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248359.16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 ca="1">不动产收益法!B2</f>
        <v>260420</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139081</v>
      </c>
      <c r="D13" s="2798"/>
      <c r="E13" s="2799"/>
      <c r="F13" s="2800"/>
      <c r="G13" s="2766"/>
      <c r="H13" s="2767"/>
      <c r="I13" s="2767"/>
      <c r="J13" s="2767"/>
      <c r="K13" s="2768"/>
    </row>
    <row r="14" spans="1:31" s="2100" customFormat="1" ht="13.5" customHeight="1">
      <c r="A14" s="2796" t="s">
        <v>1849</v>
      </c>
      <c r="B14" s="2797" t="s">
        <v>480</v>
      </c>
      <c r="C14" s="53">
        <f ca="1">ROUND(C13*F14,0)</f>
        <v>4172</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4967</v>
      </c>
      <c r="D16" s="2798">
        <f ca="1">IF(B1="",'数据-汇总表'!E3,INDIRECT("'数据-取费表'!K"&amp;$K$1)+INDIRECT("'数据-取费表'!S"&amp;$K$1))</f>
        <v>248359.16</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2086</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150306</v>
      </c>
      <c r="D18" s="2807"/>
      <c r="E18" s="468"/>
      <c r="F18" s="468"/>
      <c r="G18" s="2770" t="s">
        <v>2430</v>
      </c>
      <c r="H18" s="2771"/>
      <c r="I18" s="2771"/>
      <c r="J18" s="2771"/>
      <c r="K18" s="2772"/>
    </row>
    <row r="19" spans="1:14" s="2100" customFormat="1" ht="13.5" customHeight="1">
      <c r="A19" s="2804" t="s">
        <v>1854</v>
      </c>
      <c r="B19" s="2805" t="s">
        <v>488</v>
      </c>
      <c r="C19" s="2762">
        <f ca="1">ROUND(D19*E19/10000,0)</f>
        <v>0</v>
      </c>
      <c r="D19" s="2808">
        <f ca="1">D16</f>
        <v>248359.16</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5961</v>
      </c>
      <c r="D20" s="2808"/>
      <c r="E20" s="2762"/>
      <c r="F20" s="2809"/>
      <c r="G20" s="3039"/>
      <c r="H20" s="2764"/>
      <c r="I20" s="2765" t="s">
        <v>2649</v>
      </c>
      <c r="J20" s="2771"/>
      <c r="K20" s="2772"/>
    </row>
    <row r="21" spans="1:14" s="2100" customFormat="1" ht="13.5" customHeight="1">
      <c r="A21" s="2796" t="s">
        <v>1856</v>
      </c>
      <c r="B21" s="2797" t="s">
        <v>491</v>
      </c>
      <c r="C21" s="53">
        <f ca="1">ROUND(D21*E21/10000,0)</f>
        <v>0</v>
      </c>
      <c r="D21" s="2798">
        <f ca="1">IF(B1="",'数据-汇总表'!E5,IF(INDIRECT("'数据-取费表'!c"&amp;$K$1)="住宅",INDIRECT("'数据-取费表'!k"&amp;$K$1),0))</f>
        <v>0</v>
      </c>
      <c r="E21" s="53">
        <f>'数据-取费表'!B27</f>
        <v>240</v>
      </c>
      <c r="F21" s="2801"/>
      <c r="G21" s="26"/>
      <c r="H21" s="51"/>
      <c r="I21" s="51"/>
      <c r="J21" s="51"/>
      <c r="K21" s="2773"/>
    </row>
    <row r="22" spans="1:14" s="2100" customFormat="1" ht="13.5" customHeight="1">
      <c r="A22" s="2796" t="s">
        <v>1857</v>
      </c>
      <c r="B22" s="2797" t="s">
        <v>492</v>
      </c>
      <c r="C22" s="53">
        <f ca="1">ROUND(D22*E22/10000,0)</f>
        <v>5961</v>
      </c>
      <c r="D22" s="2798">
        <f ca="1">IF(B1="",'数据-汇总表'!E6,IF(INDIRECT("'数据-取费表'!c"&amp;$K$1)="住宅",INDIRECT("'数据-取费表'!s"&amp;$K$1),INDIRECT("'数据-取费表'!k"&amp;$K$1)+INDIRECT("'数据-取费表'!s"&amp;$K$1)))</f>
        <v>248359.16</v>
      </c>
      <c r="E22" s="53">
        <f>'数据-取费表'!B28</f>
        <v>240</v>
      </c>
      <c r="F22" s="2801"/>
      <c r="G22" s="26"/>
      <c r="H22" s="51"/>
      <c r="I22" s="51"/>
      <c r="J22" s="51"/>
      <c r="K22" s="2773"/>
    </row>
    <row r="23" spans="1:14" s="2100" customFormat="1" ht="13.5" customHeight="1">
      <c r="A23" s="2804" t="s">
        <v>1858</v>
      </c>
      <c r="B23" s="2986" t="s">
        <v>2832</v>
      </c>
      <c r="C23" s="2806">
        <f ca="1">ROUND((C18+C19+C20)*F23,0)</f>
        <v>3125</v>
      </c>
      <c r="D23" s="468"/>
      <c r="E23" s="468"/>
      <c r="F23" s="2810">
        <f>'数据-取费表'!B37</f>
        <v>0.02</v>
      </c>
      <c r="G23" s="2766" t="s">
        <v>2431</v>
      </c>
      <c r="H23" s="2767"/>
      <c r="I23" s="2767"/>
      <c r="J23" s="2767"/>
      <c r="K23" s="2768"/>
      <c r="L23" s="2102"/>
      <c r="M23" s="2102"/>
      <c r="N23" s="2102"/>
    </row>
    <row r="24" spans="1:14" s="2100" customFormat="1" ht="13.5" customHeight="1">
      <c r="A24" s="2804" t="s">
        <v>1859</v>
      </c>
      <c r="B24" s="2986" t="s">
        <v>2835</v>
      </c>
      <c r="C24" s="2806">
        <f ca="1">ROUND(C6*F24,0)</f>
        <v>5208</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6" t="s">
        <v>2833</v>
      </c>
      <c r="C25" s="467">
        <f>ROUND(F25/(1+'数据-取费表'!C42),4)</f>
        <v>2.9000000000000001E-2</v>
      </c>
      <c r="D25" s="462" t="s">
        <v>2827</v>
      </c>
      <c r="E25" s="469"/>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7" t="s">
        <v>2834</v>
      </c>
      <c r="C26" s="2811">
        <f ca="1">C28</f>
        <v>11866</v>
      </c>
      <c r="D26" s="467">
        <f ca="1">C27</f>
        <v>0.1537</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2836</v>
      </c>
      <c r="C28" s="2814">
        <f ca="1">ROUND(IF('数据-取费表'!B22&lt;=1,(C18+C19+C20+C23+C24)*F26*'数据-取费表'!B24/2,(C18+C19+C20+C23+C24)*(POWER((1+F26),'数据-取费表'!B24/2)-1)),0)</f>
        <v>11866</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13641</v>
      </c>
      <c r="D29" s="468"/>
      <c r="E29" s="468"/>
      <c r="F29" s="2988">
        <f>'数据-取费表'!B41</f>
        <v>5.5000000000000007E-2</v>
      </c>
      <c r="G29" s="2775" t="s">
        <v>498</v>
      </c>
      <c r="H29" s="2767"/>
      <c r="I29" s="2767"/>
      <c r="J29" s="2767"/>
      <c r="K29" s="2768"/>
    </row>
    <row r="30" spans="1:14" s="2105" customFormat="1" ht="13.5" customHeight="1">
      <c r="A30" s="1619" t="s">
        <v>1863</v>
      </c>
      <c r="B30" s="2816" t="s">
        <v>500</v>
      </c>
      <c r="C30" s="2811">
        <f ca="1">C31</f>
        <v>190107</v>
      </c>
      <c r="D30" s="477">
        <f ca="1">C32</f>
        <v>0.1827</v>
      </c>
      <c r="E30" s="469" t="s">
        <v>495</v>
      </c>
      <c r="F30" s="471"/>
      <c r="G30" s="2774" t="s">
        <v>2971</v>
      </c>
      <c r="H30" s="2767"/>
      <c r="I30" s="2767"/>
      <c r="J30" s="2767"/>
      <c r="K30" s="2768"/>
    </row>
    <row r="31" spans="1:14" s="2104" customFormat="1" ht="13.5" customHeight="1">
      <c r="A31" s="803" t="s">
        <v>1856</v>
      </c>
      <c r="B31" s="2812"/>
      <c r="C31" s="450">
        <f ca="1">C18+C19+C20+C23+C24+C26+C29</f>
        <v>190107</v>
      </c>
      <c r="D31" s="472"/>
      <c r="E31" s="473"/>
      <c r="F31" s="474"/>
      <c r="G31" s="261"/>
      <c r="H31" s="2769"/>
      <c r="I31" s="2769"/>
      <c r="J31" s="2769"/>
      <c r="K31" s="279"/>
    </row>
    <row r="32" spans="1:14" s="2104" customFormat="1" ht="13.5" customHeight="1">
      <c r="A32" s="803" t="s">
        <v>1857</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49380</v>
      </c>
      <c r="D33" s="467">
        <f ca="1">C34</f>
        <v>0.30869999999999997</v>
      </c>
      <c r="E33" s="469" t="s">
        <v>495</v>
      </c>
      <c r="F33" s="479">
        <f ca="1">IF(B1="",'数据-取费表'!Q16,INDIRECT("'数据-取费表'!q"&amp;$K$1))</f>
        <v>0.3</v>
      </c>
      <c r="G33" s="2770"/>
      <c r="H33" s="2771"/>
      <c r="I33" s="2771"/>
      <c r="J33" s="2771"/>
      <c r="K33" s="2772"/>
    </row>
    <row r="34" spans="1:11" s="2107" customFormat="1" ht="13.5" customHeight="1">
      <c r="A34" s="375" t="s">
        <v>1856</v>
      </c>
      <c r="B34" s="2817" t="s">
        <v>501</v>
      </c>
      <c r="C34" s="472">
        <f ca="1">ROUND((1+C25)*F33,4)</f>
        <v>0.30869999999999997</v>
      </c>
      <c r="D34" s="472"/>
      <c r="E34" s="473"/>
      <c r="F34" s="480"/>
      <c r="G34" s="261" t="s">
        <v>2290</v>
      </c>
      <c r="H34" s="2769"/>
      <c r="I34" s="2769"/>
      <c r="J34" s="2769"/>
      <c r="K34" s="279"/>
    </row>
    <row r="35" spans="1:11" s="2107" customFormat="1" ht="13.5" customHeight="1" thickBot="1">
      <c r="A35" s="1620" t="s">
        <v>1857</v>
      </c>
      <c r="B35" s="2984" t="s">
        <v>2837</v>
      </c>
      <c r="C35" s="1612">
        <f ca="1">ROUND((C18+C19+C20+C23+C24)*F33,0)</f>
        <v>49380</v>
      </c>
      <c r="D35" s="1613"/>
      <c r="E35" s="2818"/>
      <c r="F35" s="1614"/>
      <c r="G35" s="2776"/>
      <c r="H35" s="2777"/>
      <c r="I35" s="2777"/>
      <c r="J35" s="2777"/>
      <c r="K35" s="2778"/>
    </row>
    <row r="36" spans="1:11" s="2069" customFormat="1" ht="13.5" customHeight="1" thickBot="1">
      <c r="A36" s="284" t="s">
        <v>1844</v>
      </c>
      <c r="B36" s="2780"/>
      <c r="C36" s="2819">
        <f ca="1">ROUND((C6-C30-C33)/(1+D30+D33),0)</f>
        <v>14036</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7</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139081</v>
      </c>
      <c r="D13" s="451"/>
      <c r="E13" s="365"/>
      <c r="F13" s="452"/>
      <c r="G13" s="444"/>
      <c r="H13" s="447"/>
      <c r="I13" s="447"/>
      <c r="J13" s="447"/>
      <c r="K13" s="448"/>
    </row>
    <row r="14" spans="1:41" s="2100" customFormat="1" ht="13.5" customHeight="1">
      <c r="A14" s="1617" t="s">
        <v>1849</v>
      </c>
      <c r="B14" s="449" t="s">
        <v>480</v>
      </c>
      <c r="C14" s="53">
        <f ca="1">ROUND(C13*F14,0)</f>
        <v>4172</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4967</v>
      </c>
      <c r="D16" s="451">
        <f ca="1">IF(B1="",'数据-汇总表'!E3,INDIRECT("'数据-取费表'!K"&amp;$K$1)+INDIRECT("'数据-取费表'!S"&amp;$K$1))</f>
        <v>248359.16</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2086</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150306</v>
      </c>
      <c r="D18" s="461"/>
      <c r="E18" s="462"/>
      <c r="F18" s="462"/>
      <c r="G18" s="1322" t="s">
        <v>2432</v>
      </c>
      <c r="H18" s="447"/>
      <c r="I18" s="447"/>
      <c r="J18" s="447"/>
      <c r="K18" s="448"/>
    </row>
    <row r="19" spans="1:14" s="2103" customFormat="1" ht="13.5" customHeight="1">
      <c r="A19" s="1618" t="s">
        <v>1854</v>
      </c>
      <c r="B19" s="459" t="s">
        <v>493</v>
      </c>
      <c r="C19" s="460">
        <f ca="1">ROUND(C18*F19,0)</f>
        <v>3006</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1">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11052</v>
      </c>
      <c r="D21" s="467">
        <f ca="1">C23</f>
        <v>1.4E-3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2454</v>
      </c>
    </row>
    <row r="22" spans="1:14" s="2104" customFormat="1" ht="13.5" customHeight="1">
      <c r="A22" s="1617" t="s">
        <v>1848</v>
      </c>
      <c r="B22" s="1323" t="s">
        <v>2435</v>
      </c>
      <c r="C22" s="487">
        <f ca="1">ROUND(IF('数据-取费表'!B22&lt;=1,(C18+C19)*F21*'数据-取费表'!B20/2,(C18+C19)*(POWER((1+F21),'数据-取费表'!B20/2)-1)),0)</f>
        <v>11052</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3" t="s">
        <v>2830</v>
      </c>
      <c r="C24" s="478">
        <f ca="1">C25</f>
        <v>45994</v>
      </c>
      <c r="D24" s="489">
        <f ca="1">C26</f>
        <v>6.0000000000000001E-3</v>
      </c>
      <c r="E24" s="469" t="s">
        <v>507</v>
      </c>
      <c r="F24" s="479">
        <f ca="1">IF(B1="",'数据-取费表'!Q16,INDIRECT("'数据-取费表'!q"&amp;$K$1))</f>
        <v>0.3</v>
      </c>
      <c r="G24" s="444"/>
      <c r="H24" s="447"/>
      <c r="I24" s="447"/>
      <c r="J24" s="447"/>
      <c r="K24" s="448"/>
    </row>
    <row r="25" spans="1:14" s="2104" customFormat="1" ht="13.5" customHeight="1">
      <c r="A25" s="1617" t="s">
        <v>1848</v>
      </c>
      <c r="B25" s="1323" t="s">
        <v>2436</v>
      </c>
      <c r="C25" s="490">
        <f ca="1">ROUND((C18+C19)*F24,0)</f>
        <v>45994</v>
      </c>
      <c r="D25" s="472"/>
      <c r="E25" s="473"/>
      <c r="F25" s="480"/>
      <c r="G25" s="1321" t="s">
        <v>2433</v>
      </c>
      <c r="H25" s="457"/>
      <c r="I25" s="457"/>
      <c r="J25" s="457"/>
      <c r="K25" s="458"/>
    </row>
    <row r="26" spans="1:14" s="2104" customFormat="1" ht="13.5" customHeight="1">
      <c r="A26" s="1617" t="s">
        <v>1849</v>
      </c>
      <c r="B26" s="1323" t="s">
        <v>509</v>
      </c>
      <c r="C26" s="491">
        <f ca="1">ROUND(F20*F24,4)</f>
        <v>6.0000000000000001E-3</v>
      </c>
      <c r="D26" s="472"/>
      <c r="E26" s="481"/>
      <c r="F26" s="480"/>
      <c r="G26" s="1321" t="s">
        <v>510</v>
      </c>
      <c r="H26" s="457"/>
      <c r="I26" s="457"/>
      <c r="J26" s="457"/>
      <c r="K26" s="458"/>
    </row>
    <row r="27" spans="1:14" s="2104" customFormat="1" ht="13.5" customHeight="1">
      <c r="A27" s="1621" t="s">
        <v>1867</v>
      </c>
      <c r="B27" s="459" t="s">
        <v>511</v>
      </c>
      <c r="C27" s="2982">
        <f>ROUND(F27/(1+'数据-取费表'!C42),4)</f>
        <v>5.2400000000000002E-2</v>
      </c>
      <c r="D27" s="462" t="s">
        <v>2828</v>
      </c>
      <c r="E27" s="462"/>
      <c r="F27" s="466">
        <f>'数据-取费表'!B41</f>
        <v>5.5000000000000007E-2</v>
      </c>
      <c r="G27" s="1944" t="s">
        <v>2291</v>
      </c>
      <c r="H27" s="447"/>
      <c r="I27" s="447"/>
      <c r="J27" s="447"/>
      <c r="K27" s="448"/>
    </row>
    <row r="28" spans="1:14" s="2105" customFormat="1" ht="13.5" customHeight="1">
      <c r="A28" s="1621" t="s">
        <v>1868</v>
      </c>
      <c r="B28" s="476" t="s">
        <v>512</v>
      </c>
      <c r="C28" s="470">
        <f ca="1">ROUND((C18+C19+C21+C24)/(1-C20-D21-D24-C27),0)</f>
        <v>228600</v>
      </c>
      <c r="D28" s="477"/>
      <c r="E28" s="469"/>
      <c r="F28" s="471"/>
      <c r="G28" s="1322" t="s">
        <v>2434</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5.5000000000000007E-2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02" t="str">
        <f>项目基本情况!B1</f>
        <v>出让国有建设用地使用权抵押价格预评估</v>
      </c>
      <c r="C37" s="3202"/>
      <c r="D37" s="3202"/>
      <c r="E37" s="3202"/>
      <c r="F37" s="3202"/>
      <c r="G37" s="3202"/>
      <c r="H37" s="3202"/>
      <c r="I37" s="3202"/>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5" zoomScale="85" zoomScaleNormal="95" zoomScaleSheetLayoutView="85" workbookViewId="0">
      <selection activeCell="G35" sqref="G35"/>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9021</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363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813</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54</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376" t="s">
        <v>522</v>
      </c>
      <c r="D6" s="3377"/>
      <c r="E6" s="3376" t="s">
        <v>523</v>
      </c>
      <c r="F6" s="3377"/>
      <c r="G6" s="3376" t="s">
        <v>524</v>
      </c>
      <c r="H6" s="3377"/>
      <c r="I6" s="3376" t="s">
        <v>525</v>
      </c>
      <c r="J6" s="3377"/>
      <c r="K6" s="514" t="s">
        <v>526</v>
      </c>
      <c r="L6" s="2117"/>
      <c r="M6" s="2116"/>
      <c r="N6" s="2116"/>
      <c r="O6" s="2118"/>
      <c r="P6" s="3378" t="s">
        <v>527</v>
      </c>
      <c r="Q6" s="3379"/>
      <c r="R6" s="3384" t="s">
        <v>523</v>
      </c>
      <c r="S6" s="3385"/>
      <c r="T6" s="3384" t="s">
        <v>524</v>
      </c>
      <c r="U6" s="3385"/>
      <c r="V6" s="3371" t="s">
        <v>525</v>
      </c>
      <c r="W6" s="3371"/>
      <c r="X6" s="1552"/>
      <c r="Y6" s="3384" t="s">
        <v>527</v>
      </c>
      <c r="Z6" s="3385"/>
      <c r="AA6" s="3373" t="s">
        <v>523</v>
      </c>
      <c r="AB6" s="3374" t="s">
        <v>524</v>
      </c>
      <c r="AC6" s="3373" t="s">
        <v>525</v>
      </c>
    </row>
    <row r="7" spans="1:30" ht="30" customHeight="1">
      <c r="A7" s="515"/>
      <c r="B7" s="516"/>
      <c r="C7" s="3392" t="s">
        <v>2929</v>
      </c>
      <c r="D7" s="3393"/>
      <c r="E7" s="3392" t="str">
        <f>土地案例!$A$6</f>
        <v>天汉大道以南、秦汉大道以西</v>
      </c>
      <c r="F7" s="3393"/>
      <c r="G7" s="3392" t="str">
        <f>土地案例!A15</f>
        <v>学森一路以南,精勤路以西,秀水路以东,学镇环路以北</v>
      </c>
      <c r="H7" s="3393"/>
      <c r="I7" s="3392" t="str">
        <f>土地案例!A16</f>
        <v>精勤路以西,临渭路以南,求学路以东,学森一路以北</v>
      </c>
      <c r="J7" s="3393"/>
      <c r="K7" s="514"/>
      <c r="L7" s="2117"/>
      <c r="M7" s="2116"/>
      <c r="N7" s="2116"/>
      <c r="O7" s="2118"/>
      <c r="P7" s="3380"/>
      <c r="Q7" s="3381"/>
      <c r="R7" s="3386"/>
      <c r="S7" s="3387"/>
      <c r="T7" s="3386"/>
      <c r="U7" s="3387"/>
      <c r="V7" s="3371"/>
      <c r="W7" s="3371"/>
      <c r="X7" s="1552"/>
      <c r="Y7" s="3386"/>
      <c r="Z7" s="3387"/>
      <c r="AA7" s="3374"/>
      <c r="AB7" s="3374"/>
      <c r="AC7" s="3374"/>
    </row>
    <row r="8" spans="1:30" ht="21" thickBot="1">
      <c r="A8" s="515"/>
      <c r="B8" s="516"/>
      <c r="C8" s="3394" t="s">
        <v>2933</v>
      </c>
      <c r="D8" s="3395"/>
      <c r="E8" s="3394" t="s">
        <v>2933</v>
      </c>
      <c r="F8" s="3395"/>
      <c r="G8" s="3390" t="s">
        <v>2933</v>
      </c>
      <c r="H8" s="3391"/>
      <c r="I8" s="3390" t="s">
        <v>2933</v>
      </c>
      <c r="J8" s="3391"/>
      <c r="K8" s="514" t="s">
        <v>528</v>
      </c>
      <c r="L8" s="2117"/>
      <c r="M8" s="2116"/>
      <c r="N8" s="2116"/>
      <c r="O8" s="2118"/>
      <c r="P8" s="3382"/>
      <c r="Q8" s="3383"/>
      <c r="R8" s="3386"/>
      <c r="S8" s="3387"/>
      <c r="T8" s="3388"/>
      <c r="U8" s="3389"/>
      <c r="V8" s="3371"/>
      <c r="W8" s="3371"/>
      <c r="X8" s="1552"/>
      <c r="Y8" s="3388"/>
      <c r="Z8" s="3389"/>
      <c r="AA8" s="3375"/>
      <c r="AB8" s="3375"/>
      <c r="AC8" s="3375"/>
    </row>
    <row r="9" spans="1:30" s="1215" customFormat="1" ht="21" thickBot="1">
      <c r="A9" s="2866"/>
      <c r="B9" s="3195" t="s">
        <v>529</v>
      </c>
      <c r="C9" s="2865">
        <f>'数据-取费表'!B2</f>
        <v>43810</v>
      </c>
      <c r="D9" s="520">
        <v>100</v>
      </c>
      <c r="E9" s="521" t="str">
        <f>土地案例!H6</f>
        <v>2019-03-11</v>
      </c>
      <c r="F9" s="522">
        <f>SUMIF(72:72,YEAR(E9)&amp;"-"&amp;INT((MONTH(E9)+2)/3),73:73)</f>
        <v>98.5</v>
      </c>
      <c r="G9" s="523" t="str">
        <f>土地案例!H15</f>
        <v>2018-03-22</v>
      </c>
      <c r="H9" s="520">
        <f>SUMIF(72:72,YEAR(G9)&amp;"-"&amp;INT((MONTH(G9)+2)/3),73:73)</f>
        <v>96.5</v>
      </c>
      <c r="I9" s="523" t="str">
        <f>土地案例!H16</f>
        <v>2018-03-22</v>
      </c>
      <c r="J9" s="520">
        <f>SUMIF(72:72,YEAR(I9)&amp;"-"&amp;INT((MONTH(I9)+2)/3),73:73)</f>
        <v>96.5</v>
      </c>
      <c r="K9" s="524"/>
      <c r="L9" s="2119"/>
      <c r="M9" s="2116"/>
      <c r="N9" s="2116"/>
      <c r="O9" s="2120"/>
      <c r="P9" s="3401" t="s">
        <v>530</v>
      </c>
      <c r="Q9" s="3403"/>
      <c r="R9" s="1553" t="s">
        <v>8</v>
      </c>
      <c r="S9" s="1554">
        <f t="shared" ref="S9:S17" si="0">F9</f>
        <v>98.5</v>
      </c>
      <c r="T9" s="1553" t="s">
        <v>8</v>
      </c>
      <c r="U9" s="1554">
        <f t="shared" ref="U9:U17" si="1">H9</f>
        <v>96.5</v>
      </c>
      <c r="V9" s="1553" t="s">
        <v>8</v>
      </c>
      <c r="W9" s="1554">
        <f t="shared" ref="W9:W17" si="2">J9</f>
        <v>96.5</v>
      </c>
      <c r="X9" s="1555"/>
      <c r="Y9" s="3401" t="s">
        <v>530</v>
      </c>
      <c r="Z9" s="3402"/>
      <c r="AA9" s="1556">
        <f>D9/F9</f>
        <v>1.015228426395939</v>
      </c>
      <c r="AB9" s="1556">
        <f>D9/H9</f>
        <v>1.0362694300518134</v>
      </c>
      <c r="AC9" s="1556">
        <f>D9/J9</f>
        <v>1.0362694300518134</v>
      </c>
    </row>
    <row r="10" spans="1:30" s="1215" customFormat="1" ht="21" thickBot="1">
      <c r="A10" s="2867"/>
      <c r="B10" s="2874" t="s">
        <v>531</v>
      </c>
      <c r="C10" s="856" t="s">
        <v>532</v>
      </c>
      <c r="D10" s="520">
        <v>100</v>
      </c>
      <c r="E10" s="525" t="s">
        <v>3095</v>
      </c>
      <c r="F10" s="522">
        <f>SUMIF(75:75,E10,76:76)-SUMIF(75:75,C10,76:76)+100</f>
        <v>100</v>
      </c>
      <c r="G10" s="525" t="s">
        <v>3095</v>
      </c>
      <c r="H10" s="520">
        <f>SUMIF(75:75,G10,76:76)-SUMIF(75:75,C10,76:76)+100</f>
        <v>100</v>
      </c>
      <c r="I10" s="525" t="s">
        <v>3095</v>
      </c>
      <c r="J10" s="520">
        <f>SUMIF(75:75,I10,76:76)-SUMIF(75:75,C10,76:76)+100</f>
        <v>100</v>
      </c>
      <c r="K10" s="524"/>
      <c r="L10" s="2119"/>
      <c r="M10" s="2116"/>
      <c r="N10" s="2116"/>
      <c r="O10" s="2120"/>
      <c r="P10" s="3401" t="s">
        <v>533</v>
      </c>
      <c r="Q10" s="3402"/>
      <c r="R10" s="1553" t="s">
        <v>8</v>
      </c>
      <c r="S10" s="1554">
        <f t="shared" si="0"/>
        <v>100</v>
      </c>
      <c r="T10" s="1553" t="s">
        <v>8</v>
      </c>
      <c r="U10" s="1554">
        <f t="shared" si="1"/>
        <v>100</v>
      </c>
      <c r="V10" s="1553" t="s">
        <v>8</v>
      </c>
      <c r="W10" s="1554">
        <f t="shared" si="2"/>
        <v>100</v>
      </c>
      <c r="X10" s="1555"/>
      <c r="Y10" s="3401" t="s">
        <v>533</v>
      </c>
      <c r="Z10" s="3402"/>
      <c r="AA10" s="1556">
        <f t="shared" ref="AA10:AA47" si="3">D10/F10</f>
        <v>1</v>
      </c>
      <c r="AB10" s="1556">
        <f t="shared" ref="AB10:AB47" si="4">D10/H10</f>
        <v>1</v>
      </c>
      <c r="AC10" s="1556">
        <f t="shared" ref="AC10:AC47" si="5">D10/J10</f>
        <v>1</v>
      </c>
    </row>
    <row r="11" spans="1:30" s="1215" customFormat="1" ht="20.25">
      <c r="A11" s="2868"/>
      <c r="B11" s="2875" t="s">
        <v>2754</v>
      </c>
      <c r="C11" s="2862" t="s">
        <v>3120</v>
      </c>
      <c r="D11" s="254">
        <v>100</v>
      </c>
      <c r="E11" s="526" t="s">
        <v>3122</v>
      </c>
      <c r="F11" s="254">
        <f>SUMIF(77:77,E11,78:78)-SUMIF(77:77,C11,78:78)+100</f>
        <v>100</v>
      </c>
      <c r="G11" s="526" t="s">
        <v>3120</v>
      </c>
      <c r="H11" s="254">
        <f>SUMIF(77:77,G11,78:78)-SUMIF(77:77,C11,78:78)+100</f>
        <v>100</v>
      </c>
      <c r="I11" s="526" t="s">
        <v>3120</v>
      </c>
      <c r="J11" s="254">
        <f>SUMIF(77:77,I11,78:78)-SUMIF(77:77,C11,78:78)+100</f>
        <v>100</v>
      </c>
      <c r="K11" s="524"/>
      <c r="L11" s="2119"/>
      <c r="M11" s="2116"/>
      <c r="N11" s="2116"/>
      <c r="O11" s="2121"/>
      <c r="P11" s="3370" t="s">
        <v>535</v>
      </c>
      <c r="Q11" s="1146" t="str">
        <f t="shared" ref="Q11:Q17" si="6">B11</f>
        <v>用途</v>
      </c>
      <c r="R11" s="1553" t="s">
        <v>8</v>
      </c>
      <c r="S11" s="1554">
        <f t="shared" si="0"/>
        <v>100</v>
      </c>
      <c r="T11" s="1553" t="s">
        <v>8</v>
      </c>
      <c r="U11" s="1554">
        <f t="shared" si="1"/>
        <v>100</v>
      </c>
      <c r="V11" s="1553" t="s">
        <v>8</v>
      </c>
      <c r="W11" s="1554">
        <f t="shared" si="2"/>
        <v>100</v>
      </c>
      <c r="X11" s="1555"/>
      <c r="Y11" s="3316" t="s">
        <v>536</v>
      </c>
      <c r="Z11" s="1145" t="str">
        <f t="shared" ref="Z11:Z17" si="7">Q11</f>
        <v>用途</v>
      </c>
      <c r="AA11" s="1556">
        <f t="shared" si="3"/>
        <v>1</v>
      </c>
      <c r="AB11" s="1556">
        <f t="shared" si="4"/>
        <v>1</v>
      </c>
      <c r="AC11" s="1556">
        <f t="shared" si="5"/>
        <v>1</v>
      </c>
    </row>
    <row r="12" spans="1:30" s="1333" customFormat="1" ht="27">
      <c r="A12" s="2869"/>
      <c r="B12" s="2874" t="s">
        <v>2755</v>
      </c>
      <c r="C12" s="910"/>
      <c r="D12" s="255">
        <v>100</v>
      </c>
      <c r="E12" s="529"/>
      <c r="F12" s="255">
        <f>ROUND(100/'数据-取费表'!G16,0)</f>
        <v>102</v>
      </c>
      <c r="G12" s="530"/>
      <c r="H12" s="255">
        <f>ROUND(100/'数据-取费表'!G16,0)</f>
        <v>102</v>
      </c>
      <c r="I12" s="530"/>
      <c r="J12" s="255">
        <f>ROUND(100/'数据-取费表'!G16,0)</f>
        <v>102</v>
      </c>
      <c r="K12" s="531"/>
      <c r="L12" s="2122"/>
      <c r="M12" s="2116"/>
      <c r="N12" s="2116"/>
      <c r="O12" s="2123"/>
      <c r="P12" s="3370"/>
      <c r="Q12" s="1146" t="str">
        <f t="shared" si="6"/>
        <v>土地使用年限（年）</v>
      </c>
      <c r="R12" s="1553" t="s">
        <v>8</v>
      </c>
      <c r="S12" s="1554">
        <f t="shared" si="0"/>
        <v>102</v>
      </c>
      <c r="T12" s="1553" t="s">
        <v>8</v>
      </c>
      <c r="U12" s="1554">
        <f t="shared" si="1"/>
        <v>102</v>
      </c>
      <c r="V12" s="1553" t="s">
        <v>8</v>
      </c>
      <c r="W12" s="1554">
        <f t="shared" si="2"/>
        <v>102</v>
      </c>
      <c r="X12" s="1555"/>
      <c r="Y12" s="3316"/>
      <c r="Z12" s="1145" t="str">
        <f t="shared" si="7"/>
        <v>土地使用年限（年）</v>
      </c>
      <c r="AA12" s="1556">
        <f t="shared" si="3"/>
        <v>0.98039215686274506</v>
      </c>
      <c r="AB12" s="1556">
        <f t="shared" si="4"/>
        <v>0.98039215686274506</v>
      </c>
      <c r="AC12" s="1556">
        <f t="shared" si="5"/>
        <v>0.98039215686274506</v>
      </c>
    </row>
    <row r="13" spans="1:30" ht="20.25">
      <c r="A13" s="2870"/>
      <c r="B13" s="2874" t="s">
        <v>2756</v>
      </c>
      <c r="C13" s="3196">
        <f>'数据-汇总表'!I6</f>
        <v>1.65</v>
      </c>
      <c r="D13" s="255">
        <v>100</v>
      </c>
      <c r="E13" s="533">
        <v>1.5</v>
      </c>
      <c r="F13" s="255">
        <f>LOOKUP(E13,82:82,83:83)-LOOKUP(C13,82:82,83:83)+100</f>
        <v>100</v>
      </c>
      <c r="G13" s="534">
        <v>1.8</v>
      </c>
      <c r="H13" s="255">
        <f>LOOKUP(G13,82:82,83:83)-LOOKUP(C13,82:82,83:83)+100</f>
        <v>100</v>
      </c>
      <c r="I13" s="533">
        <v>1.8</v>
      </c>
      <c r="J13" s="255">
        <f>LOOKUP(I13,82:82,83:83)-LOOKUP(C13,82:82,83:83)+100</f>
        <v>100</v>
      </c>
      <c r="K13" s="535">
        <v>2</v>
      </c>
      <c r="L13" s="2124"/>
      <c r="M13" s="2116"/>
      <c r="N13" s="2116"/>
      <c r="O13" s="2125"/>
      <c r="P13" s="3370"/>
      <c r="Q13" s="1146" t="str">
        <f t="shared" si="6"/>
        <v>容积率</v>
      </c>
      <c r="R13" s="1553" t="s">
        <v>8</v>
      </c>
      <c r="S13" s="1554">
        <f t="shared" si="0"/>
        <v>100</v>
      </c>
      <c r="T13" s="1553" t="s">
        <v>8</v>
      </c>
      <c r="U13" s="1554">
        <f t="shared" si="1"/>
        <v>100</v>
      </c>
      <c r="V13" s="1553" t="s">
        <v>8</v>
      </c>
      <c r="W13" s="1554">
        <f t="shared" si="2"/>
        <v>100</v>
      </c>
      <c r="X13" s="1555"/>
      <c r="Y13" s="3316"/>
      <c r="Z13" s="1145" t="str">
        <f t="shared" si="7"/>
        <v>容积率</v>
      </c>
      <c r="AA13" s="1556">
        <f t="shared" si="3"/>
        <v>1</v>
      </c>
      <c r="AB13" s="1556">
        <f t="shared" si="4"/>
        <v>1</v>
      </c>
      <c r="AC13" s="1556">
        <f t="shared" si="5"/>
        <v>1</v>
      </c>
    </row>
    <row r="14" spans="1:30" s="1215" customFormat="1" ht="20.25">
      <c r="A14" s="2867"/>
      <c r="B14" s="2876" t="s">
        <v>2757</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370"/>
      <c r="Q14" s="1146" t="str">
        <f t="shared" si="6"/>
        <v>配建</v>
      </c>
      <c r="R14" s="1553" t="s">
        <v>8</v>
      </c>
      <c r="S14" s="1554">
        <f t="shared" si="0"/>
        <v>100</v>
      </c>
      <c r="T14" s="1553" t="s">
        <v>8</v>
      </c>
      <c r="U14" s="1554">
        <f t="shared" si="1"/>
        <v>100</v>
      </c>
      <c r="V14" s="1553" t="s">
        <v>8</v>
      </c>
      <c r="W14" s="1554">
        <f t="shared" si="2"/>
        <v>100</v>
      </c>
      <c r="X14" s="1555"/>
      <c r="Y14" s="3316"/>
      <c r="Z14" s="1145"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70"/>
      <c r="Q15" s="1146">
        <f t="shared" si="6"/>
        <v>111</v>
      </c>
      <c r="R15" s="1553" t="s">
        <v>8</v>
      </c>
      <c r="S15" s="1554">
        <f t="shared" si="0"/>
        <v>100</v>
      </c>
      <c r="T15" s="1553" t="s">
        <v>8</v>
      </c>
      <c r="U15" s="1554">
        <f t="shared" si="1"/>
        <v>100</v>
      </c>
      <c r="V15" s="1553" t="s">
        <v>8</v>
      </c>
      <c r="W15" s="1554">
        <f t="shared" si="2"/>
        <v>100</v>
      </c>
      <c r="X15" s="1555"/>
      <c r="Y15" s="3316"/>
      <c r="Z15" s="1145">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70"/>
      <c r="Q16" s="1146">
        <f t="shared" si="6"/>
        <v>111</v>
      </c>
      <c r="R16" s="1553" t="s">
        <v>8</v>
      </c>
      <c r="S16" s="1554">
        <f t="shared" si="0"/>
        <v>100</v>
      </c>
      <c r="T16" s="1553" t="s">
        <v>8</v>
      </c>
      <c r="U16" s="1554">
        <f t="shared" si="1"/>
        <v>100</v>
      </c>
      <c r="V16" s="1553" t="s">
        <v>8</v>
      </c>
      <c r="W16" s="1554">
        <f t="shared" si="2"/>
        <v>100</v>
      </c>
      <c r="X16" s="1555"/>
      <c r="Y16" s="3316"/>
      <c r="Z16" s="1145">
        <f t="shared" si="7"/>
        <v>111</v>
      </c>
      <c r="AA16" s="1556">
        <f>D16/F16</f>
        <v>1</v>
      </c>
      <c r="AB16" s="1556">
        <f>D16/H16</f>
        <v>1</v>
      </c>
      <c r="AC16" s="1556">
        <f>D16/J16</f>
        <v>1</v>
      </c>
    </row>
    <row r="17" spans="1:29" ht="99.75" hidden="1">
      <c r="A17" s="2864"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10</v>
      </c>
      <c r="L17" s="2126"/>
      <c r="M17" s="2116"/>
      <c r="N17" s="2116"/>
      <c r="O17" s="2125"/>
      <c r="P17" s="3404" t="s">
        <v>540</v>
      </c>
      <c r="Q17" s="1557" t="str">
        <f t="shared" si="6"/>
        <v>居住社区成熟度</v>
      </c>
      <c r="R17" s="1558" t="s">
        <v>8</v>
      </c>
      <c r="S17" s="1559">
        <f t="shared" si="0"/>
        <v>100</v>
      </c>
      <c r="T17" s="1558" t="s">
        <v>8</v>
      </c>
      <c r="U17" s="1559">
        <f t="shared" si="1"/>
        <v>100</v>
      </c>
      <c r="V17" s="1558" t="s">
        <v>8</v>
      </c>
      <c r="W17" s="1559">
        <f t="shared" si="2"/>
        <v>100</v>
      </c>
      <c r="X17" s="1552"/>
      <c r="Y17" s="3404" t="s">
        <v>540</v>
      </c>
      <c r="Z17" s="1560" t="str">
        <f t="shared" si="7"/>
        <v>居住社区成熟度</v>
      </c>
      <c r="AA17" s="1561">
        <f t="shared" si="3"/>
        <v>1</v>
      </c>
      <c r="AB17" s="1561">
        <f t="shared" si="4"/>
        <v>1</v>
      </c>
      <c r="AC17" s="1561">
        <f t="shared" si="5"/>
        <v>1</v>
      </c>
    </row>
    <row r="18" spans="1:29" ht="20.25" hidden="1">
      <c r="A18" s="532"/>
      <c r="B18" s="553"/>
      <c r="C18" s="554" t="s">
        <v>3109</v>
      </c>
      <c r="D18" s="557"/>
      <c r="E18" s="558" t="s">
        <v>3109</v>
      </c>
      <c r="F18" s="555"/>
      <c r="G18" s="556" t="s">
        <v>3109</v>
      </c>
      <c r="H18" s="559"/>
      <c r="I18" s="558" t="s">
        <v>3109</v>
      </c>
      <c r="J18" s="555"/>
      <c r="K18" s="531"/>
      <c r="L18" s="2126"/>
      <c r="M18" s="2116"/>
      <c r="N18" s="2116"/>
      <c r="O18" s="2125"/>
      <c r="P18" s="3405"/>
      <c r="Q18" s="1557"/>
      <c r="R18" s="1558"/>
      <c r="S18" s="1559"/>
      <c r="T18" s="1558"/>
      <c r="U18" s="1559"/>
      <c r="V18" s="1558"/>
      <c r="W18" s="1559"/>
      <c r="X18" s="1552"/>
      <c r="Y18" s="3405"/>
      <c r="Z18" s="1560"/>
      <c r="AA18" s="1561">
        <v>1</v>
      </c>
      <c r="AB18" s="1561">
        <v>1</v>
      </c>
      <c r="AC18" s="1561">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10</v>
      </c>
      <c r="L19" s="2126"/>
      <c r="M19" s="2116"/>
      <c r="N19" s="2116"/>
      <c r="O19" s="2125"/>
      <c r="P19" s="3405"/>
      <c r="Q19" s="1557" t="str">
        <f>B19</f>
        <v>商业繁华度</v>
      </c>
      <c r="R19" s="1558" t="s">
        <v>8</v>
      </c>
      <c r="S19" s="1559">
        <f>F19</f>
        <v>100</v>
      </c>
      <c r="T19" s="1558" t="s">
        <v>8</v>
      </c>
      <c r="U19" s="1559">
        <f>H19</f>
        <v>100</v>
      </c>
      <c r="V19" s="1558" t="s">
        <v>8</v>
      </c>
      <c r="W19" s="1559">
        <f>J19</f>
        <v>100</v>
      </c>
      <c r="X19" s="1552"/>
      <c r="Y19" s="3405"/>
      <c r="Z19" s="1560" t="str">
        <f>Q19</f>
        <v>商业繁华度</v>
      </c>
      <c r="AA19" s="1561">
        <f t="shared" si="3"/>
        <v>1</v>
      </c>
      <c r="AB19" s="1561">
        <f t="shared" si="4"/>
        <v>1</v>
      </c>
      <c r="AC19" s="1561">
        <f t="shared" si="5"/>
        <v>1</v>
      </c>
    </row>
    <row r="20" spans="1:29" ht="20.25" hidden="1">
      <c r="A20" s="532"/>
      <c r="B20" s="566"/>
      <c r="C20" s="567" t="s">
        <v>3125</v>
      </c>
      <c r="D20" s="563"/>
      <c r="E20" s="569" t="s">
        <v>3125</v>
      </c>
      <c r="F20" s="559"/>
      <c r="G20" s="568" t="s">
        <v>3125</v>
      </c>
      <c r="H20" s="555"/>
      <c r="I20" s="569" t="s">
        <v>3125</v>
      </c>
      <c r="J20" s="555"/>
      <c r="K20" s="531"/>
      <c r="L20" s="2126"/>
      <c r="M20" s="2116"/>
      <c r="N20" s="2116"/>
      <c r="O20" s="2125"/>
      <c r="P20" s="3405"/>
      <c r="Q20" s="1557"/>
      <c r="R20" s="1558"/>
      <c r="S20" s="1559"/>
      <c r="T20" s="1558"/>
      <c r="U20" s="1559"/>
      <c r="V20" s="1558"/>
      <c r="W20" s="1559"/>
      <c r="X20" s="1552"/>
      <c r="Y20" s="3405"/>
      <c r="Z20" s="1560"/>
      <c r="AA20" s="1561">
        <v>1</v>
      </c>
      <c r="AB20" s="1561">
        <v>1</v>
      </c>
      <c r="AC20" s="156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05"/>
      <c r="Q21" s="1557" t="str">
        <f>B21</f>
        <v>办公集聚程度</v>
      </c>
      <c r="R21" s="1558" t="s">
        <v>8</v>
      </c>
      <c r="S21" s="1559">
        <f>F21</f>
        <v>100</v>
      </c>
      <c r="T21" s="1558" t="s">
        <v>8</v>
      </c>
      <c r="U21" s="1559">
        <f>H21</f>
        <v>100</v>
      </c>
      <c r="V21" s="1558" t="s">
        <v>8</v>
      </c>
      <c r="W21" s="1559">
        <f>J21</f>
        <v>100</v>
      </c>
      <c r="X21" s="1552"/>
      <c r="Y21" s="3405"/>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05"/>
      <c r="Q22" s="1557"/>
      <c r="R22" s="1558"/>
      <c r="S22" s="1559"/>
      <c r="T22" s="1558"/>
      <c r="U22" s="1559"/>
      <c r="V22" s="1558"/>
      <c r="W22" s="1559"/>
      <c r="X22" s="1552"/>
      <c r="Y22" s="3405"/>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95</v>
      </c>
      <c r="I23" s="564"/>
      <c r="J23" s="559">
        <f>SUMIF(96:96,I24,97:97)-SUMIF(96:96,C24,97:97)+100</f>
        <v>95</v>
      </c>
      <c r="K23" s="535">
        <v>5</v>
      </c>
      <c r="L23" s="2126"/>
      <c r="M23" s="2116"/>
      <c r="N23" s="2116"/>
      <c r="O23" s="2125"/>
      <c r="P23" s="3405"/>
      <c r="Q23" s="1557" t="str">
        <f>B23</f>
        <v>交通便捷度</v>
      </c>
      <c r="R23" s="1558" t="s">
        <v>8</v>
      </c>
      <c r="S23" s="1559">
        <f>F23</f>
        <v>100</v>
      </c>
      <c r="T23" s="1558" t="s">
        <v>8</v>
      </c>
      <c r="U23" s="1559">
        <f>H23</f>
        <v>95</v>
      </c>
      <c r="V23" s="1558" t="s">
        <v>8</v>
      </c>
      <c r="W23" s="1559">
        <f>J23</f>
        <v>95</v>
      </c>
      <c r="X23" s="1552"/>
      <c r="Y23" s="3405"/>
      <c r="Z23" s="1560" t="str">
        <f>Q23</f>
        <v>交通便捷度</v>
      </c>
      <c r="AA23" s="1561">
        <f t="shared" si="3"/>
        <v>1</v>
      </c>
      <c r="AB23" s="1561">
        <f t="shared" si="4"/>
        <v>1.0526315789473684</v>
      </c>
      <c r="AC23" s="1561">
        <f t="shared" si="5"/>
        <v>1.0526315789473684</v>
      </c>
    </row>
    <row r="24" spans="1:29" ht="20.25">
      <c r="A24" s="532"/>
      <c r="B24" s="578"/>
      <c r="C24" s="554" t="s">
        <v>3109</v>
      </c>
      <c r="D24" s="557"/>
      <c r="E24" s="558" t="s">
        <v>3109</v>
      </c>
      <c r="F24" s="555"/>
      <c r="G24" s="556" t="s">
        <v>3125</v>
      </c>
      <c r="H24" s="555"/>
      <c r="I24" s="558" t="s">
        <v>3125</v>
      </c>
      <c r="J24" s="555"/>
      <c r="K24" s="531"/>
      <c r="L24" s="2126"/>
      <c r="M24" s="2116"/>
      <c r="N24" s="2116"/>
      <c r="O24" s="2125"/>
      <c r="P24" s="3405"/>
      <c r="Q24" s="1557"/>
      <c r="R24" s="1558"/>
      <c r="S24" s="1559"/>
      <c r="T24" s="1558"/>
      <c r="U24" s="1559"/>
      <c r="V24" s="1558"/>
      <c r="W24" s="1559"/>
      <c r="X24" s="1552"/>
      <c r="Y24" s="3405"/>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05"/>
      <c r="Q25" s="1557" t="str">
        <f t="shared" ref="Q25:Q39" si="8">B25</f>
        <v>区域土地利用方向</v>
      </c>
      <c r="R25" s="1558" t="s">
        <v>8</v>
      </c>
      <c r="S25" s="1559">
        <f>F25</f>
        <v>100</v>
      </c>
      <c r="T25" s="1558" t="s">
        <v>8</v>
      </c>
      <c r="U25" s="1559">
        <f>H25</f>
        <v>100</v>
      </c>
      <c r="V25" s="1558" t="s">
        <v>8</v>
      </c>
      <c r="W25" s="1559">
        <f>J25</f>
        <v>100</v>
      </c>
      <c r="X25" s="1552"/>
      <c r="Y25" s="3405"/>
      <c r="Z25" s="1560" t="str">
        <f>Q25</f>
        <v>区域土地利用方向</v>
      </c>
      <c r="AA25" s="1561">
        <f t="shared" si="3"/>
        <v>1</v>
      </c>
      <c r="AB25" s="1561">
        <f t="shared" si="4"/>
        <v>1</v>
      </c>
      <c r="AC25" s="1561">
        <f t="shared" si="5"/>
        <v>1</v>
      </c>
    </row>
    <row r="26" spans="1:29" ht="20.25">
      <c r="A26" s="515"/>
      <c r="B26" s="1006"/>
      <c r="C26" s="554" t="s">
        <v>3108</v>
      </c>
      <c r="D26" s="557"/>
      <c r="E26" s="558" t="s">
        <v>3108</v>
      </c>
      <c r="F26" s="555"/>
      <c r="G26" s="556" t="s">
        <v>3108</v>
      </c>
      <c r="H26" s="555"/>
      <c r="I26" s="558" t="s">
        <v>3108</v>
      </c>
      <c r="J26" s="555"/>
      <c r="K26" s="531"/>
      <c r="L26" s="2126"/>
      <c r="M26" s="2116"/>
      <c r="N26" s="2116"/>
      <c r="O26" s="2125"/>
      <c r="P26" s="3405"/>
      <c r="Q26" s="1557"/>
      <c r="R26" s="1558"/>
      <c r="S26" s="1559"/>
      <c r="T26" s="1558"/>
      <c r="U26" s="1559"/>
      <c r="V26" s="1558"/>
      <c r="W26" s="1559"/>
      <c r="X26" s="1552"/>
      <c r="Y26" s="3405"/>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95</v>
      </c>
      <c r="I27" s="564"/>
      <c r="J27" s="559">
        <f>SUMIF(100:100,I28,101:101)-SUMIF(100:100,C28,101:101)+100</f>
        <v>95</v>
      </c>
      <c r="K27" s="535">
        <v>5</v>
      </c>
      <c r="L27" s="2126"/>
      <c r="M27" s="2116"/>
      <c r="N27" s="2116"/>
      <c r="O27" s="2125"/>
      <c r="P27" s="3405"/>
      <c r="Q27" s="1557" t="str">
        <f t="shared" si="8"/>
        <v>自然及人文环境状况</v>
      </c>
      <c r="R27" s="1558" t="s">
        <v>8</v>
      </c>
      <c r="S27" s="1559">
        <f>F27</f>
        <v>100</v>
      </c>
      <c r="T27" s="1558" t="s">
        <v>8</v>
      </c>
      <c r="U27" s="1559">
        <f>H27</f>
        <v>95</v>
      </c>
      <c r="V27" s="1558" t="s">
        <v>8</v>
      </c>
      <c r="W27" s="1559">
        <f>J27</f>
        <v>95</v>
      </c>
      <c r="X27" s="1552"/>
      <c r="Y27" s="3405"/>
      <c r="Z27" s="1560" t="str">
        <f>Q27</f>
        <v>自然及人文环境状况</v>
      </c>
      <c r="AA27" s="1561">
        <f t="shared" si="3"/>
        <v>1</v>
      </c>
      <c r="AB27" s="1561">
        <f t="shared" si="4"/>
        <v>1.0526315789473684</v>
      </c>
      <c r="AC27" s="1561">
        <f t="shared" si="5"/>
        <v>1.0526315789473684</v>
      </c>
    </row>
    <row r="28" spans="1:29" ht="20.25">
      <c r="A28" s="515"/>
      <c r="B28" s="566"/>
      <c r="C28" s="554" t="s">
        <v>3108</v>
      </c>
      <c r="D28" s="557"/>
      <c r="E28" s="576" t="s">
        <v>3108</v>
      </c>
      <c r="F28" s="555"/>
      <c r="G28" s="554" t="s">
        <v>3109</v>
      </c>
      <c r="H28" s="555"/>
      <c r="I28" s="576" t="s">
        <v>3109</v>
      </c>
      <c r="J28" s="555"/>
      <c r="K28" s="531"/>
      <c r="L28" s="2126"/>
      <c r="M28" s="2116"/>
      <c r="N28" s="2116"/>
      <c r="O28" s="2125"/>
      <c r="P28" s="3405"/>
      <c r="Q28" s="1557"/>
      <c r="R28" s="1558"/>
      <c r="S28" s="1559"/>
      <c r="T28" s="1558"/>
      <c r="U28" s="1559"/>
      <c r="V28" s="1558"/>
      <c r="W28" s="1559"/>
      <c r="X28" s="1552"/>
      <c r="Y28" s="3405"/>
      <c r="Z28" s="1560"/>
      <c r="AA28" s="1561">
        <v>1</v>
      </c>
      <c r="AB28" s="1561">
        <v>1</v>
      </c>
      <c r="AC28" s="1561">
        <v>1</v>
      </c>
    </row>
    <row r="29" spans="1:29" s="1215" customFormat="1" ht="42.75" hidden="1">
      <c r="A29" s="577"/>
      <c r="B29" s="2554"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10</v>
      </c>
      <c r="L29" s="2119"/>
      <c r="M29" s="2116"/>
      <c r="N29" s="2116"/>
      <c r="O29" s="2121"/>
      <c r="P29" s="3405"/>
      <c r="Q29" s="1146" t="str">
        <f t="shared" si="8"/>
        <v>公共配套设施</v>
      </c>
      <c r="R29" s="1553" t="s">
        <v>8</v>
      </c>
      <c r="S29" s="1554">
        <f>F29</f>
        <v>100</v>
      </c>
      <c r="T29" s="1553" t="s">
        <v>8</v>
      </c>
      <c r="U29" s="1554">
        <f>H29</f>
        <v>100</v>
      </c>
      <c r="V29" s="1553" t="s">
        <v>8</v>
      </c>
      <c r="W29" s="1554">
        <f>J29</f>
        <v>100</v>
      </c>
      <c r="X29" s="1555"/>
      <c r="Y29" s="3405"/>
      <c r="Z29" s="1145" t="str">
        <f>Q29</f>
        <v>公共配套设施</v>
      </c>
      <c r="AA29" s="1561">
        <f>D29/F29</f>
        <v>1</v>
      </c>
      <c r="AB29" s="1561">
        <f>D29/H29</f>
        <v>1</v>
      </c>
      <c r="AC29" s="1561">
        <f>D29/J29</f>
        <v>1</v>
      </c>
    </row>
    <row r="30" spans="1:29" s="1215" customFormat="1" ht="20.25" hidden="1">
      <c r="A30" s="577"/>
      <c r="B30" s="566"/>
      <c r="C30" s="579" t="s">
        <v>3125</v>
      </c>
      <c r="D30" s="557"/>
      <c r="E30" s="576" t="s">
        <v>3125</v>
      </c>
      <c r="F30" s="555"/>
      <c r="G30" s="554" t="s">
        <v>3125</v>
      </c>
      <c r="H30" s="555"/>
      <c r="I30" s="576" t="s">
        <v>3125</v>
      </c>
      <c r="J30" s="555"/>
      <c r="K30" s="531"/>
      <c r="L30" s="2119"/>
      <c r="M30" s="2116"/>
      <c r="N30" s="2116"/>
      <c r="O30" s="2121"/>
      <c r="P30" s="3405"/>
      <c r="Q30" s="1146"/>
      <c r="R30" s="1553"/>
      <c r="S30" s="1554"/>
      <c r="T30" s="1553"/>
      <c r="U30" s="1554"/>
      <c r="V30" s="1553"/>
      <c r="W30" s="1554"/>
      <c r="X30" s="1555"/>
      <c r="Y30" s="3405"/>
      <c r="Z30" s="1145"/>
      <c r="AA30" s="1561">
        <v>1</v>
      </c>
      <c r="AB30" s="1561">
        <v>1</v>
      </c>
      <c r="AC30" s="1561">
        <v>1</v>
      </c>
    </row>
    <row r="31" spans="1:29" s="1215" customFormat="1" ht="28.5">
      <c r="A31" s="577"/>
      <c r="B31" s="2554"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05"/>
      <c r="Q31" s="2541" t="str">
        <f>B31</f>
        <v>基础设施水平</v>
      </c>
      <c r="R31" s="1553" t="s">
        <v>8</v>
      </c>
      <c r="S31" s="1554">
        <f>F31</f>
        <v>100</v>
      </c>
      <c r="T31" s="1553" t="s">
        <v>8</v>
      </c>
      <c r="U31" s="1554">
        <f>H31</f>
        <v>100</v>
      </c>
      <c r="V31" s="1553" t="s">
        <v>8</v>
      </c>
      <c r="W31" s="1554">
        <f>J31</f>
        <v>100</v>
      </c>
      <c r="X31" s="1555"/>
      <c r="Y31" s="3405"/>
      <c r="Z31" s="2538" t="str">
        <f>Q31</f>
        <v>基础设施水平</v>
      </c>
      <c r="AA31" s="1561">
        <f>D31/F31</f>
        <v>1</v>
      </c>
      <c r="AB31" s="1561">
        <f>D31/H31</f>
        <v>1</v>
      </c>
      <c r="AC31" s="1561">
        <f>D31/J31</f>
        <v>1</v>
      </c>
    </row>
    <row r="32" spans="1:29" s="1215" customFormat="1" ht="20.25">
      <c r="A32" s="577"/>
      <c r="B32" s="566"/>
      <c r="C32" s="579" t="s">
        <v>3111</v>
      </c>
      <c r="D32" s="557"/>
      <c r="E32" s="2555" t="s">
        <v>3111</v>
      </c>
      <c r="F32" s="555"/>
      <c r="G32" s="579" t="s">
        <v>3111</v>
      </c>
      <c r="H32" s="555"/>
      <c r="I32" s="579" t="s">
        <v>3111</v>
      </c>
      <c r="J32" s="555"/>
      <c r="K32" s="531"/>
      <c r="L32" s="2119"/>
      <c r="M32" s="2116"/>
      <c r="N32" s="2116"/>
      <c r="O32" s="2121"/>
      <c r="P32" s="3405"/>
      <c r="Q32" s="2541"/>
      <c r="R32" s="1553"/>
      <c r="S32" s="1554"/>
      <c r="T32" s="1553"/>
      <c r="U32" s="1554"/>
      <c r="V32" s="1553"/>
      <c r="W32" s="1554"/>
      <c r="X32" s="1555"/>
      <c r="Y32" s="3405"/>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05"/>
      <c r="Q33" s="1557" t="str">
        <f t="shared" si="8"/>
        <v>临街状况</v>
      </c>
      <c r="R33" s="1558" t="s">
        <v>8</v>
      </c>
      <c r="S33" s="1559">
        <f t="shared" ref="S33:S47" si="9">F33</f>
        <v>100</v>
      </c>
      <c r="T33" s="1558" t="s">
        <v>8</v>
      </c>
      <c r="U33" s="1559">
        <f t="shared" ref="U33:U47" si="10">H33</f>
        <v>100</v>
      </c>
      <c r="V33" s="1558" t="s">
        <v>8</v>
      </c>
      <c r="W33" s="1559">
        <f t="shared" ref="W33:W47" si="11">J33</f>
        <v>100</v>
      </c>
      <c r="X33" s="1552"/>
      <c r="Y33" s="3405"/>
      <c r="Z33" s="1560" t="str">
        <f t="shared" ref="Z33:Z47" si="12">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05"/>
      <c r="Q34" s="1557" t="str">
        <f t="shared" si="8"/>
        <v>毗邻道路的类型与等级</v>
      </c>
      <c r="R34" s="1558" t="s">
        <v>8</v>
      </c>
      <c r="S34" s="1559">
        <f t="shared" si="9"/>
        <v>100</v>
      </c>
      <c r="T34" s="1558" t="s">
        <v>8</v>
      </c>
      <c r="U34" s="1559">
        <f t="shared" si="10"/>
        <v>100</v>
      </c>
      <c r="V34" s="1558" t="s">
        <v>8</v>
      </c>
      <c r="W34" s="1559">
        <f t="shared" si="11"/>
        <v>100</v>
      </c>
      <c r="X34" s="1552"/>
      <c r="Y34" s="3405"/>
      <c r="Z34" s="1560" t="str">
        <f t="shared" si="12"/>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405"/>
      <c r="Q35" s="1557"/>
      <c r="R35" s="1558"/>
      <c r="S35" s="1559"/>
      <c r="T35" s="1558"/>
      <c r="U35" s="1559"/>
      <c r="V35" s="1558"/>
      <c r="W35" s="1559"/>
      <c r="X35" s="1552"/>
      <c r="Y35" s="3405"/>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05"/>
      <c r="Q36" s="1557" t="str">
        <f t="shared" si="8"/>
        <v>土地级别</v>
      </c>
      <c r="R36" s="1558" t="s">
        <v>8</v>
      </c>
      <c r="S36" s="1559">
        <f t="shared" si="9"/>
        <v>100</v>
      </c>
      <c r="T36" s="1558" t="s">
        <v>8</v>
      </c>
      <c r="U36" s="1559">
        <f t="shared" si="10"/>
        <v>100</v>
      </c>
      <c r="V36" s="1558" t="s">
        <v>8</v>
      </c>
      <c r="W36" s="1559">
        <f t="shared" si="11"/>
        <v>100</v>
      </c>
      <c r="X36" s="1552"/>
      <c r="Y36" s="3405"/>
      <c r="Z36" s="1560" t="str">
        <f t="shared" si="12"/>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05"/>
      <c r="Q37" s="1557">
        <f t="shared" si="8"/>
        <v>111</v>
      </c>
      <c r="R37" s="1558" t="s">
        <v>8</v>
      </c>
      <c r="S37" s="1559">
        <f t="shared" si="9"/>
        <v>100</v>
      </c>
      <c r="T37" s="1558" t="s">
        <v>8</v>
      </c>
      <c r="U37" s="1559">
        <f t="shared" si="10"/>
        <v>100</v>
      </c>
      <c r="V37" s="1558" t="s">
        <v>8</v>
      </c>
      <c r="W37" s="1559">
        <f t="shared" si="11"/>
        <v>100</v>
      </c>
      <c r="X37" s="1552"/>
      <c r="Y37" s="3405"/>
      <c r="Z37" s="1560">
        <f t="shared" si="12"/>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06" t="s">
        <v>550</v>
      </c>
      <c r="Q38" s="1557">
        <f t="shared" si="8"/>
        <v>111</v>
      </c>
      <c r="R38" s="1558" t="s">
        <v>8</v>
      </c>
      <c r="S38" s="1559">
        <f t="shared" si="9"/>
        <v>100</v>
      </c>
      <c r="T38" s="1558" t="s">
        <v>8</v>
      </c>
      <c r="U38" s="1559">
        <f t="shared" si="10"/>
        <v>100</v>
      </c>
      <c r="V38" s="1558" t="s">
        <v>8</v>
      </c>
      <c r="W38" s="1559">
        <f t="shared" si="11"/>
        <v>100</v>
      </c>
      <c r="X38" s="1552"/>
      <c r="Y38" s="3407" t="s">
        <v>550</v>
      </c>
      <c r="Z38" s="1560">
        <f t="shared" si="12"/>
        <v>111</v>
      </c>
      <c r="AA38" s="1561">
        <f t="shared" si="3"/>
        <v>1</v>
      </c>
      <c r="AB38" s="1561">
        <f t="shared" si="4"/>
        <v>1</v>
      </c>
      <c r="AC38" s="1561">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07"/>
      <c r="Q39" s="1557">
        <f t="shared" si="8"/>
        <v>111</v>
      </c>
      <c r="R39" s="1562" t="s">
        <v>8</v>
      </c>
      <c r="S39" s="1563">
        <f t="shared" si="9"/>
        <v>100</v>
      </c>
      <c r="T39" s="1562" t="s">
        <v>8</v>
      </c>
      <c r="U39" s="1563">
        <f t="shared" si="10"/>
        <v>100</v>
      </c>
      <c r="V39" s="1562" t="s">
        <v>8</v>
      </c>
      <c r="W39" s="1563">
        <f t="shared" si="11"/>
        <v>100</v>
      </c>
      <c r="X39" s="1564"/>
      <c r="Y39" s="3407"/>
      <c r="Z39" s="1565">
        <f t="shared" si="12"/>
        <v>111</v>
      </c>
      <c r="AA39" s="1561">
        <f t="shared" si="3"/>
        <v>1</v>
      </c>
      <c r="AB39" s="1561">
        <f t="shared" si="4"/>
        <v>1</v>
      </c>
      <c r="AC39" s="1561">
        <f t="shared" si="5"/>
        <v>1</v>
      </c>
    </row>
    <row r="40" spans="1:29" ht="20.25">
      <c r="A40" s="2861" t="s">
        <v>2753</v>
      </c>
      <c r="B40" s="595" t="s">
        <v>552</v>
      </c>
      <c r="C40" s="3201">
        <f>'数据-基础表'!A3</f>
        <v>111025.1</v>
      </c>
      <c r="D40" s="597">
        <v>100</v>
      </c>
      <c r="E40" s="596">
        <f>土地案例!$D$6</f>
        <v>86897.24</v>
      </c>
      <c r="F40" s="597">
        <f>LOOKUP(E40,119:119,120:120)-LOOKUP(C40,119:119,120:120)+100</f>
        <v>98</v>
      </c>
      <c r="G40" s="596">
        <f>土地案例!D15</f>
        <v>101316.2</v>
      </c>
      <c r="H40" s="597">
        <f>LOOKUP(G40,119:119,120:120)-LOOKUP(C40,119:119,120:120)+100</f>
        <v>100</v>
      </c>
      <c r="I40" s="598">
        <f>土地案例!D16</f>
        <v>28661.8</v>
      </c>
      <c r="J40" s="597">
        <f>LOOKUP(I40,119:119,120:120)-LOOKUP(C40,119:119,120:120)+100</f>
        <v>94</v>
      </c>
      <c r="K40" s="581"/>
      <c r="L40" s="2126"/>
      <c r="M40" s="2116"/>
      <c r="N40" s="2116"/>
      <c r="O40" s="2125"/>
      <c r="P40" s="3407"/>
      <c r="Q40" s="1557" t="str">
        <f>B40</f>
        <v>宗地面积</v>
      </c>
      <c r="R40" s="1558" t="s">
        <v>8</v>
      </c>
      <c r="S40" s="1559">
        <f t="shared" si="9"/>
        <v>98</v>
      </c>
      <c r="T40" s="1558" t="s">
        <v>8</v>
      </c>
      <c r="U40" s="1559">
        <f t="shared" si="10"/>
        <v>100</v>
      </c>
      <c r="V40" s="1558" t="s">
        <v>8</v>
      </c>
      <c r="W40" s="1559">
        <f t="shared" si="11"/>
        <v>94</v>
      </c>
      <c r="X40" s="1552"/>
      <c r="Y40" s="3407"/>
      <c r="Z40" s="1560" t="str">
        <f t="shared" si="12"/>
        <v>宗地面积</v>
      </c>
      <c r="AA40" s="1561">
        <f t="shared" si="3"/>
        <v>1.0204081632653061</v>
      </c>
      <c r="AB40" s="1561">
        <f t="shared" si="4"/>
        <v>1</v>
      </c>
      <c r="AC40" s="1561">
        <f t="shared" si="5"/>
        <v>1.0638297872340425</v>
      </c>
    </row>
    <row r="41" spans="1:29" ht="20.25">
      <c r="A41" s="594"/>
      <c r="B41" s="527" t="s">
        <v>553</v>
      </c>
      <c r="C41" s="599" t="s">
        <v>3115</v>
      </c>
      <c r="D41" s="540">
        <v>100</v>
      </c>
      <c r="E41" s="599" t="s">
        <v>3115</v>
      </c>
      <c r="F41" s="540">
        <f>SUMIF(121:121,E41,122:122)-SUMIF(121:121,C41,122:122)+100</f>
        <v>100</v>
      </c>
      <c r="G41" s="599" t="s">
        <v>3115</v>
      </c>
      <c r="H41" s="540">
        <f>SUMIF(121:121,G41,122:122)-SUMIF(121:121,C41,122:122)+100</f>
        <v>100</v>
      </c>
      <c r="I41" s="599" t="s">
        <v>3115</v>
      </c>
      <c r="J41" s="540">
        <f>SUMIF(121:121,I41,122:122)-SUMIF(121:121,C41,122:122)+100</f>
        <v>100</v>
      </c>
      <c r="K41" s="584">
        <v>2</v>
      </c>
      <c r="L41" s="2126"/>
      <c r="M41" s="2116"/>
      <c r="N41" s="2116"/>
      <c r="O41" s="2125"/>
      <c r="P41" s="3407"/>
      <c r="Q41" s="1557" t="str">
        <f t="shared" ref="Q41:Q47" si="13">B41</f>
        <v>宗地形状</v>
      </c>
      <c r="R41" s="1558" t="s">
        <v>8</v>
      </c>
      <c r="S41" s="1559">
        <f t="shared" si="9"/>
        <v>100</v>
      </c>
      <c r="T41" s="1558" t="s">
        <v>8</v>
      </c>
      <c r="U41" s="1559">
        <f t="shared" si="10"/>
        <v>100</v>
      </c>
      <c r="V41" s="1558" t="s">
        <v>8</v>
      </c>
      <c r="W41" s="1559">
        <f t="shared" si="11"/>
        <v>100</v>
      </c>
      <c r="X41" s="1552"/>
      <c r="Y41" s="3407"/>
      <c r="Z41" s="1560" t="str">
        <f t="shared" si="12"/>
        <v>宗地形状</v>
      </c>
      <c r="AA41" s="1561">
        <f t="shared" si="3"/>
        <v>1</v>
      </c>
      <c r="AB41" s="1561">
        <f t="shared" si="4"/>
        <v>1</v>
      </c>
      <c r="AC41" s="1561">
        <f t="shared" si="5"/>
        <v>1</v>
      </c>
    </row>
    <row r="42" spans="1:29" ht="20.25">
      <c r="A42" s="594"/>
      <c r="B42" s="527" t="s">
        <v>554</v>
      </c>
      <c r="C42" s="599" t="s">
        <v>3118</v>
      </c>
      <c r="D42" s="540">
        <v>100</v>
      </c>
      <c r="E42" s="599" t="s">
        <v>3118</v>
      </c>
      <c r="F42" s="540">
        <f>SUMIF(123:123,E42,124:124)-SUMIF(123:123,C42,124:124)+100</f>
        <v>100</v>
      </c>
      <c r="G42" s="599" t="s">
        <v>3118</v>
      </c>
      <c r="H42" s="540">
        <f>SUMIF(123:123,G42,124:124)-SUMIF(123:123,C42,124:124)+100</f>
        <v>100</v>
      </c>
      <c r="I42" s="599" t="s">
        <v>3118</v>
      </c>
      <c r="J42" s="540">
        <f>SUMIF(123:123,I42,124:124)-SUMIF(123:123,C42,124:124)+100</f>
        <v>100</v>
      </c>
      <c r="K42" s="584">
        <v>2</v>
      </c>
      <c r="L42" s="2126"/>
      <c r="M42" s="2116"/>
      <c r="N42" s="2116"/>
      <c r="O42" s="2125"/>
      <c r="P42" s="3407"/>
      <c r="Q42" s="1557" t="str">
        <f t="shared" si="13"/>
        <v>临街宽度及深度</v>
      </c>
      <c r="R42" s="1558" t="s">
        <v>8</v>
      </c>
      <c r="S42" s="1559">
        <f t="shared" si="9"/>
        <v>100</v>
      </c>
      <c r="T42" s="1558" t="s">
        <v>8</v>
      </c>
      <c r="U42" s="1559">
        <f t="shared" si="10"/>
        <v>100</v>
      </c>
      <c r="V42" s="1558" t="s">
        <v>8</v>
      </c>
      <c r="W42" s="1559">
        <f t="shared" si="11"/>
        <v>100</v>
      </c>
      <c r="X42" s="1552"/>
      <c r="Y42" s="3407"/>
      <c r="Z42" s="1560" t="str">
        <f t="shared" si="12"/>
        <v>临街宽度及深度</v>
      </c>
      <c r="AA42" s="1561">
        <f t="shared" si="3"/>
        <v>1</v>
      </c>
      <c r="AB42" s="1561">
        <f t="shared" si="4"/>
        <v>1</v>
      </c>
      <c r="AC42" s="1561">
        <f t="shared" si="5"/>
        <v>1</v>
      </c>
    </row>
    <row r="43" spans="1:29" s="1215" customFormat="1" ht="20.25">
      <c r="A43" s="600"/>
      <c r="B43" s="1879" t="s">
        <v>2424</v>
      </c>
      <c r="C43" s="601" t="s">
        <v>3114</v>
      </c>
      <c r="D43" s="255">
        <v>100</v>
      </c>
      <c r="E43" s="601" t="s">
        <v>3114</v>
      </c>
      <c r="F43" s="540">
        <f>SUMIF(125:125,E43,126:126)-SUMIF(125:125,C43,126:126)+100</f>
        <v>100</v>
      </c>
      <c r="G43" s="601" t="s">
        <v>3114</v>
      </c>
      <c r="H43" s="540">
        <f>SUMIF(125:125,G43,126:126)-SUMIF(125:125,C43,126:126)+100</f>
        <v>100</v>
      </c>
      <c r="I43" s="601" t="s">
        <v>3114</v>
      </c>
      <c r="J43" s="540">
        <f>SUMIF(125:125,I43,126:126)-SUMIF(125:125,C43,126:126)+100</f>
        <v>100</v>
      </c>
      <c r="K43" s="584">
        <v>1</v>
      </c>
      <c r="L43" s="2119"/>
      <c r="M43" s="2116"/>
      <c r="N43" s="2116"/>
      <c r="O43" s="2121"/>
      <c r="P43" s="3407"/>
      <c r="Q43" s="1557" t="str">
        <f t="shared" si="13"/>
        <v>宗地开发程度</v>
      </c>
      <c r="R43" s="1553" t="s">
        <v>8</v>
      </c>
      <c r="S43" s="1554">
        <f t="shared" si="9"/>
        <v>100</v>
      </c>
      <c r="T43" s="1553" t="s">
        <v>8</v>
      </c>
      <c r="U43" s="1554">
        <f t="shared" si="10"/>
        <v>100</v>
      </c>
      <c r="V43" s="1553" t="s">
        <v>8</v>
      </c>
      <c r="W43" s="1554">
        <f t="shared" si="11"/>
        <v>100</v>
      </c>
      <c r="X43" s="1555"/>
      <c r="Y43" s="3407"/>
      <c r="Z43" s="1145" t="str">
        <f t="shared" si="12"/>
        <v>宗地开发程度</v>
      </c>
      <c r="AA43" s="1556">
        <f t="shared" si="3"/>
        <v>1</v>
      </c>
      <c r="AB43" s="1556">
        <f t="shared" si="4"/>
        <v>1</v>
      </c>
      <c r="AC43" s="1556">
        <f t="shared" si="5"/>
        <v>1</v>
      </c>
    </row>
    <row r="44" spans="1:29" ht="20.25">
      <c r="A44" s="594"/>
      <c r="B44" s="527" t="s">
        <v>555</v>
      </c>
      <c r="C44" s="599" t="s">
        <v>3108</v>
      </c>
      <c r="D44" s="540">
        <v>100</v>
      </c>
      <c r="E44" s="599" t="s">
        <v>3108</v>
      </c>
      <c r="F44" s="540">
        <f>SUMIF(127:127,E44,128:128)-SUMIF(127:127,C44,128:128)+100</f>
        <v>100</v>
      </c>
      <c r="G44" s="599" t="s">
        <v>3108</v>
      </c>
      <c r="H44" s="540">
        <f>SUMIF(127:127,G44,128:128)-SUMIF(127:127,C44,128:128)+100</f>
        <v>100</v>
      </c>
      <c r="I44" s="599" t="s">
        <v>3108</v>
      </c>
      <c r="J44" s="540">
        <f>SUMIF(127:127,I44,128:128)-SUMIF(127:127,C44,128:128)+100</f>
        <v>100</v>
      </c>
      <c r="K44" s="584">
        <v>2</v>
      </c>
      <c r="L44" s="2126"/>
      <c r="M44" s="2116"/>
      <c r="N44" s="2116"/>
      <c r="O44" s="2125"/>
      <c r="P44" s="3407" t="s">
        <v>550</v>
      </c>
      <c r="Q44" s="1557" t="str">
        <f t="shared" si="13"/>
        <v>工程地质条件</v>
      </c>
      <c r="R44" s="1558" t="s">
        <v>8</v>
      </c>
      <c r="S44" s="1559">
        <f t="shared" si="9"/>
        <v>100</v>
      </c>
      <c r="T44" s="1558" t="s">
        <v>8</v>
      </c>
      <c r="U44" s="1559">
        <f t="shared" si="10"/>
        <v>100</v>
      </c>
      <c r="V44" s="1558" t="s">
        <v>8</v>
      </c>
      <c r="W44" s="1559">
        <f t="shared" si="11"/>
        <v>100</v>
      </c>
      <c r="X44" s="1552"/>
      <c r="Y44" s="3407" t="s">
        <v>550</v>
      </c>
      <c r="Z44" s="1560" t="str">
        <f t="shared" si="12"/>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07"/>
      <c r="Q45" s="1557">
        <f t="shared" si="13"/>
        <v>111</v>
      </c>
      <c r="R45" s="1558" t="s">
        <v>8</v>
      </c>
      <c r="S45" s="1559">
        <f t="shared" si="9"/>
        <v>100</v>
      </c>
      <c r="T45" s="1558" t="s">
        <v>8</v>
      </c>
      <c r="U45" s="1559">
        <f t="shared" si="10"/>
        <v>100</v>
      </c>
      <c r="V45" s="1558" t="s">
        <v>8</v>
      </c>
      <c r="W45" s="1559">
        <f t="shared" si="11"/>
        <v>100</v>
      </c>
      <c r="X45" s="1552"/>
      <c r="Y45" s="3407"/>
      <c r="Z45" s="1560">
        <f t="shared" si="12"/>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07"/>
      <c r="Q46" s="1557">
        <f t="shared" si="13"/>
        <v>111</v>
      </c>
      <c r="R46" s="1558" t="s">
        <v>8</v>
      </c>
      <c r="S46" s="1559">
        <f t="shared" si="9"/>
        <v>100</v>
      </c>
      <c r="T46" s="1558" t="s">
        <v>8</v>
      </c>
      <c r="U46" s="1559">
        <f t="shared" si="10"/>
        <v>100</v>
      </c>
      <c r="V46" s="1558" t="s">
        <v>8</v>
      </c>
      <c r="W46" s="1559">
        <f t="shared" si="11"/>
        <v>100</v>
      </c>
      <c r="X46" s="1552"/>
      <c r="Y46" s="3407"/>
      <c r="Z46" s="1560">
        <f t="shared" si="12"/>
        <v>111</v>
      </c>
      <c r="AA46" s="1561">
        <f t="shared" si="3"/>
        <v>1</v>
      </c>
      <c r="AB46" s="1561">
        <f t="shared" si="4"/>
        <v>1</v>
      </c>
      <c r="AC46" s="1561">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07"/>
      <c r="Q47" s="1557">
        <f t="shared" si="13"/>
        <v>111</v>
      </c>
      <c r="R47" s="1562" t="s">
        <v>8</v>
      </c>
      <c r="S47" s="1563">
        <f t="shared" si="9"/>
        <v>100</v>
      </c>
      <c r="T47" s="1562" t="s">
        <v>8</v>
      </c>
      <c r="U47" s="1563">
        <f t="shared" si="10"/>
        <v>100</v>
      </c>
      <c r="V47" s="1562" t="s">
        <v>8</v>
      </c>
      <c r="W47" s="1563">
        <f t="shared" si="11"/>
        <v>100</v>
      </c>
      <c r="X47" s="1564"/>
      <c r="Y47" s="3407"/>
      <c r="Z47" s="1565">
        <f t="shared" si="12"/>
        <v>111</v>
      </c>
      <c r="AA47" s="1561">
        <f t="shared" si="3"/>
        <v>1</v>
      </c>
      <c r="AB47" s="1561">
        <f t="shared" si="4"/>
        <v>1</v>
      </c>
      <c r="AC47" s="1561">
        <f t="shared" si="5"/>
        <v>1</v>
      </c>
    </row>
    <row r="48" spans="1:29" ht="20.25">
      <c r="A48" s="607" t="s">
        <v>556</v>
      </c>
      <c r="B48" s="608" t="s">
        <v>3124</v>
      </c>
      <c r="C48" s="609" t="s">
        <v>1</v>
      </c>
      <c r="D48" s="610"/>
      <c r="E48" s="611">
        <f>ROUND(土地案例!$K$6,0)</f>
        <v>500</v>
      </c>
      <c r="F48" s="612"/>
      <c r="G48" s="613">
        <f>ROUND(土地案例!K15,0)</f>
        <v>417</v>
      </c>
      <c r="H48" s="614"/>
      <c r="I48" s="611">
        <f>ROUND(土地案例!K16,0)</f>
        <v>417</v>
      </c>
      <c r="J48" s="614"/>
      <c r="K48" s="1335"/>
      <c r="L48" s="2128"/>
      <c r="M48" s="2116"/>
      <c r="N48" s="2116"/>
      <c r="O48" s="2129"/>
      <c r="P48" s="3370" t="str">
        <f>A48</f>
        <v>成交单价</v>
      </c>
      <c r="Q48" s="3370"/>
      <c r="R48" s="3371">
        <f>E48</f>
        <v>500</v>
      </c>
      <c r="S48" s="3371"/>
      <c r="T48" s="3371">
        <f>G48</f>
        <v>417</v>
      </c>
      <c r="U48" s="3371"/>
      <c r="V48" s="3371">
        <f>I48</f>
        <v>417</v>
      </c>
      <c r="W48" s="3371"/>
      <c r="X48" s="1544"/>
      <c r="Y48" s="1566"/>
      <c r="Z48" s="1544"/>
      <c r="AA48" s="1544"/>
      <c r="AB48" s="1544"/>
      <c r="AC48" s="1544"/>
    </row>
    <row r="49" spans="1:29" ht="21" thickBot="1">
      <c r="A49" s="615" t="s">
        <v>2691</v>
      </c>
      <c r="B49" s="616"/>
      <c r="C49" s="617">
        <f>R50</f>
        <v>492</v>
      </c>
      <c r="D49" s="618"/>
      <c r="E49" s="617">
        <f>R49</f>
        <v>508</v>
      </c>
      <c r="F49" s="619"/>
      <c r="G49" s="620">
        <f>T49</f>
        <v>469</v>
      </c>
      <c r="H49" s="618"/>
      <c r="I49" s="617">
        <f>V49</f>
        <v>499</v>
      </c>
      <c r="J49" s="618"/>
      <c r="K49" s="1336"/>
      <c r="L49" s="2128"/>
      <c r="M49" s="2116"/>
      <c r="N49" s="2116"/>
      <c r="O49" s="2129"/>
      <c r="P49" s="3370" t="str">
        <f>A49</f>
        <v>比较价格（元/平方米）</v>
      </c>
      <c r="Q49" s="3370"/>
      <c r="R49" s="3372">
        <f>ROUND(PRODUCT(R48,AA9:AA47),0)</f>
        <v>508</v>
      </c>
      <c r="S49" s="3372"/>
      <c r="T49" s="3372">
        <f>ROUND(PRODUCT(T48,AB9:AB47),0)</f>
        <v>469</v>
      </c>
      <c r="U49" s="3372"/>
      <c r="V49" s="3372">
        <f>ROUND(PRODUCT(V48,AC9:AC47),0)</f>
        <v>499</v>
      </c>
      <c r="W49" s="3372"/>
      <c r="X49" s="1544"/>
      <c r="Y49" s="1544"/>
      <c r="Z49" s="1544"/>
      <c r="AA49" s="1544"/>
      <c r="AB49" s="1544"/>
      <c r="AC49" s="1544"/>
    </row>
    <row r="50" spans="1:29" ht="21" thickBot="1">
      <c r="A50" s="621" t="s">
        <v>2935</v>
      </c>
      <c r="B50" s="622"/>
      <c r="C50" s="623">
        <f>R50</f>
        <v>492</v>
      </c>
      <c r="D50" s="623"/>
      <c r="E50" s="623"/>
      <c r="F50" s="623"/>
      <c r="G50" s="623"/>
      <c r="H50" s="623"/>
      <c r="I50" s="623"/>
      <c r="J50" s="623"/>
      <c r="K50" s="1337"/>
      <c r="L50" s="2128"/>
      <c r="M50" s="2116"/>
      <c r="N50" s="2116"/>
      <c r="O50" s="2129"/>
      <c r="P50" s="3367" t="str">
        <f>A50</f>
        <v>估价对象XX用房的比较价格（楼面单价，元/平方米）</v>
      </c>
      <c r="Q50" s="3368"/>
      <c r="R50" s="3369">
        <f>ROUND(AVERAGE(R49:V49),0)</f>
        <v>492</v>
      </c>
      <c r="S50" s="3369"/>
      <c r="T50" s="3369"/>
      <c r="U50" s="3369"/>
      <c r="V50" s="3369"/>
      <c r="W50" s="3369"/>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1.6000000000000014E-2</v>
      </c>
      <c r="F53" s="627" t="str">
        <f>IF(OR(E53&gt;=0.3,E53&lt;=-0.3),"超过30%","")</f>
        <v/>
      </c>
      <c r="G53" s="626">
        <f>IF(G48&lt;G49,G49/G48-1,G48/G49-1)</f>
        <v>0.12470023980815337</v>
      </c>
      <c r="H53" s="627" t="str">
        <f>IF(OR(G53&gt;=0.3,G53&lt;=-0.3),"超过30%","")</f>
        <v/>
      </c>
      <c r="I53" s="626">
        <f>IF(I48&lt;I49,I49/I48-1,I48/I49-1)</f>
        <v>0.19664268585131905</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8.3155650319829411E-2</v>
      </c>
      <c r="F54" s="627" t="str">
        <f>IF(OR(E54&gt;=0.2,E54&lt;=-0.2),"超过20%","")</f>
        <v/>
      </c>
      <c r="G54" s="626">
        <f>IF(G49&lt;I49,I49/G49-1,G49/I49-1)</f>
        <v>6.3965884861407307E-2</v>
      </c>
      <c r="H54" s="627" t="str">
        <f>IF(OR(G54&gt;=0.2,G54&lt;=-0.2),"超过20%","")</f>
        <v/>
      </c>
      <c r="I54" s="626">
        <f>IF(I49&lt;E49,E49/I49-1,I49/E49-1)</f>
        <v>1.8036072144288484E-2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0.19904076738609122</v>
      </c>
      <c r="F55" s="627" t="str">
        <f>IF(OR(E55&gt;=0.3,E55&lt;=-0.3),"超过30%","")</f>
        <v/>
      </c>
      <c r="G55" s="626">
        <f>IF(G48&lt;I48,I48/G48-1,G48/I48-1)</f>
        <v>0</v>
      </c>
      <c r="H55" s="627" t="str">
        <f>IF(OR(G55&gt;=0.3,G55&lt;=-0.3),"超过30%","")</f>
        <v/>
      </c>
      <c r="I55" s="626">
        <f>IF(I48&lt;E48,E48/I48-1,I48/E48-1)</f>
        <v>0.19904076738609122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2293</v>
      </c>
      <c r="E57" s="631" t="s">
        <v>562</v>
      </c>
      <c r="F57" s="632" t="s">
        <v>563</v>
      </c>
      <c r="G57" s="3396" t="s">
        <v>2281</v>
      </c>
      <c r="H57" s="3397"/>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3" t="s">
        <v>564</v>
      </c>
      <c r="B58" s="634">
        <f>C50</f>
        <v>492</v>
      </c>
      <c r="C58" s="635">
        <v>1</v>
      </c>
      <c r="D58" s="2212">
        <v>1</v>
      </c>
      <c r="E58" s="635">
        <f>'数据-汇总表'!E8+'数据-汇总表'!E9</f>
        <v>183350.32</v>
      </c>
      <c r="F58" s="636">
        <f t="shared" ref="F58:F67" si="14">ROUND(B58*E58/10000,0)</f>
        <v>9021</v>
      </c>
      <c r="G58" s="3398"/>
      <c r="H58" s="339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565</v>
      </c>
      <c r="B59" s="638">
        <f>ROUND($C$50*C59*D59,0)</f>
        <v>0</v>
      </c>
      <c r="C59" s="378">
        <f t="shared" ref="C59:C67" si="15">IF($C$57="北京市系数",I59,J59)</f>
        <v>0</v>
      </c>
      <c r="D59" s="2213">
        <v>0.25</v>
      </c>
      <c r="E59" s="639">
        <v>0</v>
      </c>
      <c r="F59" s="636">
        <f t="shared" si="14"/>
        <v>0</v>
      </c>
      <c r="G59" s="3400"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566</v>
      </c>
      <c r="B60" s="638">
        <f t="shared" ref="B60:B67" si="16">ROUND($C$50*C60*D60,0)</f>
        <v>0</v>
      </c>
      <c r="C60" s="378">
        <f t="shared" si="15"/>
        <v>0</v>
      </c>
      <c r="D60" s="2213">
        <v>0.25</v>
      </c>
      <c r="E60" s="639">
        <v>0</v>
      </c>
      <c r="F60" s="636">
        <f t="shared" si="14"/>
        <v>0</v>
      </c>
      <c r="G60" s="340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567</v>
      </c>
      <c r="B61" s="638">
        <f t="shared" si="16"/>
        <v>0</v>
      </c>
      <c r="C61" s="378">
        <f t="shared" si="15"/>
        <v>0</v>
      </c>
      <c r="D61" s="2213">
        <v>0.25</v>
      </c>
      <c r="E61" s="639">
        <v>0</v>
      </c>
      <c r="F61" s="636">
        <f t="shared" si="14"/>
        <v>0</v>
      </c>
      <c r="G61" s="340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7" t="s">
        <v>568</v>
      </c>
      <c r="B62" s="638">
        <f t="shared" si="16"/>
        <v>0</v>
      </c>
      <c r="C62" s="378">
        <f t="shared" si="15"/>
        <v>0</v>
      </c>
      <c r="D62" s="2213">
        <v>0.25</v>
      </c>
      <c r="E62" s="639">
        <v>0</v>
      </c>
      <c r="F62" s="636">
        <f t="shared" si="14"/>
        <v>0</v>
      </c>
      <c r="G62" s="340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8">
        <f t="shared" si="16"/>
        <v>0</v>
      </c>
      <c r="C63" s="378">
        <f t="shared" si="15"/>
        <v>0</v>
      </c>
      <c r="D63" s="2213">
        <v>0.25</v>
      </c>
      <c r="E63" s="641">
        <f>'数据-汇总表'!E11</f>
        <v>65008.84</v>
      </c>
      <c r="F63" s="636">
        <f t="shared" si="14"/>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7" t="s">
        <v>569</v>
      </c>
      <c r="B64" s="638">
        <f t="shared" si="16"/>
        <v>0</v>
      </c>
      <c r="C64" s="378">
        <f t="shared" si="15"/>
        <v>0</v>
      </c>
      <c r="D64" s="2213">
        <v>0.25</v>
      </c>
      <c r="E64" s="641">
        <f>'数据-汇总表'!E12</f>
        <v>0</v>
      </c>
      <c r="F64" s="636">
        <f t="shared" si="14"/>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7" t="s">
        <v>570</v>
      </c>
      <c r="B65" s="638">
        <f t="shared" si="16"/>
        <v>0</v>
      </c>
      <c r="C65" s="378">
        <f t="shared" si="15"/>
        <v>0</v>
      </c>
      <c r="D65" s="2213">
        <v>0.25</v>
      </c>
      <c r="E65" s="641">
        <f>'数据-汇总表'!E13</f>
        <v>0</v>
      </c>
      <c r="F65" s="636">
        <f t="shared" si="14"/>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7" t="s">
        <v>571</v>
      </c>
      <c r="B66" s="638">
        <f t="shared" si="16"/>
        <v>0</v>
      </c>
      <c r="C66" s="378">
        <f t="shared" si="15"/>
        <v>0</v>
      </c>
      <c r="D66" s="2213">
        <v>0.25</v>
      </c>
      <c r="E66" s="641">
        <f>'数据-汇总表'!E14</f>
        <v>0</v>
      </c>
      <c r="F66" s="636">
        <f t="shared" si="14"/>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572</v>
      </c>
      <c r="B67" s="638">
        <f t="shared" si="16"/>
        <v>0</v>
      </c>
      <c r="C67" s="378">
        <f t="shared" si="15"/>
        <v>0</v>
      </c>
      <c r="D67" s="2213">
        <v>0.25</v>
      </c>
      <c r="E67" s="641">
        <f>'数据-汇总表'!E15</f>
        <v>0</v>
      </c>
      <c r="F67" s="636">
        <f t="shared" si="14"/>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2" t="s">
        <v>573</v>
      </c>
      <c r="B68" s="643" t="s">
        <v>17</v>
      </c>
      <c r="C68" s="643" t="s">
        <v>18</v>
      </c>
      <c r="D68" s="643" t="s">
        <v>2294</v>
      </c>
      <c r="E68" s="643">
        <f>IF(B48="楼面地价",SUM(E58:E67),'数据-汇总表'!D3)</f>
        <v>248359.16</v>
      </c>
      <c r="F68" s="644">
        <f>IF(B48="楼面地价",SUM(F58:F67),ROUND(C50*E68/10000,0))</f>
        <v>9021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2019-12-1</v>
      </c>
      <c r="D70" s="2753">
        <f>EDATE(C70,-3)</f>
        <v>43709</v>
      </c>
      <c r="E70" s="2753">
        <f t="shared" ref="E70:N70" si="17">EDATE(D70,-3)</f>
        <v>43617</v>
      </c>
      <c r="F70" s="2753">
        <f t="shared" si="17"/>
        <v>43525</v>
      </c>
      <c r="G70" s="2753">
        <f t="shared" si="17"/>
        <v>43435</v>
      </c>
      <c r="H70" s="2753">
        <f t="shared" si="17"/>
        <v>43344</v>
      </c>
      <c r="I70" s="2753">
        <f t="shared" si="17"/>
        <v>43252</v>
      </c>
      <c r="J70" s="2753">
        <f t="shared" si="17"/>
        <v>43160</v>
      </c>
      <c r="K70" s="2753">
        <f t="shared" si="17"/>
        <v>43070</v>
      </c>
      <c r="L70" s="2753">
        <f t="shared" si="17"/>
        <v>42979</v>
      </c>
      <c r="M70" s="2753">
        <f t="shared" si="17"/>
        <v>42887</v>
      </c>
      <c r="N70" s="2753">
        <f t="shared" si="17"/>
        <v>42795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2530</v>
      </c>
      <c r="B72" s="2532"/>
      <c r="C72" s="2749" t="str">
        <f>YEAR(C70)&amp;"-"&amp;ROUNDUP(MONTH(C70)/3,0)</f>
        <v>2019-4</v>
      </c>
      <c r="D72" s="2755" t="str">
        <f>YEAR(D70)&amp;"-"&amp;ROUNDUP(MONTH(D70)/3,0)</f>
        <v>2019-3</v>
      </c>
      <c r="E72" s="2755" t="str">
        <f t="shared" ref="E72:N72" si="18">YEAR(E70)&amp;"-"&amp;ROUNDUP(MONTH(E70)/3,0)</f>
        <v>2019-2</v>
      </c>
      <c r="F72" s="2755" t="str">
        <f t="shared" si="18"/>
        <v>2019-1</v>
      </c>
      <c r="G72" s="2755" t="str">
        <f t="shared" si="18"/>
        <v>2018-4</v>
      </c>
      <c r="H72" s="2755" t="str">
        <f t="shared" si="18"/>
        <v>2018-3</v>
      </c>
      <c r="I72" s="2755" t="str">
        <f t="shared" si="18"/>
        <v>2018-2</v>
      </c>
      <c r="J72" s="2755" t="str">
        <f t="shared" si="18"/>
        <v>2018-1</v>
      </c>
      <c r="K72" s="2755" t="str">
        <f t="shared" si="18"/>
        <v>2017-4</v>
      </c>
      <c r="L72" s="2755" t="str">
        <f t="shared" si="18"/>
        <v>2017-3</v>
      </c>
      <c r="M72" s="2755" t="str">
        <f t="shared" si="18"/>
        <v>2017-2</v>
      </c>
      <c r="N72" s="2755" t="str">
        <f t="shared" si="18"/>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2645</v>
      </c>
      <c r="B73" s="479" t="str">
        <f>"北京市平均增长率"&amp;TEXT(SUMIF(基准地价!N21:N25,A73,基准地价!P21:P25),"0.00%")</f>
        <v>北京市平均增长率1.98%</v>
      </c>
      <c r="C73" s="894">
        <v>100</v>
      </c>
      <c r="D73" s="730">
        <v>99.5</v>
      </c>
      <c r="E73" s="730">
        <v>99</v>
      </c>
      <c r="F73" s="730">
        <v>98.5</v>
      </c>
      <c r="G73" s="730">
        <v>98</v>
      </c>
      <c r="H73" s="730">
        <v>97.5</v>
      </c>
      <c r="I73" s="730">
        <v>97</v>
      </c>
      <c r="J73" s="730">
        <v>96.5</v>
      </c>
      <c r="K73" s="730"/>
      <c r="L73" s="730"/>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2644</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87" t="s">
        <v>3121</v>
      </c>
      <c r="D77" s="3187" t="s">
        <v>3123</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100</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19">D82&amp;"（含）"&amp;"-"&amp;E82</f>
        <v>1（含）-2</v>
      </c>
      <c r="E81" s="682" t="str">
        <f t="shared" si="19"/>
        <v>2（含）-</v>
      </c>
      <c r="F81" s="682" t="str">
        <f t="shared" si="19"/>
        <v>（含）-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0">IF($B$48="单位面积地价",D83+$K13,D83-$K13)</f>
        <v>96</v>
      </c>
      <c r="F83" s="679">
        <f t="shared" si="20"/>
        <v>94</v>
      </c>
      <c r="G83" s="679">
        <f t="shared" si="20"/>
        <v>92</v>
      </c>
      <c r="H83" s="679">
        <f t="shared" si="20"/>
        <v>90</v>
      </c>
      <c r="I83" s="679">
        <f t="shared" si="20"/>
        <v>88</v>
      </c>
      <c r="J83" s="679">
        <f t="shared" si="20"/>
        <v>86</v>
      </c>
      <c r="K83" s="679">
        <f t="shared" si="20"/>
        <v>84</v>
      </c>
      <c r="L83" s="679">
        <f t="shared" si="20"/>
        <v>82</v>
      </c>
      <c r="M83" s="679">
        <f t="shared" si="20"/>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90</v>
      </c>
      <c r="E91" s="679">
        <f>D91-$K17</f>
        <v>80</v>
      </c>
      <c r="F91" s="679">
        <f>E91-$K17</f>
        <v>70</v>
      </c>
      <c r="G91" s="679">
        <f>F91-$K17</f>
        <v>60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90</v>
      </c>
      <c r="E93" s="679">
        <f>D93-$K19</f>
        <v>80</v>
      </c>
      <c r="F93" s="679">
        <f>E93-$K19</f>
        <v>70</v>
      </c>
      <c r="G93" s="679">
        <f>F93-$K19</f>
        <v>60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95</v>
      </c>
      <c r="E97" s="679">
        <f>D97-$K23</f>
        <v>90</v>
      </c>
      <c r="F97" s="679">
        <f>E97-$K23</f>
        <v>85</v>
      </c>
      <c r="G97" s="679">
        <f>F97-$K23</f>
        <v>80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7"/>
      <c r="B103" s="678"/>
      <c r="C103" s="679">
        <v>100</v>
      </c>
      <c r="D103" s="679">
        <f>C103-$K29</f>
        <v>90</v>
      </c>
      <c r="E103" s="679">
        <f>D103-$K29</f>
        <v>80</v>
      </c>
      <c r="F103" s="679">
        <f>E103-$K29</f>
        <v>70</v>
      </c>
      <c r="G103" s="679">
        <f>F103-$K29</f>
        <v>60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4">C119&amp;"(含)"&amp;"-"&amp;D119</f>
        <v>0(含)-5000</v>
      </c>
      <c r="D118" s="704" t="str">
        <f t="shared" si="24"/>
        <v>5000(含)-10000</v>
      </c>
      <c r="E118" s="704" t="str">
        <f t="shared" si="24"/>
        <v>10000(含)-20000</v>
      </c>
      <c r="F118" s="704" t="str">
        <f t="shared" si="24"/>
        <v>20000(含)-30000</v>
      </c>
      <c r="G118" s="704" t="str">
        <f t="shared" si="24"/>
        <v>30000(含)-50000</v>
      </c>
      <c r="H118" s="704" t="str">
        <f t="shared" si="24"/>
        <v>50000(含)-100000</v>
      </c>
      <c r="I118" s="704" t="str">
        <f t="shared" si="24"/>
        <v>100000(含)-200000</v>
      </c>
      <c r="J118" s="3043" t="str">
        <f t="shared" si="24"/>
        <v>200000(含)-500000</v>
      </c>
      <c r="K118" s="3043" t="str">
        <f t="shared" si="24"/>
        <v>500000(含)-</v>
      </c>
      <c r="L118" s="3044" t="str">
        <f t="shared" si="24"/>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3184">
        <v>0</v>
      </c>
      <c r="D119" s="3184">
        <v>5000</v>
      </c>
      <c r="E119" s="3184">
        <v>10000</v>
      </c>
      <c r="F119" s="3184">
        <v>20000</v>
      </c>
      <c r="G119" s="3184">
        <v>30000</v>
      </c>
      <c r="H119" s="730">
        <v>50000</v>
      </c>
      <c r="I119" s="730">
        <v>100000</v>
      </c>
      <c r="J119" s="2330">
        <v>200000</v>
      </c>
      <c r="K119" s="2330">
        <v>500000</v>
      </c>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84</v>
      </c>
      <c r="D120" s="726">
        <v>86</v>
      </c>
      <c r="E120" s="726">
        <v>88</v>
      </c>
      <c r="F120" s="726">
        <v>90</v>
      </c>
      <c r="G120" s="726">
        <v>92</v>
      </c>
      <c r="H120" s="726">
        <v>94</v>
      </c>
      <c r="I120" s="726">
        <v>96</v>
      </c>
      <c r="J120" s="726">
        <v>98</v>
      </c>
      <c r="K120" s="726">
        <v>100</v>
      </c>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5" t="s">
        <v>3116</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6" t="s">
        <v>3119</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2425</v>
      </c>
      <c r="C125" s="1371" t="s">
        <v>3110</v>
      </c>
      <c r="D125" s="1371" t="s">
        <v>3111</v>
      </c>
      <c r="E125" s="1371" t="s">
        <v>3112</v>
      </c>
      <c r="F125" s="1371" t="s">
        <v>3113</v>
      </c>
      <c r="G125" s="1371" t="s">
        <v>3114</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7"/>
      <c r="B126" s="678"/>
      <c r="C126" s="679">
        <v>100</v>
      </c>
      <c r="D126" s="679">
        <f>C126-$K43</f>
        <v>99</v>
      </c>
      <c r="E126" s="679">
        <f t="shared" ref="E126:M126" si="27">D126-$K43</f>
        <v>98</v>
      </c>
      <c r="F126" s="679">
        <f t="shared" si="27"/>
        <v>97</v>
      </c>
      <c r="G126" s="679">
        <f t="shared" si="27"/>
        <v>96</v>
      </c>
      <c r="H126" s="679">
        <f t="shared" si="27"/>
        <v>95</v>
      </c>
      <c r="I126" s="679">
        <f t="shared" si="27"/>
        <v>94</v>
      </c>
      <c r="J126" s="679">
        <f t="shared" si="27"/>
        <v>93</v>
      </c>
      <c r="K126" s="679">
        <f t="shared" si="27"/>
        <v>92</v>
      </c>
      <c r="L126" s="679">
        <f t="shared" si="27"/>
        <v>91</v>
      </c>
      <c r="M126" s="680">
        <f t="shared" si="27"/>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6" t="s">
        <v>3117</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8">C128-$K44</f>
        <v>98</v>
      </c>
      <c r="E128" s="679">
        <f t="shared" si="28"/>
        <v>96</v>
      </c>
      <c r="F128" s="679">
        <f t="shared" si="28"/>
        <v>94</v>
      </c>
      <c r="G128" s="679">
        <f t="shared" si="28"/>
        <v>92</v>
      </c>
      <c r="H128" s="679">
        <f t="shared" si="28"/>
        <v>90</v>
      </c>
      <c r="I128" s="679">
        <f t="shared" si="28"/>
        <v>88</v>
      </c>
      <c r="J128" s="679">
        <f t="shared" si="28"/>
        <v>86</v>
      </c>
      <c r="K128" s="679">
        <f t="shared" si="28"/>
        <v>84</v>
      </c>
      <c r="L128" s="679">
        <f t="shared" si="28"/>
        <v>82</v>
      </c>
      <c r="M128" s="680">
        <f t="shared" si="28"/>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376" t="s">
        <v>522</v>
      </c>
      <c r="D6" s="3377"/>
      <c r="E6" s="3410" t="s">
        <v>523</v>
      </c>
      <c r="F6" s="3411"/>
      <c r="G6" s="3376" t="s">
        <v>524</v>
      </c>
      <c r="H6" s="3377"/>
      <c r="I6" s="3376" t="s">
        <v>525</v>
      </c>
      <c r="J6" s="3377"/>
      <c r="K6" s="514" t="s">
        <v>526</v>
      </c>
      <c r="L6" s="2117"/>
      <c r="M6" s="2118"/>
      <c r="N6" s="2118"/>
      <c r="O6" s="2118"/>
      <c r="P6" s="3378" t="s">
        <v>527</v>
      </c>
      <c r="Q6" s="3379"/>
      <c r="R6" s="3384" t="s">
        <v>523</v>
      </c>
      <c r="S6" s="3385"/>
      <c r="T6" s="3384" t="s">
        <v>524</v>
      </c>
      <c r="U6" s="3385"/>
      <c r="V6" s="3371" t="s">
        <v>525</v>
      </c>
      <c r="W6" s="3371"/>
      <c r="X6" s="1552"/>
      <c r="Y6" s="3384" t="s">
        <v>527</v>
      </c>
      <c r="Z6" s="3385"/>
      <c r="AA6" s="3373" t="s">
        <v>523</v>
      </c>
      <c r="AB6" s="3374" t="s">
        <v>524</v>
      </c>
      <c r="AC6" s="3373" t="s">
        <v>525</v>
      </c>
    </row>
    <row r="7" spans="1:29" ht="15">
      <c r="A7" s="515"/>
      <c r="B7" s="516"/>
      <c r="C7" s="3392" t="s">
        <v>2929</v>
      </c>
      <c r="D7" s="3393"/>
      <c r="E7" s="3412" t="s">
        <v>2930</v>
      </c>
      <c r="F7" s="3413"/>
      <c r="G7" s="3392" t="s">
        <v>2931</v>
      </c>
      <c r="H7" s="3393"/>
      <c r="I7" s="3392" t="s">
        <v>2932</v>
      </c>
      <c r="J7" s="3393"/>
      <c r="K7" s="514"/>
      <c r="L7" s="2117"/>
      <c r="M7" s="2118"/>
      <c r="N7" s="2118"/>
      <c r="O7" s="2118"/>
      <c r="P7" s="3380"/>
      <c r="Q7" s="3381"/>
      <c r="R7" s="3386"/>
      <c r="S7" s="3387"/>
      <c r="T7" s="3386"/>
      <c r="U7" s="3387"/>
      <c r="V7" s="3371"/>
      <c r="W7" s="3371"/>
      <c r="X7" s="1552"/>
      <c r="Y7" s="3386"/>
      <c r="Z7" s="3387"/>
      <c r="AA7" s="3374"/>
      <c r="AB7" s="3374"/>
      <c r="AC7" s="3374"/>
    </row>
    <row r="8" spans="1:29" ht="15.75" thickBot="1">
      <c r="A8" s="517"/>
      <c r="B8" s="518"/>
      <c r="C8" s="3390" t="s">
        <v>2933</v>
      </c>
      <c r="D8" s="3391"/>
      <c r="E8" s="3408" t="s">
        <v>2933</v>
      </c>
      <c r="F8" s="3409"/>
      <c r="G8" s="3390" t="s">
        <v>2933</v>
      </c>
      <c r="H8" s="3391"/>
      <c r="I8" s="3390" t="s">
        <v>2933</v>
      </c>
      <c r="J8" s="3391"/>
      <c r="K8" s="514" t="s">
        <v>528</v>
      </c>
      <c r="L8" s="2117"/>
      <c r="M8" s="2118"/>
      <c r="N8" s="2118"/>
      <c r="O8" s="2118"/>
      <c r="P8" s="3382"/>
      <c r="Q8" s="3383"/>
      <c r="R8" s="3386"/>
      <c r="S8" s="3387"/>
      <c r="T8" s="3388"/>
      <c r="U8" s="3389"/>
      <c r="V8" s="3371"/>
      <c r="W8" s="3371"/>
      <c r="X8" s="1552"/>
      <c r="Y8" s="3388"/>
      <c r="Z8" s="3389"/>
      <c r="AA8" s="3375"/>
      <c r="AB8" s="3375"/>
      <c r="AC8" s="3375"/>
    </row>
    <row r="9" spans="1:29" s="1215" customFormat="1" ht="15.75" thickBot="1">
      <c r="A9" s="2866"/>
      <c r="B9" s="2873" t="s">
        <v>529</v>
      </c>
      <c r="C9" s="519">
        <f>'数据-取费表'!B2</f>
        <v>43810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1" t="s">
        <v>530</v>
      </c>
      <c r="Q9" s="3403"/>
      <c r="R9" s="1553" t="s">
        <v>8</v>
      </c>
      <c r="S9" s="1554">
        <f t="shared" ref="S9:S17" si="0">F9</f>
        <v>0</v>
      </c>
      <c r="T9" s="1553" t="s">
        <v>8</v>
      </c>
      <c r="U9" s="1554">
        <f t="shared" ref="U9:U17" si="1">H9</f>
        <v>0</v>
      </c>
      <c r="V9" s="1553" t="s">
        <v>8</v>
      </c>
      <c r="W9" s="1554">
        <f t="shared" ref="W9:W17" si="2">J9</f>
        <v>0</v>
      </c>
      <c r="X9" s="1555"/>
      <c r="Y9" s="3401" t="s">
        <v>530</v>
      </c>
      <c r="Z9" s="3402"/>
      <c r="AA9" s="1556" t="e">
        <f>D9/F9</f>
        <v>#DIV/0!</v>
      </c>
      <c r="AB9" s="1556" t="e">
        <f>D9/H9</f>
        <v>#DIV/0!</v>
      </c>
      <c r="AC9" s="1556"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1" t="s">
        <v>533</v>
      </c>
      <c r="Q10" s="3402"/>
      <c r="R10" s="1553" t="s">
        <v>8</v>
      </c>
      <c r="S10" s="1554">
        <f t="shared" si="0"/>
        <v>0</v>
      </c>
      <c r="T10" s="1553" t="s">
        <v>8</v>
      </c>
      <c r="U10" s="1554">
        <f t="shared" si="1"/>
        <v>0</v>
      </c>
      <c r="V10" s="1553" t="s">
        <v>8</v>
      </c>
      <c r="W10" s="1554">
        <f t="shared" si="2"/>
        <v>0</v>
      </c>
      <c r="X10" s="1555"/>
      <c r="Y10" s="3401" t="s">
        <v>533</v>
      </c>
      <c r="Z10" s="3402"/>
      <c r="AA10" s="1556" t="e">
        <f t="shared" ref="AA10:AA42" si="3">D10/F10</f>
        <v>#DIV/0!</v>
      </c>
      <c r="AB10" s="1556" t="e">
        <f t="shared" ref="AB10:AB42" si="4">D10/H10</f>
        <v>#DIV/0!</v>
      </c>
      <c r="AC10" s="1556" t="e">
        <f t="shared" ref="AC10:AC42" si="5">D10/J10</f>
        <v>#DIV/0!</v>
      </c>
    </row>
    <row r="11" spans="1:29" s="1215"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70" t="s">
        <v>535</v>
      </c>
      <c r="Q11" s="1146" t="str">
        <f t="shared" ref="Q11:Q17" si="6">B11</f>
        <v>用途</v>
      </c>
      <c r="R11" s="1553" t="s">
        <v>8</v>
      </c>
      <c r="S11" s="1554">
        <f t="shared" si="0"/>
        <v>100</v>
      </c>
      <c r="T11" s="1553" t="s">
        <v>8</v>
      </c>
      <c r="U11" s="1554">
        <f t="shared" si="1"/>
        <v>100</v>
      </c>
      <c r="V11" s="1553" t="s">
        <v>8</v>
      </c>
      <c r="W11" s="1554">
        <f t="shared" si="2"/>
        <v>100</v>
      </c>
      <c r="X11" s="1555"/>
      <c r="Y11" s="3316" t="s">
        <v>536</v>
      </c>
      <c r="Z11" s="1145" t="str">
        <f t="shared" ref="Z11:Z17" si="7">Q11</f>
        <v>用途</v>
      </c>
      <c r="AA11" s="1556">
        <f t="shared" si="3"/>
        <v>1</v>
      </c>
      <c r="AB11" s="1556">
        <f t="shared" si="4"/>
        <v>1</v>
      </c>
      <c r="AC11" s="1556">
        <f t="shared" si="5"/>
        <v>1</v>
      </c>
    </row>
    <row r="12" spans="1:29" s="1333" customFormat="1" ht="27">
      <c r="A12" s="2869"/>
      <c r="B12" s="2874" t="s">
        <v>2755</v>
      </c>
      <c r="C12" s="528"/>
      <c r="D12" s="255">
        <v>100</v>
      </c>
      <c r="E12" s="528"/>
      <c r="F12" s="255">
        <f>ROUND(100/'数据-取费表'!G16,0)</f>
        <v>102</v>
      </c>
      <c r="G12" s="528"/>
      <c r="H12" s="255">
        <f>ROUND(100/'数据-取费表'!G16,0)</f>
        <v>102</v>
      </c>
      <c r="I12" s="528"/>
      <c r="J12" s="255">
        <f>ROUND(100/'数据-取费表'!G16,0)</f>
        <v>102</v>
      </c>
      <c r="K12" s="531"/>
      <c r="L12" s="2122"/>
      <c r="M12" s="2162"/>
      <c r="N12" s="2162"/>
      <c r="O12" s="2123"/>
      <c r="P12" s="3370"/>
      <c r="Q12" s="1146" t="str">
        <f t="shared" si="6"/>
        <v>土地使用年限（年）</v>
      </c>
      <c r="R12" s="1553" t="s">
        <v>8</v>
      </c>
      <c r="S12" s="1554">
        <f t="shared" si="0"/>
        <v>102</v>
      </c>
      <c r="T12" s="1553" t="s">
        <v>8</v>
      </c>
      <c r="U12" s="1554">
        <f t="shared" si="1"/>
        <v>102</v>
      </c>
      <c r="V12" s="1553" t="s">
        <v>8</v>
      </c>
      <c r="W12" s="1554">
        <f t="shared" si="2"/>
        <v>102</v>
      </c>
      <c r="X12" s="1555"/>
      <c r="Y12" s="3316"/>
      <c r="Z12" s="1145" t="str">
        <f t="shared" si="7"/>
        <v>土地使用年限（年）</v>
      </c>
      <c r="AA12" s="1556">
        <f t="shared" si="3"/>
        <v>0.98039215686274506</v>
      </c>
      <c r="AB12" s="1556">
        <f t="shared" si="4"/>
        <v>0.98039215686274506</v>
      </c>
      <c r="AC12" s="1556">
        <f t="shared" si="5"/>
        <v>0.98039215686274506</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70"/>
      <c r="Q13" s="1146" t="str">
        <f t="shared" si="6"/>
        <v>容积率</v>
      </c>
      <c r="R13" s="1553" t="s">
        <v>8</v>
      </c>
      <c r="S13" s="1554" t="e">
        <f t="shared" si="0"/>
        <v>#N/A</v>
      </c>
      <c r="T13" s="1553" t="s">
        <v>8</v>
      </c>
      <c r="U13" s="1554" t="e">
        <f t="shared" si="1"/>
        <v>#N/A</v>
      </c>
      <c r="V13" s="1553" t="s">
        <v>8</v>
      </c>
      <c r="W13" s="1554" t="e">
        <f t="shared" si="2"/>
        <v>#N/A</v>
      </c>
      <c r="X13" s="1555"/>
      <c r="Y13" s="3316"/>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70"/>
      <c r="Q14" s="1146">
        <f t="shared" si="6"/>
        <v>111</v>
      </c>
      <c r="R14" s="1553" t="s">
        <v>8</v>
      </c>
      <c r="S14" s="1554">
        <f t="shared" si="0"/>
        <v>100</v>
      </c>
      <c r="T14" s="1553" t="s">
        <v>8</v>
      </c>
      <c r="U14" s="1554">
        <f t="shared" si="1"/>
        <v>100</v>
      </c>
      <c r="V14" s="1553" t="s">
        <v>8</v>
      </c>
      <c r="W14" s="1554">
        <f t="shared" si="2"/>
        <v>100</v>
      </c>
      <c r="X14" s="1555"/>
      <c r="Y14" s="3316"/>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70"/>
      <c r="Q15" s="1146">
        <f t="shared" si="6"/>
        <v>111</v>
      </c>
      <c r="R15" s="1553" t="s">
        <v>8</v>
      </c>
      <c r="S15" s="1554">
        <f t="shared" si="0"/>
        <v>100</v>
      </c>
      <c r="T15" s="1553" t="s">
        <v>8</v>
      </c>
      <c r="U15" s="1554">
        <f t="shared" si="1"/>
        <v>100</v>
      </c>
      <c r="V15" s="1553" t="s">
        <v>8</v>
      </c>
      <c r="W15" s="1554">
        <f t="shared" si="2"/>
        <v>100</v>
      </c>
      <c r="X15" s="1555"/>
      <c r="Y15" s="3316"/>
      <c r="Z15" s="1145">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70"/>
      <c r="Q16" s="1146">
        <f t="shared" si="6"/>
        <v>111</v>
      </c>
      <c r="R16" s="1553" t="s">
        <v>8</v>
      </c>
      <c r="S16" s="1554">
        <f t="shared" si="0"/>
        <v>100</v>
      </c>
      <c r="T16" s="1553" t="s">
        <v>8</v>
      </c>
      <c r="U16" s="1554">
        <f t="shared" si="1"/>
        <v>100</v>
      </c>
      <c r="V16" s="1553" t="s">
        <v>8</v>
      </c>
      <c r="W16" s="1554">
        <f t="shared" si="2"/>
        <v>100</v>
      </c>
      <c r="X16" s="1555"/>
      <c r="Y16" s="3316"/>
      <c r="Z16" s="1145">
        <f t="shared" si="7"/>
        <v>111</v>
      </c>
      <c r="AA16" s="1556">
        <f t="shared" si="3"/>
        <v>1</v>
      </c>
      <c r="AB16" s="1556">
        <f t="shared" si="4"/>
        <v>1</v>
      </c>
      <c r="AC16" s="1556">
        <f t="shared" si="5"/>
        <v>1</v>
      </c>
    </row>
    <row r="17" spans="1:29" ht="57">
      <c r="A17" s="2864"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04" t="s">
        <v>540</v>
      </c>
      <c r="Q17" s="1557" t="str">
        <f t="shared" si="6"/>
        <v>产业集聚程度</v>
      </c>
      <c r="R17" s="1558" t="s">
        <v>8</v>
      </c>
      <c r="S17" s="1559">
        <f t="shared" si="0"/>
        <v>100</v>
      </c>
      <c r="T17" s="1558" t="s">
        <v>8</v>
      </c>
      <c r="U17" s="1559">
        <f t="shared" si="1"/>
        <v>100</v>
      </c>
      <c r="V17" s="1558" t="s">
        <v>8</v>
      </c>
      <c r="W17" s="1559">
        <f t="shared" si="2"/>
        <v>100</v>
      </c>
      <c r="X17" s="1552"/>
      <c r="Y17" s="3404"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05"/>
      <c r="Q18" s="1557"/>
      <c r="R18" s="1558"/>
      <c r="S18" s="1559"/>
      <c r="T18" s="1558"/>
      <c r="U18" s="1559"/>
      <c r="V18" s="1558"/>
      <c r="W18" s="1559"/>
      <c r="X18" s="1552"/>
      <c r="Y18" s="3405"/>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05"/>
      <c r="Q19" s="1557" t="str">
        <f>B19</f>
        <v>交通便捷度</v>
      </c>
      <c r="R19" s="1558" t="s">
        <v>8</v>
      </c>
      <c r="S19" s="1559">
        <f>F19</f>
        <v>100</v>
      </c>
      <c r="T19" s="1558" t="s">
        <v>8</v>
      </c>
      <c r="U19" s="1559">
        <f>H19</f>
        <v>100</v>
      </c>
      <c r="V19" s="1558" t="s">
        <v>8</v>
      </c>
      <c r="W19" s="1559">
        <f>J19</f>
        <v>100</v>
      </c>
      <c r="X19" s="1552"/>
      <c r="Y19" s="3405"/>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405"/>
      <c r="Q21" s="1557" t="str">
        <f t="shared" ref="Q21:Q35" si="8">B21</f>
        <v>区域土地利用方向</v>
      </c>
      <c r="R21" s="1558" t="s">
        <v>8</v>
      </c>
      <c r="S21" s="1559">
        <f>F21</f>
        <v>100</v>
      </c>
      <c r="T21" s="1558" t="s">
        <v>8</v>
      </c>
      <c r="U21" s="1559">
        <f>H21</f>
        <v>100</v>
      </c>
      <c r="V21" s="1558" t="s">
        <v>8</v>
      </c>
      <c r="W21" s="1559">
        <f>J21</f>
        <v>100</v>
      </c>
      <c r="X21" s="1552"/>
      <c r="Y21" s="3405"/>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405"/>
      <c r="Q22" s="1557"/>
      <c r="R22" s="1558"/>
      <c r="S22" s="1559"/>
      <c r="T22" s="1558"/>
      <c r="U22" s="1559"/>
      <c r="V22" s="1558"/>
      <c r="W22" s="1559"/>
      <c r="X22" s="1552"/>
      <c r="Y22" s="3405"/>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05"/>
      <c r="Q23" s="1557" t="str">
        <f t="shared" si="8"/>
        <v>环境状况</v>
      </c>
      <c r="R23" s="1558" t="s">
        <v>8</v>
      </c>
      <c r="S23" s="1559">
        <f>F23</f>
        <v>100</v>
      </c>
      <c r="T23" s="1558" t="s">
        <v>8</v>
      </c>
      <c r="U23" s="1559">
        <f>H23</f>
        <v>100</v>
      </c>
      <c r="V23" s="1558" t="s">
        <v>8</v>
      </c>
      <c r="W23" s="1559">
        <f>J23</f>
        <v>100</v>
      </c>
      <c r="X23" s="1552"/>
      <c r="Y23" s="3405"/>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05"/>
      <c r="Q24" s="1557"/>
      <c r="R24" s="1558"/>
      <c r="S24" s="1559"/>
      <c r="T24" s="1558"/>
      <c r="U24" s="1559"/>
      <c r="V24" s="1558"/>
      <c r="W24" s="1559"/>
      <c r="X24" s="1552"/>
      <c r="Y24" s="3405"/>
      <c r="Z24" s="1560"/>
      <c r="AA24" s="1561">
        <v>1</v>
      </c>
      <c r="AB24" s="1561">
        <v>1</v>
      </c>
      <c r="AC24" s="1561">
        <v>1</v>
      </c>
    </row>
    <row r="25" spans="1:29" s="1215" customFormat="1" ht="42.75">
      <c r="A25" s="577"/>
      <c r="B25" s="2556"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05"/>
      <c r="Q25" s="1146" t="str">
        <f t="shared" si="8"/>
        <v>公共配套设施</v>
      </c>
      <c r="R25" s="1553" t="s">
        <v>8</v>
      </c>
      <c r="S25" s="1554">
        <f>F25</f>
        <v>100</v>
      </c>
      <c r="T25" s="1553" t="s">
        <v>8</v>
      </c>
      <c r="U25" s="1554">
        <f>H25</f>
        <v>100</v>
      </c>
      <c r="V25" s="1553" t="s">
        <v>8</v>
      </c>
      <c r="W25" s="1554">
        <f>J25</f>
        <v>100</v>
      </c>
      <c r="X25" s="1555"/>
      <c r="Y25" s="3405"/>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405"/>
      <c r="Q26" s="1146"/>
      <c r="R26" s="1553"/>
      <c r="S26" s="1554"/>
      <c r="T26" s="1553"/>
      <c r="U26" s="1554"/>
      <c r="V26" s="1553"/>
      <c r="W26" s="1554"/>
      <c r="X26" s="1555"/>
      <c r="Y26" s="3405"/>
      <c r="Z26" s="1145"/>
      <c r="AA26" s="1556">
        <v>1</v>
      </c>
      <c r="AB26" s="1556">
        <v>1</v>
      </c>
      <c r="AC26" s="1556">
        <v>1</v>
      </c>
    </row>
    <row r="27" spans="1:29" s="1215" customFormat="1" ht="28.5">
      <c r="A27" s="577"/>
      <c r="B27" s="2556"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05"/>
      <c r="Q27" s="2541" t="str">
        <f>B27</f>
        <v>基础设施水平</v>
      </c>
      <c r="R27" s="1553" t="s">
        <v>8</v>
      </c>
      <c r="S27" s="1554">
        <f>F27</f>
        <v>100</v>
      </c>
      <c r="T27" s="1553" t="s">
        <v>8</v>
      </c>
      <c r="U27" s="1554">
        <f>H27</f>
        <v>100</v>
      </c>
      <c r="V27" s="1553" t="s">
        <v>8</v>
      </c>
      <c r="W27" s="1554">
        <f>J27</f>
        <v>100</v>
      </c>
      <c r="X27" s="1555"/>
      <c r="Y27" s="3405"/>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405"/>
      <c r="Q28" s="2541"/>
      <c r="R28" s="1553"/>
      <c r="S28" s="1554"/>
      <c r="T28" s="1553"/>
      <c r="U28" s="1554"/>
      <c r="V28" s="1553"/>
      <c r="W28" s="1554"/>
      <c r="X28" s="1555"/>
      <c r="Y28" s="3405"/>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05"/>
      <c r="Q29" s="1557" t="str">
        <f t="shared" si="8"/>
        <v>临街状况</v>
      </c>
      <c r="R29" s="1558" t="s">
        <v>8</v>
      </c>
      <c r="S29" s="1559">
        <f t="shared" ref="S29:S42" si="9">F29</f>
        <v>100</v>
      </c>
      <c r="T29" s="1558" t="s">
        <v>8</v>
      </c>
      <c r="U29" s="1559">
        <f t="shared" ref="U29:U42" si="10">H29</f>
        <v>100</v>
      </c>
      <c r="V29" s="1558" t="s">
        <v>8</v>
      </c>
      <c r="W29" s="1559">
        <f t="shared" ref="W29:W42" si="11">J29</f>
        <v>100</v>
      </c>
      <c r="X29" s="1552"/>
      <c r="Y29" s="3405"/>
      <c r="Z29" s="1560" t="str">
        <f t="shared" ref="Z29:Z42" si="12">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05"/>
      <c r="Q30" s="1557" t="str">
        <f t="shared" si="8"/>
        <v>毗邻道路的类型与等级</v>
      </c>
      <c r="R30" s="1558" t="s">
        <v>8</v>
      </c>
      <c r="S30" s="1559">
        <f t="shared" si="9"/>
        <v>100</v>
      </c>
      <c r="T30" s="1558" t="s">
        <v>8</v>
      </c>
      <c r="U30" s="1559">
        <f t="shared" si="10"/>
        <v>100</v>
      </c>
      <c r="V30" s="1558" t="s">
        <v>8</v>
      </c>
      <c r="W30" s="1559">
        <f t="shared" si="11"/>
        <v>100</v>
      </c>
      <c r="X30" s="1552"/>
      <c r="Y30" s="3405"/>
      <c r="Z30" s="1560" t="str">
        <f t="shared" si="12"/>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05"/>
      <c r="Q31" s="1557"/>
      <c r="R31" s="1558"/>
      <c r="S31" s="1559"/>
      <c r="T31" s="1558"/>
      <c r="U31" s="1559"/>
      <c r="V31" s="1558"/>
      <c r="W31" s="1559"/>
      <c r="X31" s="1552"/>
      <c r="Y31" s="3405"/>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05"/>
      <c r="Q32" s="1557" t="str">
        <f t="shared" si="8"/>
        <v>土地级别</v>
      </c>
      <c r="R32" s="1558" t="s">
        <v>8</v>
      </c>
      <c r="S32" s="1559">
        <f t="shared" si="9"/>
        <v>100</v>
      </c>
      <c r="T32" s="1558" t="s">
        <v>8</v>
      </c>
      <c r="U32" s="1559">
        <f t="shared" si="10"/>
        <v>100</v>
      </c>
      <c r="V32" s="1558" t="s">
        <v>8</v>
      </c>
      <c r="W32" s="1559">
        <f t="shared" si="11"/>
        <v>100</v>
      </c>
      <c r="X32" s="1552"/>
      <c r="Y32" s="3405"/>
      <c r="Z32" s="1560" t="str">
        <f t="shared" si="12"/>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05"/>
      <c r="Q33" s="1557">
        <f t="shared" si="8"/>
        <v>111</v>
      </c>
      <c r="R33" s="1558" t="s">
        <v>8</v>
      </c>
      <c r="S33" s="1559">
        <f t="shared" si="9"/>
        <v>100</v>
      </c>
      <c r="T33" s="1558" t="s">
        <v>8</v>
      </c>
      <c r="U33" s="1559">
        <f t="shared" si="10"/>
        <v>100</v>
      </c>
      <c r="V33" s="1558" t="s">
        <v>8</v>
      </c>
      <c r="W33" s="1559">
        <f t="shared" si="11"/>
        <v>100</v>
      </c>
      <c r="X33" s="1552"/>
      <c r="Y33" s="3405"/>
      <c r="Z33" s="1560">
        <f t="shared" si="12"/>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06" t="s">
        <v>550</v>
      </c>
      <c r="Q34" s="1557">
        <f t="shared" si="8"/>
        <v>111</v>
      </c>
      <c r="R34" s="1558" t="s">
        <v>8</v>
      </c>
      <c r="S34" s="1559">
        <f t="shared" si="9"/>
        <v>100</v>
      </c>
      <c r="T34" s="1558" t="s">
        <v>8</v>
      </c>
      <c r="U34" s="1559">
        <f t="shared" si="10"/>
        <v>100</v>
      </c>
      <c r="V34" s="1558" t="s">
        <v>8</v>
      </c>
      <c r="W34" s="1559">
        <f t="shared" si="11"/>
        <v>100</v>
      </c>
      <c r="X34" s="1552"/>
      <c r="Y34" s="3407" t="s">
        <v>550</v>
      </c>
      <c r="Z34" s="1560">
        <f t="shared" si="12"/>
        <v>111</v>
      </c>
      <c r="AA34" s="1561">
        <f t="shared" si="3"/>
        <v>1</v>
      </c>
      <c r="AB34" s="1561">
        <f t="shared" si="4"/>
        <v>1</v>
      </c>
      <c r="AC34" s="1561">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07"/>
      <c r="Q35" s="1557">
        <f t="shared" si="8"/>
        <v>111</v>
      </c>
      <c r="R35" s="1562" t="s">
        <v>8</v>
      </c>
      <c r="S35" s="1563">
        <f t="shared" si="9"/>
        <v>100</v>
      </c>
      <c r="T35" s="1562" t="s">
        <v>8</v>
      </c>
      <c r="U35" s="1563">
        <f t="shared" si="10"/>
        <v>100</v>
      </c>
      <c r="V35" s="1562" t="s">
        <v>8</v>
      </c>
      <c r="W35" s="1563">
        <f t="shared" si="11"/>
        <v>100</v>
      </c>
      <c r="X35" s="1564"/>
      <c r="Y35" s="3407"/>
      <c r="Z35" s="1565">
        <f t="shared" si="12"/>
        <v>111</v>
      </c>
      <c r="AA35" s="1561">
        <f t="shared" si="3"/>
        <v>1</v>
      </c>
      <c r="AB35" s="1561">
        <f t="shared" si="4"/>
        <v>1</v>
      </c>
      <c r="AC35" s="1561">
        <f t="shared" si="5"/>
        <v>1</v>
      </c>
    </row>
    <row r="36" spans="1:29" ht="15">
      <c r="A36" s="2861"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07"/>
      <c r="Q36" s="1557" t="str">
        <f>B36</f>
        <v>宗地面积</v>
      </c>
      <c r="R36" s="1558" t="s">
        <v>8</v>
      </c>
      <c r="S36" s="1559" t="e">
        <f t="shared" si="9"/>
        <v>#N/A</v>
      </c>
      <c r="T36" s="1558" t="s">
        <v>8</v>
      </c>
      <c r="U36" s="1559" t="e">
        <f t="shared" si="10"/>
        <v>#N/A</v>
      </c>
      <c r="V36" s="1558" t="s">
        <v>8</v>
      </c>
      <c r="W36" s="1559" t="e">
        <f t="shared" si="11"/>
        <v>#N/A</v>
      </c>
      <c r="X36" s="1552"/>
      <c r="Y36" s="3407"/>
      <c r="Z36" s="1560" t="str">
        <f t="shared" si="12"/>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07"/>
      <c r="Q37" s="1557" t="str">
        <f t="shared" ref="Q37:Q42" si="13">B37</f>
        <v>宗地形状</v>
      </c>
      <c r="R37" s="1558" t="s">
        <v>8</v>
      </c>
      <c r="S37" s="1559">
        <f t="shared" si="9"/>
        <v>100</v>
      </c>
      <c r="T37" s="1558" t="s">
        <v>8</v>
      </c>
      <c r="U37" s="1559">
        <f t="shared" si="10"/>
        <v>100</v>
      </c>
      <c r="V37" s="1558" t="s">
        <v>8</v>
      </c>
      <c r="W37" s="1559">
        <f t="shared" si="11"/>
        <v>100</v>
      </c>
      <c r="X37" s="1552"/>
      <c r="Y37" s="3407"/>
      <c r="Z37" s="1560" t="str">
        <f t="shared" si="12"/>
        <v>宗地形状</v>
      </c>
      <c r="AA37" s="1561">
        <f t="shared" si="3"/>
        <v>1</v>
      </c>
      <c r="AB37" s="1561">
        <f t="shared" si="4"/>
        <v>1</v>
      </c>
      <c r="AC37" s="1561">
        <f t="shared" si="5"/>
        <v>1</v>
      </c>
    </row>
    <row r="38" spans="1:29" s="1215" customFormat="1" ht="15">
      <c r="A38" s="600"/>
      <c r="B38" s="1879"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07"/>
      <c r="Q38" s="1557" t="str">
        <f t="shared" si="13"/>
        <v>宗地开发程度</v>
      </c>
      <c r="R38" s="1553" t="s">
        <v>8</v>
      </c>
      <c r="S38" s="1554">
        <f t="shared" si="9"/>
        <v>100</v>
      </c>
      <c r="T38" s="1553" t="s">
        <v>8</v>
      </c>
      <c r="U38" s="1554">
        <f t="shared" si="10"/>
        <v>100</v>
      </c>
      <c r="V38" s="1553" t="s">
        <v>8</v>
      </c>
      <c r="W38" s="1554">
        <f t="shared" si="11"/>
        <v>100</v>
      </c>
      <c r="X38" s="1555"/>
      <c r="Y38" s="3407"/>
      <c r="Z38" s="1145" t="str">
        <f t="shared" si="12"/>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7" t="s">
        <v>601</v>
      </c>
      <c r="Q39" s="1557" t="str">
        <f t="shared" si="13"/>
        <v>工程地质条件</v>
      </c>
      <c r="R39" s="1558" t="s">
        <v>8</v>
      </c>
      <c r="S39" s="1559">
        <f t="shared" si="9"/>
        <v>100</v>
      </c>
      <c r="T39" s="1558" t="s">
        <v>8</v>
      </c>
      <c r="U39" s="1559">
        <f t="shared" si="10"/>
        <v>100</v>
      </c>
      <c r="V39" s="1558" t="s">
        <v>8</v>
      </c>
      <c r="W39" s="1559">
        <f t="shared" si="11"/>
        <v>100</v>
      </c>
      <c r="X39" s="1552"/>
      <c r="Y39" s="3407" t="s">
        <v>601</v>
      </c>
      <c r="Z39" s="1560" t="str">
        <f t="shared" si="12"/>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07"/>
      <c r="Q40" s="1557">
        <f t="shared" si="13"/>
        <v>111</v>
      </c>
      <c r="R40" s="1558" t="s">
        <v>8</v>
      </c>
      <c r="S40" s="1559">
        <f t="shared" si="9"/>
        <v>100</v>
      </c>
      <c r="T40" s="1558" t="s">
        <v>8</v>
      </c>
      <c r="U40" s="1559">
        <f t="shared" si="10"/>
        <v>100</v>
      </c>
      <c r="V40" s="1558" t="s">
        <v>8</v>
      </c>
      <c r="W40" s="1559">
        <f t="shared" si="11"/>
        <v>100</v>
      </c>
      <c r="X40" s="1552"/>
      <c r="Y40" s="3407"/>
      <c r="Z40" s="1560">
        <f t="shared" si="12"/>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07"/>
      <c r="Q41" s="1557">
        <f t="shared" si="13"/>
        <v>111</v>
      </c>
      <c r="R41" s="1558" t="s">
        <v>8</v>
      </c>
      <c r="S41" s="1559">
        <f t="shared" si="9"/>
        <v>100</v>
      </c>
      <c r="T41" s="1558" t="s">
        <v>8</v>
      </c>
      <c r="U41" s="1559">
        <f t="shared" si="10"/>
        <v>100</v>
      </c>
      <c r="V41" s="1558" t="s">
        <v>8</v>
      </c>
      <c r="W41" s="1559">
        <f t="shared" si="11"/>
        <v>100</v>
      </c>
      <c r="X41" s="1552"/>
      <c r="Y41" s="3407"/>
      <c r="Z41" s="1560">
        <f t="shared" si="12"/>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07"/>
      <c r="Q42" s="1557">
        <f t="shared" si="13"/>
        <v>111</v>
      </c>
      <c r="R42" s="1562" t="s">
        <v>8</v>
      </c>
      <c r="S42" s="1563">
        <f t="shared" si="9"/>
        <v>100</v>
      </c>
      <c r="T42" s="1562" t="s">
        <v>8</v>
      </c>
      <c r="U42" s="1563">
        <f t="shared" si="10"/>
        <v>100</v>
      </c>
      <c r="V42" s="1562" t="s">
        <v>8</v>
      </c>
      <c r="W42" s="1563">
        <f t="shared" si="11"/>
        <v>100</v>
      </c>
      <c r="X42" s="1564"/>
      <c r="Y42" s="3407"/>
      <c r="Z42" s="1565">
        <f t="shared" si="12"/>
        <v>111</v>
      </c>
      <c r="AA42" s="1561">
        <f t="shared" si="3"/>
        <v>1</v>
      </c>
      <c r="AB42" s="1561">
        <f t="shared" si="4"/>
        <v>1</v>
      </c>
      <c r="AC42" s="1561">
        <f t="shared" si="5"/>
        <v>1</v>
      </c>
    </row>
    <row r="43" spans="1:29" ht="15">
      <c r="A43" s="607" t="s">
        <v>556</v>
      </c>
      <c r="B43" s="608" t="s">
        <v>2934</v>
      </c>
      <c r="C43" s="609" t="s">
        <v>1</v>
      </c>
      <c r="D43" s="610"/>
      <c r="E43" s="611"/>
      <c r="F43" s="612"/>
      <c r="G43" s="613"/>
      <c r="H43" s="614"/>
      <c r="I43" s="611"/>
      <c r="J43" s="614"/>
      <c r="K43" s="1335"/>
      <c r="L43" s="2128"/>
      <c r="M43" s="2118"/>
      <c r="N43" s="2118"/>
      <c r="O43" s="2129"/>
      <c r="P43" s="3370" t="str">
        <f>A43</f>
        <v>成交单价</v>
      </c>
      <c r="Q43" s="3370"/>
      <c r="R43" s="3371">
        <f>E43</f>
        <v>0</v>
      </c>
      <c r="S43" s="3371"/>
      <c r="T43" s="3371">
        <f>G43</f>
        <v>0</v>
      </c>
      <c r="U43" s="3371"/>
      <c r="V43" s="3371">
        <f>I43</f>
        <v>0</v>
      </c>
      <c r="W43" s="3371"/>
      <c r="X43" s="1544"/>
      <c r="Y43" s="1566"/>
      <c r="Z43" s="1544"/>
      <c r="AA43" s="1544"/>
      <c r="AB43" s="1544"/>
      <c r="AC43" s="1544"/>
    </row>
    <row r="44" spans="1:29" ht="15.75" thickBot="1">
      <c r="A44" s="615" t="s">
        <v>2691</v>
      </c>
      <c r="B44" s="616"/>
      <c r="C44" s="617" t="e">
        <f>R45</f>
        <v>#DIV/0!</v>
      </c>
      <c r="D44" s="618"/>
      <c r="E44" s="617" t="e">
        <f>R44</f>
        <v>#DIV/0!</v>
      </c>
      <c r="F44" s="619"/>
      <c r="G44" s="620" t="e">
        <f>T44</f>
        <v>#DIV/0!</v>
      </c>
      <c r="H44" s="618"/>
      <c r="I44" s="617" t="e">
        <f>V44</f>
        <v>#DIV/0!</v>
      </c>
      <c r="J44" s="618"/>
      <c r="K44" s="1336"/>
      <c r="L44" s="2128"/>
      <c r="M44" s="2118"/>
      <c r="N44" s="2118"/>
      <c r="O44" s="2129"/>
      <c r="P44" s="3370" t="str">
        <f>A44</f>
        <v>比较价格（元/平方米）</v>
      </c>
      <c r="Q44" s="3370"/>
      <c r="R44" s="3372" t="e">
        <f>ROUND(PRODUCT(R43,AA9:AA42),0)</f>
        <v>#DIV/0!</v>
      </c>
      <c r="S44" s="3372"/>
      <c r="T44" s="3372" t="e">
        <f>ROUND(PRODUCT(T43,AB9:AB42),0)</f>
        <v>#DIV/0!</v>
      </c>
      <c r="U44" s="3372"/>
      <c r="V44" s="3372" t="e">
        <f>ROUND(PRODUCT(V43,AC9:AC42),0)</f>
        <v>#DIV/0!</v>
      </c>
      <c r="W44" s="3372"/>
      <c r="X44" s="1544"/>
      <c r="Y44" s="1544"/>
      <c r="Z44" s="1544"/>
      <c r="AA44" s="1544"/>
      <c r="AB44" s="1544"/>
      <c r="AC44" s="1544"/>
    </row>
    <row r="45" spans="1:29" ht="15.75" thickBot="1">
      <c r="A45" s="621" t="s">
        <v>2935</v>
      </c>
      <c r="B45" s="622"/>
      <c r="C45" s="623" t="e">
        <f>R45</f>
        <v>#DIV/0!</v>
      </c>
      <c r="D45" s="623"/>
      <c r="E45" s="623"/>
      <c r="F45" s="623"/>
      <c r="G45" s="623"/>
      <c r="H45" s="623"/>
      <c r="I45" s="623"/>
      <c r="J45" s="623"/>
      <c r="K45" s="1337"/>
      <c r="L45" s="2128"/>
      <c r="M45" s="2118"/>
      <c r="N45" s="2118"/>
      <c r="O45" s="2129"/>
      <c r="P45" s="3367" t="str">
        <f>A45</f>
        <v>估价对象XX用房的比较价格（楼面单价，元/平方米）</v>
      </c>
      <c r="Q45" s="3368"/>
      <c r="R45" s="3369" t="e">
        <f>ROUND(AVERAGE(R44:V44),0)</f>
        <v>#DIV/0!</v>
      </c>
      <c r="S45" s="3369"/>
      <c r="T45" s="3369"/>
      <c r="U45" s="3369"/>
      <c r="V45" s="3369"/>
      <c r="W45" s="3369"/>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2293</v>
      </c>
      <c r="E52" s="631" t="s">
        <v>562</v>
      </c>
      <c r="F52" s="1935" t="s">
        <v>563</v>
      </c>
      <c r="G52" s="3414" t="s">
        <v>2284</v>
      </c>
      <c r="H52" s="3415"/>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3" t="s">
        <v>564</v>
      </c>
      <c r="B53" s="634" t="e">
        <f>C45</f>
        <v>#DIV/0!</v>
      </c>
      <c r="C53" s="635">
        <v>1</v>
      </c>
      <c r="D53" s="2212">
        <v>1</v>
      </c>
      <c r="E53" s="635">
        <f>'数据-汇总表'!E8+'数据-汇总表'!E9</f>
        <v>183350.32</v>
      </c>
      <c r="F53" s="1934" t="e">
        <f t="shared" ref="F53:F62" si="14">ROUND(B53*E53/10000,0)</f>
        <v>#DIV/0!</v>
      </c>
      <c r="G53" s="3416"/>
      <c r="H53" s="3417"/>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7" t="s">
        <v>565</v>
      </c>
      <c r="B54" s="638" t="e">
        <f>ROUND($C$45*C54*D54,0)</f>
        <v>#DIV/0!</v>
      </c>
      <c r="C54" s="378">
        <f t="shared" ref="C54:C62" si="15">IF($C$52="北京市系数",I54,J54)</f>
        <v>0</v>
      </c>
      <c r="D54" s="2213">
        <v>0.25</v>
      </c>
      <c r="E54" s="639"/>
      <c r="F54" s="1934" t="e">
        <f t="shared" si="14"/>
        <v>#DIV/0!</v>
      </c>
      <c r="G54" s="3418"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7" t="s">
        <v>566</v>
      </c>
      <c r="B55" s="638" t="e">
        <f t="shared" ref="B55:B62" si="16">ROUND($C$45*C55*D55,0)</f>
        <v>#DIV/0!</v>
      </c>
      <c r="C55" s="378">
        <f t="shared" si="15"/>
        <v>0</v>
      </c>
      <c r="D55" s="2213">
        <v>0.25</v>
      </c>
      <c r="E55" s="639"/>
      <c r="F55" s="1934" t="e">
        <f t="shared" si="14"/>
        <v>#DIV/0!</v>
      </c>
      <c r="G55" s="3418"/>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7" t="s">
        <v>567</v>
      </c>
      <c r="B56" s="638" t="e">
        <f t="shared" si="16"/>
        <v>#DIV/0!</v>
      </c>
      <c r="C56" s="378">
        <f t="shared" si="15"/>
        <v>0</v>
      </c>
      <c r="D56" s="2213">
        <v>0.25</v>
      </c>
      <c r="E56" s="639"/>
      <c r="F56" s="1934" t="e">
        <f t="shared" si="14"/>
        <v>#DIV/0!</v>
      </c>
      <c r="G56" s="3418"/>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7" t="s">
        <v>568</v>
      </c>
      <c r="B57" s="638" t="e">
        <f t="shared" si="16"/>
        <v>#DIV/0!</v>
      </c>
      <c r="C57" s="378">
        <f t="shared" si="15"/>
        <v>0</v>
      </c>
      <c r="D57" s="2213">
        <v>0.25</v>
      </c>
      <c r="E57" s="639"/>
      <c r="F57" s="1934" t="e">
        <f t="shared" si="14"/>
        <v>#DIV/0!</v>
      </c>
      <c r="G57" s="3418"/>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8" t="e">
        <f t="shared" si="16"/>
        <v>#DIV/0!</v>
      </c>
      <c r="C58" s="378">
        <f t="shared" si="15"/>
        <v>0</v>
      </c>
      <c r="D58" s="2213">
        <v>0.25</v>
      </c>
      <c r="E58" s="641">
        <f>'数据-汇总表'!E11</f>
        <v>65008.84</v>
      </c>
      <c r="F58" s="1934" t="e">
        <f t="shared" si="14"/>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7" t="s">
        <v>569</v>
      </c>
      <c r="B59" s="638" t="e">
        <f t="shared" si="16"/>
        <v>#DIV/0!</v>
      </c>
      <c r="C59" s="378">
        <f t="shared" si="15"/>
        <v>0</v>
      </c>
      <c r="D59" s="2213">
        <v>0.25</v>
      </c>
      <c r="E59" s="641">
        <f>'数据-汇总表'!E12</f>
        <v>0</v>
      </c>
      <c r="F59" s="1934" t="e">
        <f t="shared" si="14"/>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7" t="s">
        <v>570</v>
      </c>
      <c r="B60" s="638" t="e">
        <f t="shared" si="16"/>
        <v>#DIV/0!</v>
      </c>
      <c r="C60" s="378">
        <f t="shared" si="15"/>
        <v>0</v>
      </c>
      <c r="D60" s="2213">
        <v>0.25</v>
      </c>
      <c r="E60" s="641">
        <f>'数据-汇总表'!E13</f>
        <v>0</v>
      </c>
      <c r="F60" s="1934" t="e">
        <f t="shared" si="14"/>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7" t="s">
        <v>571</v>
      </c>
      <c r="B61" s="638" t="e">
        <f t="shared" si="16"/>
        <v>#DIV/0!</v>
      </c>
      <c r="C61" s="378">
        <f t="shared" si="15"/>
        <v>0</v>
      </c>
      <c r="D61" s="2213">
        <v>0.25</v>
      </c>
      <c r="E61" s="641">
        <f>'数据-汇总表'!E14</f>
        <v>0</v>
      </c>
      <c r="F61" s="1934" t="e">
        <f t="shared" si="14"/>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572</v>
      </c>
      <c r="B62" s="638" t="e">
        <f t="shared" si="16"/>
        <v>#DIV/0!</v>
      </c>
      <c r="C62" s="378">
        <f t="shared" si="15"/>
        <v>0</v>
      </c>
      <c r="D62" s="2213">
        <v>0.25</v>
      </c>
      <c r="E62" s="641">
        <f>'数据-汇总表'!E15</f>
        <v>0</v>
      </c>
      <c r="F62" s="1934" t="e">
        <f t="shared" si="14"/>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2" t="s">
        <v>573</v>
      </c>
      <c r="B63" s="643" t="s">
        <v>17</v>
      </c>
      <c r="C63" s="643" t="s">
        <v>18</v>
      </c>
      <c r="D63" s="643" t="s">
        <v>2294</v>
      </c>
      <c r="E63" s="643">
        <f>IF(B43="楼面地价",SUM(E53:E62),'数据-汇总表'!D3)</f>
        <v>111025.1</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2019-12-1</v>
      </c>
      <c r="D65" s="2753">
        <f>EDATE(C65,-3)</f>
        <v>43709</v>
      </c>
      <c r="E65" s="2753">
        <f t="shared" ref="E65:N65" si="17">EDATE(D65,-3)</f>
        <v>43617</v>
      </c>
      <c r="F65" s="2753">
        <f t="shared" si="17"/>
        <v>43525</v>
      </c>
      <c r="G65" s="2753">
        <f t="shared" si="17"/>
        <v>43435</v>
      </c>
      <c r="H65" s="2753">
        <f t="shared" si="17"/>
        <v>43344</v>
      </c>
      <c r="I65" s="2753">
        <f t="shared" si="17"/>
        <v>43252</v>
      </c>
      <c r="J65" s="2753">
        <f t="shared" si="17"/>
        <v>43160</v>
      </c>
      <c r="K65" s="2753">
        <f t="shared" si="17"/>
        <v>43070</v>
      </c>
      <c r="L65" s="2753">
        <f t="shared" si="17"/>
        <v>42979</v>
      </c>
      <c r="M65" s="2753">
        <f t="shared" si="17"/>
        <v>42887</v>
      </c>
      <c r="N65" s="2753">
        <f t="shared" si="17"/>
        <v>42795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2531</v>
      </c>
      <c r="B67" s="646"/>
      <c r="C67" s="2749" t="str">
        <f>YEAR(C65)&amp;"-"&amp;ROUNDUP(MONTH(C65)/3,0)</f>
        <v>2019-4</v>
      </c>
      <c r="D67" s="2755" t="str">
        <f t="shared" ref="D67:N67" si="18">YEAR(D65)&amp;"-"&amp;ROUNDUP(MONTH(D65)/3,0)</f>
        <v>2019-3</v>
      </c>
      <c r="E67" s="2755" t="str">
        <f t="shared" si="18"/>
        <v>2019-2</v>
      </c>
      <c r="F67" s="2755" t="str">
        <f t="shared" si="18"/>
        <v>2019-1</v>
      </c>
      <c r="G67" s="2755" t="str">
        <f t="shared" si="18"/>
        <v>2018-4</v>
      </c>
      <c r="H67" s="2755" t="str">
        <f t="shared" si="18"/>
        <v>2018-3</v>
      </c>
      <c r="I67" s="2755" t="str">
        <f t="shared" si="18"/>
        <v>2018-2</v>
      </c>
      <c r="J67" s="2755" t="str">
        <f t="shared" si="18"/>
        <v>2018-1</v>
      </c>
      <c r="K67" s="2755" t="str">
        <f t="shared" si="18"/>
        <v>2017-4</v>
      </c>
      <c r="L67" s="2755" t="str">
        <f t="shared" si="18"/>
        <v>2017-3</v>
      </c>
      <c r="M67" s="2755" t="str">
        <f t="shared" si="18"/>
        <v>2017-2</v>
      </c>
      <c r="N67" s="2755" t="str">
        <f t="shared" si="18"/>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2647</v>
      </c>
      <c r="B68" s="479" t="str">
        <f>"北京市平均增长率"&amp;TEXT(基准地价!P24,"0.00%")</f>
        <v>北京市平均增长率1.38%</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43" t="str">
        <f t="shared" si="24"/>
        <v>(含)-</v>
      </c>
      <c r="L109" s="3044" t="str">
        <f t="shared" si="24"/>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2425</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7"/>
      <c r="L4" s="1869" t="s">
        <v>2241</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71" t="e">
        <f>ROUND(C6+C16,0)</f>
        <v>#DIV/0!</v>
      </c>
      <c r="E5" s="3071"/>
      <c r="F5" s="1411"/>
      <c r="G5" s="1412"/>
      <c r="H5" s="1412"/>
      <c r="I5" s="1412"/>
      <c r="J5" s="1413"/>
      <c r="K5" s="3148"/>
      <c r="L5" s="1869" t="s">
        <v>2242</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0"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31"/>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20" t="s">
        <v>2781</v>
      </c>
      <c r="X8" s="3421"/>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31"/>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19"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1"/>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1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1"/>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19" t="s">
        <v>2779</v>
      </c>
      <c r="X11" s="1047"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30"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19"/>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2"/>
      <c r="B13" s="1439" t="s">
        <v>1696</v>
      </c>
      <c r="C13" s="1440" t="s">
        <v>1697</v>
      </c>
      <c r="D13" s="1084" t="s">
        <v>1698</v>
      </c>
      <c r="E13" s="1084"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419"/>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2"/>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3"/>
      <c r="B15" s="3168" t="s">
        <v>1700</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0" t="s">
        <v>1838</v>
      </c>
      <c r="B16" s="1422" t="s">
        <v>950</v>
      </c>
      <c r="C16" s="1051" t="e">
        <f>ROUND(IF(F17="与级别开发程度一致",0,(G17-E17)/C17),0)</f>
        <v>#DIV/0!</v>
      </c>
      <c r="D16" s="3427" t="s">
        <v>954</v>
      </c>
      <c r="E16" s="3428"/>
      <c r="F16" s="3427" t="s">
        <v>951</v>
      </c>
      <c r="G16" s="3428"/>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4"/>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43810</v>
      </c>
      <c r="H19" s="1462" t="s">
        <v>2993</v>
      </c>
      <c r="I19" s="2739" t="str">
        <f>IF(H19="季度增幅（自定义）",SUMIF(N21:N24,E2,O21:O24),"")</f>
        <v/>
      </c>
      <c r="J19" s="1458"/>
      <c r="K19" s="3148"/>
      <c r="L19" s="2991" t="s">
        <v>2839</v>
      </c>
      <c r="M19" s="2992">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2840</v>
      </c>
      <c r="M20" s="3157">
        <f>ROUND(SUMPRODUCT((地价!A4:A28=YEAR(G19)&amp;"-"&amp;ROUNDUP(MONTH(G19)/3,0))*(地价!B2:F2=E2)*(地价!B4:F28)),0)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2759</v>
      </c>
      <c r="C21" s="1153">
        <f>IF(B21="容积率修正",IF(G3&lt;=10,D22,J22),C23)</f>
        <v>0</v>
      </c>
      <c r="D21" s="1468"/>
      <c r="E21" s="1468"/>
      <c r="F21" s="1468"/>
      <c r="G21" s="1468"/>
      <c r="H21" s="1468"/>
      <c r="I21" s="1468"/>
      <c r="J21" s="1469"/>
      <c r="K21" s="3148"/>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1"/>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2"/>
      <c r="L24" s="1468"/>
      <c r="M24" s="1468"/>
      <c r="N24" s="1465" t="s">
        <v>981</v>
      </c>
      <c r="O24" s="3156"/>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8" t="s">
        <v>2646</v>
      </c>
      <c r="O25" s="3159"/>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7" t="s">
        <v>2960</v>
      </c>
      <c r="B33" s="1510" t="s">
        <v>999</v>
      </c>
      <c r="C33" s="1058" t="e">
        <f>ROUND(D5*C19*C20*C24*F33,0)</f>
        <v>#DIV/0!</v>
      </c>
      <c r="D33" s="1523"/>
      <c r="E33" s="1047" t="e">
        <f>ROUND(C33*D33/10000,0)</f>
        <v>#DIV/0!</v>
      </c>
      <c r="F33" s="1047">
        <f>SUMIF(修正!A45:A56,G2,修正!B45:B56)</f>
        <v>0</v>
      </c>
      <c r="G33" s="1047" t="e">
        <f>ROUND(IF(E2="工业",C33*$M$39,C33*$M$38),0)</f>
        <v>#DIV/0!</v>
      </c>
      <c r="H33" s="1047">
        <f>D33</f>
        <v>0</v>
      </c>
      <c r="I33" s="1047"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8"/>
      <c r="B34" s="1440" t="s">
        <v>1000</v>
      </c>
      <c r="C34" s="1058" t="e">
        <f>ROUND(D5*C19*C20*C24*F34,0)</f>
        <v>#DIV/0!</v>
      </c>
      <c r="D34" s="1523"/>
      <c r="E34" s="1047" t="e">
        <f t="shared" ref="E34:E39" si="6">ROUND(C34*D34/10000,0)</f>
        <v>#DIV/0!</v>
      </c>
      <c r="F34" s="1047">
        <f>SUMIF(修正!A45:A56,G2,修正!C45:C56)</f>
        <v>0</v>
      </c>
      <c r="G34" s="1047" t="e">
        <f>ROUND(IF(E2="工业",C34*$M$39,C34*$M$38),0)</f>
        <v>#DIV/0!</v>
      </c>
      <c r="H34" s="1047">
        <f t="shared" ref="H34:H39" si="7">D34</f>
        <v>0</v>
      </c>
      <c r="I34" s="1047" t="e">
        <f t="shared" ref="I34:I39" si="8">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8"/>
      <c r="B35" s="1440" t="s">
        <v>1001</v>
      </c>
      <c r="C35" s="1058" t="e">
        <f>ROUND(D5*C19*C20*C24*F35,0)</f>
        <v>#DIV/0!</v>
      </c>
      <c r="D35" s="1523"/>
      <c r="E35" s="1047" t="e">
        <f t="shared" si="6"/>
        <v>#DIV/0!</v>
      </c>
      <c r="F35" s="1047">
        <f>SUMIF(修正!A45:A56,G2,修正!D45:D56)</f>
        <v>0</v>
      </c>
      <c r="G35" s="1047" t="e">
        <f>ROUND(IF(E2="工业",C35*$M$39,C35*$M$38),0)</f>
        <v>#DIV/0!</v>
      </c>
      <c r="H35" s="1047">
        <f t="shared" si="7"/>
        <v>0</v>
      </c>
      <c r="I35" s="1047" t="e">
        <f t="shared" si="8"/>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9"/>
      <c r="B36" s="1440" t="s">
        <v>1002</v>
      </c>
      <c r="C36" s="1058" t="e">
        <f>ROUND(D5*C19*C20*C24*F36,0)</f>
        <v>#DIV/0!</v>
      </c>
      <c r="D36" s="1523"/>
      <c r="E36" s="1047" t="e">
        <f t="shared" si="6"/>
        <v>#DIV/0!</v>
      </c>
      <c r="F36" s="1047">
        <f>SUMIF(修正!A45:A56,G2,修正!E45:E56)</f>
        <v>0</v>
      </c>
      <c r="G36" s="1047" t="e">
        <f>ROUND(IF(E2="工业",C36*$M$39,C36*$M$38),0)</f>
        <v>#DIV/0!</v>
      </c>
      <c r="H36" s="1047">
        <f t="shared" si="7"/>
        <v>0</v>
      </c>
      <c r="I36" s="1047" t="e">
        <f t="shared" si="8"/>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6"/>
        <v>#DIV/0!</v>
      </c>
      <c r="F37" s="1058">
        <f>SUMIF(修正!A45:A56,G2,修正!F45:F56)</f>
        <v>0</v>
      </c>
      <c r="G37" s="1047" t="e">
        <f>ROUND(IF(E2="工业",C37*$M$39,C37*$M$38),0)</f>
        <v>#DIV/0!</v>
      </c>
      <c r="H37" s="1047">
        <f t="shared" si="7"/>
        <v>0</v>
      </c>
      <c r="I37" s="1047" t="e">
        <f t="shared" si="8"/>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6"/>
        <v>#DIV/0!</v>
      </c>
      <c r="F38" s="1058">
        <f>SUMIF(修正!A45:A56,G2,修正!G45:G56)</f>
        <v>0</v>
      </c>
      <c r="G38" s="1047" t="e">
        <f>ROUND(IF(E2="工业",C38*$M$39,C38*$M$38),0)</f>
        <v>#DIV/0!</v>
      </c>
      <c r="H38" s="1047">
        <f t="shared" si="7"/>
        <v>0</v>
      </c>
      <c r="I38" s="1047" t="e">
        <f t="shared" si="8"/>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6"/>
        <v>#DIV/0!</v>
      </c>
      <c r="F39" s="1060">
        <f>SUMIF(修正!A45:A56,G2,修正!H45:H56)</f>
        <v>0</v>
      </c>
      <c r="G39" s="1050" t="e">
        <f>ROUND(IF(E2="工业",C39*$M$39,C39*$M$38),0)</f>
        <v>#DIV/0!</v>
      </c>
      <c r="H39" s="1050">
        <f t="shared" si="7"/>
        <v>0</v>
      </c>
      <c r="I39" s="1050" t="e">
        <f t="shared" si="8"/>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2987</v>
      </c>
      <c r="C41" s="839" t="e">
        <f>ROUND(POWER(1+E41,H41-G41)*(POWER(1+E41,G41)-1)/(POWER(1+E41,H41)-1),4)</f>
        <v>#DIV/0!</v>
      </c>
      <c r="D41" s="378" t="s">
        <v>2985</v>
      </c>
      <c r="E41" s="3145">
        <f>G20</f>
        <v>0</v>
      </c>
      <c r="F41" s="378" t="s">
        <v>2986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估价对象位于XX商圈，周边商业氛围成熟，人流量大，商业繁华度好</v>
      </c>
      <c r="C47" s="1049"/>
      <c r="D47" s="2380">
        <f t="shared" ref="D47:D55" si="9">SUMIF($J$46:$N$46,C47,J47:N47)</f>
        <v>0</v>
      </c>
      <c r="E47" s="2399">
        <f>ROUND(SUM(D47:D55),4)</f>
        <v>0</v>
      </c>
      <c r="F47" s="2400" t="str">
        <f>IF(E2="商业",SUMIF(L1:L12,G2,N1:N12),"——")</f>
        <v>——</v>
      </c>
      <c r="G47" s="2378"/>
      <c r="H47" s="2424" t="str">
        <f t="shared" ref="H47:H55" si="10">IFERROR(ROUNDDOWN(($F$47*I47/2),4),"——")</f>
        <v>——</v>
      </c>
      <c r="I47" s="2398">
        <v>0.33</v>
      </c>
      <c r="J47" s="2401">
        <f t="shared" ref="J47:J55" si="11">K47+$G47</f>
        <v>0</v>
      </c>
      <c r="K47" s="2401">
        <f t="shared" ref="K47:K55" si="12">$L47+$G47</f>
        <v>0</v>
      </c>
      <c r="L47" s="2401">
        <v>0</v>
      </c>
      <c r="M47" s="2401">
        <f t="shared" ref="M47:N55" si="13">L47-$G47</f>
        <v>0</v>
      </c>
      <c r="N47" s="2401">
        <f t="shared" si="13"/>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1021</v>
      </c>
      <c r="B48" s="2371" t="str">
        <f>估价对象房地状况!C18</f>
        <v>估价对象周边道路状况、公共交通通达情况、停车便捷程度，综合评价交通便捷度较好</v>
      </c>
      <c r="C48" s="1049"/>
      <c r="D48" s="2380">
        <f t="shared" si="9"/>
        <v>0</v>
      </c>
      <c r="E48" s="2402"/>
      <c r="F48" s="2400"/>
      <c r="G48" s="2378"/>
      <c r="H48" s="2424" t="str">
        <f t="shared" si="10"/>
        <v>——</v>
      </c>
      <c r="I48" s="2398">
        <v>0.25</v>
      </c>
      <c r="J48" s="2401">
        <f t="shared" si="11"/>
        <v>0</v>
      </c>
      <c r="K48" s="2401">
        <f t="shared" si="12"/>
        <v>0</v>
      </c>
      <c r="L48" s="2401">
        <v>0</v>
      </c>
      <c r="M48" s="2401">
        <f t="shared" si="13"/>
        <v>0</v>
      </c>
      <c r="N48" s="2401">
        <f t="shared" si="13"/>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9"/>
        <v>0</v>
      </c>
      <c r="E49" s="2402"/>
      <c r="F49" s="2400"/>
      <c r="G49" s="2378"/>
      <c r="H49" s="2424" t="str">
        <f t="shared" si="10"/>
        <v>——</v>
      </c>
      <c r="I49" s="2398">
        <v>0.05</v>
      </c>
      <c r="J49" s="2401">
        <f t="shared" si="11"/>
        <v>0</v>
      </c>
      <c r="K49" s="2401">
        <f t="shared" si="12"/>
        <v>0</v>
      </c>
      <c r="L49" s="2401">
        <v>0</v>
      </c>
      <c r="M49" s="2401">
        <f t="shared" si="13"/>
        <v>0</v>
      </c>
      <c r="N49" s="2401">
        <f t="shared" si="13"/>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8" t="s">
        <v>2937</v>
      </c>
      <c r="C50" s="1049"/>
      <c r="D50" s="2380">
        <f t="shared" si="9"/>
        <v>0</v>
      </c>
      <c r="E50" s="2402"/>
      <c r="F50" s="2400"/>
      <c r="G50" s="2378"/>
      <c r="H50" s="2424" t="str">
        <f t="shared" si="10"/>
        <v>——</v>
      </c>
      <c r="I50" s="2398">
        <v>0.05</v>
      </c>
      <c r="J50" s="2401">
        <f t="shared" si="11"/>
        <v>0</v>
      </c>
      <c r="K50" s="2401">
        <f t="shared" si="12"/>
        <v>0</v>
      </c>
      <c r="L50" s="2401">
        <v>0</v>
      </c>
      <c r="M50" s="2401">
        <f t="shared" si="13"/>
        <v>0</v>
      </c>
      <c r="N50" s="2401">
        <f t="shared" si="13"/>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9"/>
        <v>0</v>
      </c>
      <c r="E51" s="2402"/>
      <c r="F51" s="2400"/>
      <c r="G51" s="2378"/>
      <c r="H51" s="2424" t="str">
        <f t="shared" si="10"/>
        <v>——</v>
      </c>
      <c r="I51" s="2398">
        <v>0.08</v>
      </c>
      <c r="J51" s="2401">
        <f t="shared" si="11"/>
        <v>0</v>
      </c>
      <c r="K51" s="2401">
        <f t="shared" si="12"/>
        <v>0</v>
      </c>
      <c r="L51" s="2401">
        <v>0</v>
      </c>
      <c r="M51" s="2401">
        <f t="shared" si="13"/>
        <v>0</v>
      </c>
      <c r="N51" s="2401">
        <f t="shared" si="13"/>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7" t="s">
        <v>2936</v>
      </c>
      <c r="C52" s="1049"/>
      <c r="D52" s="2380">
        <f t="shared" si="9"/>
        <v>0</v>
      </c>
      <c r="E52" s="2402"/>
      <c r="F52" s="2400"/>
      <c r="G52" s="2378"/>
      <c r="H52" s="2424" t="str">
        <f t="shared" si="10"/>
        <v>——</v>
      </c>
      <c r="I52" s="2398">
        <v>0.03</v>
      </c>
      <c r="J52" s="2401">
        <f t="shared" si="11"/>
        <v>0</v>
      </c>
      <c r="K52" s="2401">
        <f t="shared" si="12"/>
        <v>0</v>
      </c>
      <c r="L52" s="2401">
        <v>0</v>
      </c>
      <c r="M52" s="2401">
        <f t="shared" si="13"/>
        <v>0</v>
      </c>
      <c r="N52" s="2401">
        <f t="shared" si="13"/>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9"/>
      <c r="D53" s="2380">
        <f t="shared" si="9"/>
        <v>0</v>
      </c>
      <c r="E53" s="2402"/>
      <c r="F53" s="2400"/>
      <c r="G53" s="2378"/>
      <c r="H53" s="2424" t="str">
        <f t="shared" si="10"/>
        <v>——</v>
      </c>
      <c r="I53" s="2398">
        <v>0.05</v>
      </c>
      <c r="J53" s="2401">
        <f t="shared" si="11"/>
        <v>0</v>
      </c>
      <c r="K53" s="2401">
        <f t="shared" si="12"/>
        <v>0</v>
      </c>
      <c r="L53" s="2401">
        <v>0</v>
      </c>
      <c r="M53" s="2401">
        <f t="shared" si="13"/>
        <v>0</v>
      </c>
      <c r="N53" s="2401">
        <f t="shared" si="13"/>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9"/>
      <c r="D54" s="2380">
        <f t="shared" si="9"/>
        <v>0</v>
      </c>
      <c r="E54" s="2402"/>
      <c r="F54" s="2400"/>
      <c r="G54" s="2378"/>
      <c r="H54" s="2424" t="str">
        <f t="shared" si="10"/>
        <v>——</v>
      </c>
      <c r="I54" s="2398">
        <v>0.1</v>
      </c>
      <c r="J54" s="2401">
        <f t="shared" si="11"/>
        <v>0</v>
      </c>
      <c r="K54" s="2401">
        <f t="shared" si="12"/>
        <v>0</v>
      </c>
      <c r="L54" s="2401">
        <v>0</v>
      </c>
      <c r="M54" s="2401">
        <f t="shared" si="13"/>
        <v>0</v>
      </c>
      <c r="N54" s="2401">
        <f t="shared" si="13"/>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9"/>
      <c r="D55" s="2380">
        <f t="shared" si="9"/>
        <v>0</v>
      </c>
      <c r="E55" s="2406"/>
      <c r="F55" s="2400"/>
      <c r="G55" s="2378"/>
      <c r="H55" s="2424" t="str">
        <f t="shared" si="10"/>
        <v>——</v>
      </c>
      <c r="I55" s="2405">
        <v>0.06</v>
      </c>
      <c r="J55" s="2401">
        <f t="shared" si="11"/>
        <v>0</v>
      </c>
      <c r="K55" s="2401">
        <f t="shared" si="12"/>
        <v>0</v>
      </c>
      <c r="L55" s="2401">
        <v>0</v>
      </c>
      <c r="M55" s="2401">
        <f t="shared" si="13"/>
        <v>0</v>
      </c>
      <c r="N55" s="2401">
        <f t="shared" si="13"/>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4">SUMIF($J$57:$N$57,C58,J58:N58)</f>
        <v>0</v>
      </c>
      <c r="E58" s="2399">
        <f>ROUND(SUM(D58:D66),4)</f>
        <v>0</v>
      </c>
      <c r="F58" s="2400" t="str">
        <f>IF(E2="办公",SUMIF(L1:L12,G2,N1:N12),"——")</f>
        <v>——</v>
      </c>
      <c r="G58" s="2378"/>
      <c r="H58" s="2424" t="str">
        <f>IFERROR(ROUNDDOWN($F$58*I58/2,4),"——")</f>
        <v>——</v>
      </c>
      <c r="I58" s="2398">
        <v>0.24</v>
      </c>
      <c r="J58" s="2401">
        <f t="shared" ref="J58:J66" si="15">K58+$G58</f>
        <v>0</v>
      </c>
      <c r="K58" s="2401">
        <f t="shared" ref="K58:K66" si="16">$L58+$G58</f>
        <v>0</v>
      </c>
      <c r="L58" s="2401">
        <v>0</v>
      </c>
      <c r="M58" s="2401">
        <f t="shared" ref="M58:N66" si="17">L58-$G58</f>
        <v>0</v>
      </c>
      <c r="N58" s="2401">
        <f t="shared" si="17"/>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1021</v>
      </c>
      <c r="B59" s="2371" t="str">
        <f>估价对象房地状况!C18</f>
        <v>估价对象周边道路状况、公共交通通达情况、停车便捷程度，综合评价交通便捷度较好</v>
      </c>
      <c r="C59" s="1049"/>
      <c r="D59" s="2380">
        <f t="shared" si="14"/>
        <v>0</v>
      </c>
      <c r="E59" s="2402"/>
      <c r="F59" s="2400"/>
      <c r="G59" s="2378"/>
      <c r="H59" s="2379" t="str">
        <f t="shared" ref="H59:H66" si="18">IFERROR($F$58*I59/2,"——")</f>
        <v>——</v>
      </c>
      <c r="I59" s="2398">
        <v>0.3</v>
      </c>
      <c r="J59" s="2401">
        <f t="shared" si="15"/>
        <v>0</v>
      </c>
      <c r="K59" s="2401">
        <f t="shared" si="16"/>
        <v>0</v>
      </c>
      <c r="L59" s="2401">
        <v>0</v>
      </c>
      <c r="M59" s="2401">
        <f t="shared" si="17"/>
        <v>0</v>
      </c>
      <c r="N59" s="2401">
        <f t="shared" si="17"/>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4"/>
        <v>0</v>
      </c>
      <c r="E60" s="2402"/>
      <c r="F60" s="2400"/>
      <c r="G60" s="2378"/>
      <c r="H60" s="2379" t="str">
        <f t="shared" si="18"/>
        <v>——</v>
      </c>
      <c r="I60" s="2398">
        <v>0.08</v>
      </c>
      <c r="J60" s="2401">
        <f t="shared" si="15"/>
        <v>0</v>
      </c>
      <c r="K60" s="2401">
        <f t="shared" si="16"/>
        <v>0</v>
      </c>
      <c r="L60" s="2401">
        <v>0</v>
      </c>
      <c r="M60" s="2401">
        <f t="shared" si="17"/>
        <v>0</v>
      </c>
      <c r="N60" s="2401">
        <f t="shared" si="17"/>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8" t="s">
        <v>2938</v>
      </c>
      <c r="C61" s="1049"/>
      <c r="D61" s="2380">
        <f t="shared" si="14"/>
        <v>0</v>
      </c>
      <c r="E61" s="2402"/>
      <c r="F61" s="2400"/>
      <c r="G61" s="2378"/>
      <c r="H61" s="2379" t="str">
        <f t="shared" si="18"/>
        <v>——</v>
      </c>
      <c r="I61" s="2398">
        <v>0.04</v>
      </c>
      <c r="J61" s="2401">
        <f t="shared" si="15"/>
        <v>0</v>
      </c>
      <c r="K61" s="2401">
        <f t="shared" si="16"/>
        <v>0</v>
      </c>
      <c r="L61" s="2401">
        <v>0</v>
      </c>
      <c r="M61" s="2401">
        <f t="shared" si="17"/>
        <v>0</v>
      </c>
      <c r="N61" s="2401">
        <f t="shared" si="17"/>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4"/>
        <v>0</v>
      </c>
      <c r="E62" s="2402"/>
      <c r="F62" s="2400"/>
      <c r="G62" s="2378"/>
      <c r="H62" s="2379" t="str">
        <f t="shared" si="18"/>
        <v>——</v>
      </c>
      <c r="I62" s="2398">
        <v>0.05</v>
      </c>
      <c r="J62" s="2401">
        <f t="shared" si="15"/>
        <v>0</v>
      </c>
      <c r="K62" s="2401">
        <f t="shared" si="16"/>
        <v>0</v>
      </c>
      <c r="L62" s="2401">
        <v>0</v>
      </c>
      <c r="M62" s="2401">
        <f t="shared" si="17"/>
        <v>0</v>
      </c>
      <c r="N62" s="2401">
        <f t="shared" si="17"/>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7" t="s">
        <v>2936</v>
      </c>
      <c r="C63" s="1049"/>
      <c r="D63" s="2380">
        <f t="shared" si="14"/>
        <v>0</v>
      </c>
      <c r="E63" s="2402"/>
      <c r="F63" s="2400"/>
      <c r="G63" s="2378"/>
      <c r="H63" s="2379" t="str">
        <f t="shared" si="18"/>
        <v>——</v>
      </c>
      <c r="I63" s="2398">
        <v>0.05</v>
      </c>
      <c r="J63" s="2401">
        <f t="shared" si="15"/>
        <v>0</v>
      </c>
      <c r="K63" s="2401">
        <f t="shared" si="16"/>
        <v>0</v>
      </c>
      <c r="L63" s="2401">
        <v>0</v>
      </c>
      <c r="M63" s="2401">
        <f t="shared" si="17"/>
        <v>0</v>
      </c>
      <c r="N63" s="2401">
        <f t="shared" si="17"/>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v>
      </c>
      <c r="C64" s="1049"/>
      <c r="D64" s="2380">
        <f t="shared" si="14"/>
        <v>0</v>
      </c>
      <c r="E64" s="2402"/>
      <c r="F64" s="2400"/>
      <c r="G64" s="2378"/>
      <c r="H64" s="2379" t="str">
        <f t="shared" si="18"/>
        <v>——</v>
      </c>
      <c r="I64" s="2398">
        <v>0.06</v>
      </c>
      <c r="J64" s="2401">
        <f t="shared" si="15"/>
        <v>0</v>
      </c>
      <c r="K64" s="2401">
        <f t="shared" si="16"/>
        <v>0</v>
      </c>
      <c r="L64" s="2401">
        <v>0</v>
      </c>
      <c r="M64" s="2401">
        <f t="shared" si="17"/>
        <v>0</v>
      </c>
      <c r="N64" s="2401">
        <f t="shared" si="17"/>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v>
      </c>
      <c r="C65" s="1049"/>
      <c r="D65" s="2380">
        <f t="shared" si="14"/>
        <v>0</v>
      </c>
      <c r="E65" s="2402"/>
      <c r="F65" s="2400"/>
      <c r="G65" s="2378"/>
      <c r="H65" s="2379" t="str">
        <f t="shared" si="18"/>
        <v>——</v>
      </c>
      <c r="I65" s="2398">
        <v>0.12</v>
      </c>
      <c r="J65" s="2401">
        <f t="shared" si="15"/>
        <v>0</v>
      </c>
      <c r="K65" s="2401">
        <f t="shared" si="16"/>
        <v>0</v>
      </c>
      <c r="L65" s="2401">
        <v>0</v>
      </c>
      <c r="M65" s="2401">
        <f t="shared" si="17"/>
        <v>0</v>
      </c>
      <c r="N65" s="2401">
        <f t="shared" si="17"/>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9"/>
      <c r="D66" s="2380">
        <f t="shared" si="14"/>
        <v>0</v>
      </c>
      <c r="E66" s="2406"/>
      <c r="F66" s="2400"/>
      <c r="G66" s="2378"/>
      <c r="H66" s="2379" t="str">
        <f t="shared" si="18"/>
        <v>——</v>
      </c>
      <c r="I66" s="2405">
        <v>0.06</v>
      </c>
      <c r="J66" s="2401">
        <f t="shared" si="15"/>
        <v>0</v>
      </c>
      <c r="K66" s="2401">
        <f t="shared" si="16"/>
        <v>0</v>
      </c>
      <c r="L66" s="2401">
        <v>0</v>
      </c>
      <c r="M66" s="2401">
        <f t="shared" si="17"/>
        <v>0</v>
      </c>
      <c r="N66" s="2401">
        <f t="shared" si="17"/>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1032</v>
      </c>
      <c r="B69" s="2374" t="str">
        <f>估价对象房地状况!C15</f>
        <v>估价对象周边居住用地比例、居住小区规模和社区发展完善程度，综合评价居住社区成熟度一般</v>
      </c>
      <c r="C69" s="1154"/>
      <c r="D69" s="2380">
        <f t="shared" ref="D69:D77" si="19">SUMIF($J$68:$N$68,C69,J69:N69)</f>
        <v>0</v>
      </c>
      <c r="E69" s="2399">
        <f>ROUND(SUM(D69:D77),4)</f>
        <v>0</v>
      </c>
      <c r="F69" s="2400" t="str">
        <f>IF(E2="住宅",SUMIF(L1:L12,G2,N1:N12),"——")</f>
        <v>——</v>
      </c>
      <c r="G69" s="2381"/>
      <c r="H69" s="2425" t="str">
        <f t="shared" ref="H69:H77" si="20">IFERROR(ROUNDDOWN($F$69*I69/2,4),"——")</f>
        <v>——</v>
      </c>
      <c r="I69" s="2398">
        <v>0.14000000000000001</v>
      </c>
      <c r="J69" s="2401">
        <f t="shared" ref="J69:J77" si="21">K69+$G69</f>
        <v>0</v>
      </c>
      <c r="K69" s="2401">
        <f t="shared" ref="K69:K77" si="22">$L69+$G69</f>
        <v>0</v>
      </c>
      <c r="L69" s="2401">
        <v>0</v>
      </c>
      <c r="M69" s="2401">
        <f t="shared" ref="M69:N77" si="23">L69-$G69</f>
        <v>0</v>
      </c>
      <c r="N69" s="2401">
        <f t="shared" si="23"/>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c r="D70" s="2380">
        <f t="shared" si="19"/>
        <v>0</v>
      </c>
      <c r="E70" s="2408"/>
      <c r="F70" s="2409"/>
      <c r="G70" s="2381"/>
      <c r="H70" s="2425" t="str">
        <f t="shared" si="20"/>
        <v>——</v>
      </c>
      <c r="I70" s="2398">
        <v>0.3</v>
      </c>
      <c r="J70" s="2401">
        <f t="shared" si="21"/>
        <v>0</v>
      </c>
      <c r="K70" s="2401">
        <f t="shared" si="22"/>
        <v>0</v>
      </c>
      <c r="L70" s="2401">
        <v>0</v>
      </c>
      <c r="M70" s="2401">
        <f t="shared" si="23"/>
        <v>0</v>
      </c>
      <c r="N70" s="2401">
        <f t="shared" si="23"/>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19"/>
        <v>0</v>
      </c>
      <c r="E71" s="2408"/>
      <c r="F71" s="2409"/>
      <c r="G71" s="2381"/>
      <c r="H71" s="2425" t="str">
        <f t="shared" si="20"/>
        <v>——</v>
      </c>
      <c r="I71" s="2398">
        <v>0.08</v>
      </c>
      <c r="J71" s="2401">
        <f t="shared" si="21"/>
        <v>0</v>
      </c>
      <c r="K71" s="2401">
        <f t="shared" si="22"/>
        <v>0</v>
      </c>
      <c r="L71" s="2401">
        <v>0</v>
      </c>
      <c r="M71" s="2401">
        <f t="shared" si="23"/>
        <v>0</v>
      </c>
      <c r="N71" s="2401">
        <f t="shared" si="23"/>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f>估价对象房地状况!C24</f>
        <v>0</v>
      </c>
      <c r="C72" s="1154"/>
      <c r="D72" s="2380">
        <f t="shared" si="19"/>
        <v>0</v>
      </c>
      <c r="E72" s="2408"/>
      <c r="F72" s="2409"/>
      <c r="G72" s="2381"/>
      <c r="H72" s="2425" t="str">
        <f t="shared" si="20"/>
        <v>——</v>
      </c>
      <c r="I72" s="2398">
        <v>0.04</v>
      </c>
      <c r="J72" s="2401">
        <f t="shared" si="21"/>
        <v>0</v>
      </c>
      <c r="K72" s="2401">
        <f t="shared" si="22"/>
        <v>0</v>
      </c>
      <c r="L72" s="2401">
        <v>0</v>
      </c>
      <c r="M72" s="2401">
        <f t="shared" si="23"/>
        <v>0</v>
      </c>
      <c r="N72" s="2401">
        <f t="shared" si="23"/>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v>
      </c>
      <c r="C73" s="1154"/>
      <c r="D73" s="2380">
        <f t="shared" si="19"/>
        <v>0</v>
      </c>
      <c r="E73" s="2408"/>
      <c r="F73" s="2409"/>
      <c r="G73" s="2381"/>
      <c r="H73" s="2425" t="str">
        <f t="shared" si="20"/>
        <v>——</v>
      </c>
      <c r="I73" s="2398">
        <v>0.08</v>
      </c>
      <c r="J73" s="2401">
        <f t="shared" si="21"/>
        <v>0</v>
      </c>
      <c r="K73" s="2401">
        <f t="shared" si="22"/>
        <v>0</v>
      </c>
      <c r="L73" s="2401">
        <v>0</v>
      </c>
      <c r="M73" s="2401">
        <f t="shared" si="23"/>
        <v>0</v>
      </c>
      <c r="N73" s="2401">
        <f t="shared" si="23"/>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v>
      </c>
      <c r="C74" s="1154"/>
      <c r="D74" s="2380">
        <f t="shared" si="19"/>
        <v>0</v>
      </c>
      <c r="E74" s="2408"/>
      <c r="F74" s="2409"/>
      <c r="G74" s="2381"/>
      <c r="H74" s="2425" t="str">
        <f t="shared" si="20"/>
        <v>——</v>
      </c>
      <c r="I74" s="2398">
        <v>0.12</v>
      </c>
      <c r="J74" s="2401">
        <f t="shared" si="21"/>
        <v>0</v>
      </c>
      <c r="K74" s="2401">
        <f t="shared" si="22"/>
        <v>0</v>
      </c>
      <c r="L74" s="2401">
        <v>0</v>
      </c>
      <c r="M74" s="2401">
        <f t="shared" si="23"/>
        <v>0</v>
      </c>
      <c r="N74" s="2401">
        <f t="shared" si="23"/>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7" t="s">
        <v>2936</v>
      </c>
      <c r="C75" s="1154"/>
      <c r="D75" s="2380">
        <f t="shared" si="19"/>
        <v>0</v>
      </c>
      <c r="E75" s="2408"/>
      <c r="F75" s="2409"/>
      <c r="G75" s="2381"/>
      <c r="H75" s="2425" t="str">
        <f t="shared" si="20"/>
        <v>——</v>
      </c>
      <c r="I75" s="2398">
        <v>0.05</v>
      </c>
      <c r="J75" s="2401">
        <f t="shared" si="21"/>
        <v>0</v>
      </c>
      <c r="K75" s="2401">
        <f t="shared" si="22"/>
        <v>0</v>
      </c>
      <c r="L75" s="2401">
        <v>0</v>
      </c>
      <c r="M75" s="2401">
        <f t="shared" si="23"/>
        <v>0</v>
      </c>
      <c r="N75" s="2401">
        <f t="shared" si="23"/>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1028</v>
      </c>
      <c r="B76" s="2374" t="str">
        <f>估价对象房地状况!C20</f>
        <v>区域自然环境：；人文环境；综合评价环境状况一般</v>
      </c>
      <c r="C76" s="1154"/>
      <c r="D76" s="2380">
        <f t="shared" si="19"/>
        <v>0</v>
      </c>
      <c r="E76" s="2408"/>
      <c r="F76" s="2409"/>
      <c r="G76" s="2381"/>
      <c r="H76" s="2425" t="str">
        <f t="shared" si="20"/>
        <v>——</v>
      </c>
      <c r="I76" s="2398">
        <v>0.15</v>
      </c>
      <c r="J76" s="2401">
        <f t="shared" si="21"/>
        <v>0</v>
      </c>
      <c r="K76" s="2401">
        <f t="shared" si="22"/>
        <v>0</v>
      </c>
      <c r="L76" s="2401">
        <v>0</v>
      </c>
      <c r="M76" s="2401">
        <f t="shared" si="23"/>
        <v>0</v>
      </c>
      <c r="N76" s="2401">
        <f t="shared" si="23"/>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19"/>
        <v>0</v>
      </c>
      <c r="E77" s="2410"/>
      <c r="F77" s="2409"/>
      <c r="G77" s="2381"/>
      <c r="H77" s="2425" t="str">
        <f t="shared" si="20"/>
        <v>——</v>
      </c>
      <c r="I77" s="2405">
        <v>0.04</v>
      </c>
      <c r="J77" s="2401">
        <f t="shared" si="21"/>
        <v>0</v>
      </c>
      <c r="K77" s="2401">
        <f t="shared" si="22"/>
        <v>0</v>
      </c>
      <c r="L77" s="2401">
        <v>0</v>
      </c>
      <c r="M77" s="2401">
        <f t="shared" si="23"/>
        <v>0</v>
      </c>
      <c r="N77" s="2401">
        <f t="shared" si="23"/>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4">SUMIF($J$79:$N$79,C80,J80:N80)</f>
        <v>0</v>
      </c>
      <c r="E80" s="2399">
        <f>ROUND(SUM(D80:D87),4)</f>
        <v>0</v>
      </c>
      <c r="F80" s="2400" t="str">
        <f>IF(E2="工业",SUMIF(L1:L12,G2,N1:N12),"——")</f>
        <v>——</v>
      </c>
      <c r="G80" s="2378"/>
      <c r="H80" s="2424" t="str">
        <f t="shared" ref="H80:H87" si="25">IFERROR(ROUNDDOWN($F$80*I80/2,4),"——")</f>
        <v>——</v>
      </c>
      <c r="I80" s="2398">
        <v>0.26</v>
      </c>
      <c r="J80" s="2401">
        <f t="shared" ref="J80:J87" si="26">K80+$G80</f>
        <v>0</v>
      </c>
      <c r="K80" s="2401">
        <f t="shared" ref="K80:K87" si="27">$L80+$G80</f>
        <v>0</v>
      </c>
      <c r="L80" s="2401">
        <v>0</v>
      </c>
      <c r="M80" s="2401">
        <f t="shared" ref="M80:N87" si="28">L80-$G80</f>
        <v>0</v>
      </c>
      <c r="N80" s="2401">
        <f t="shared" si="28"/>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4"/>
        <v>0</v>
      </c>
      <c r="E81" s="2408"/>
      <c r="F81" s="2409"/>
      <c r="G81" s="2378"/>
      <c r="H81" s="2424" t="str">
        <f t="shared" si="25"/>
        <v>——</v>
      </c>
      <c r="I81" s="2398">
        <v>0.33</v>
      </c>
      <c r="J81" s="2401">
        <f t="shared" si="26"/>
        <v>0</v>
      </c>
      <c r="K81" s="2401">
        <f t="shared" si="27"/>
        <v>0</v>
      </c>
      <c r="L81" s="2401">
        <v>0</v>
      </c>
      <c r="M81" s="2401">
        <f t="shared" si="28"/>
        <v>0</v>
      </c>
      <c r="N81" s="2401">
        <f t="shared" si="28"/>
        <v>0</v>
      </c>
      <c r="AC81" s="1400"/>
      <c r="AD81" s="1399"/>
      <c r="AJ81" s="1398"/>
      <c r="AN81" s="1399"/>
    </row>
    <row r="82" spans="1:40" ht="24">
      <c r="A82" s="1062" t="s">
        <v>1022</v>
      </c>
      <c r="B82" s="2371">
        <f>估价对象房地状况!G17</f>
        <v>0</v>
      </c>
      <c r="C82" s="1049"/>
      <c r="D82" s="2380">
        <f t="shared" si="24"/>
        <v>0</v>
      </c>
      <c r="E82" s="2408"/>
      <c r="F82" s="2409"/>
      <c r="G82" s="2378"/>
      <c r="H82" s="2424" t="str">
        <f t="shared" si="25"/>
        <v>——</v>
      </c>
      <c r="I82" s="2398">
        <v>0.05</v>
      </c>
      <c r="J82" s="2401">
        <f t="shared" si="26"/>
        <v>0</v>
      </c>
      <c r="K82" s="2401">
        <f t="shared" si="27"/>
        <v>0</v>
      </c>
      <c r="L82" s="2401">
        <v>0</v>
      </c>
      <c r="M82" s="2401">
        <f t="shared" si="28"/>
        <v>0</v>
      </c>
      <c r="N82" s="2401">
        <f t="shared" si="28"/>
        <v>0</v>
      </c>
      <c r="AC82" s="1400"/>
      <c r="AD82" s="1399"/>
      <c r="AJ82" s="1398"/>
      <c r="AN82" s="1399"/>
    </row>
    <row r="83" spans="1:40" ht="14.25">
      <c r="A83" s="1062" t="s">
        <v>1034</v>
      </c>
      <c r="B83" s="2371">
        <f>估价对象房地状况!G22</f>
        <v>0</v>
      </c>
      <c r="C83" s="1049"/>
      <c r="D83" s="2380">
        <f t="shared" si="24"/>
        <v>0</v>
      </c>
      <c r="E83" s="2408"/>
      <c r="F83" s="2409"/>
      <c r="G83" s="2378"/>
      <c r="H83" s="2424" t="str">
        <f t="shared" si="25"/>
        <v>——</v>
      </c>
      <c r="I83" s="2398">
        <v>0.04</v>
      </c>
      <c r="J83" s="2401">
        <f t="shared" si="26"/>
        <v>0</v>
      </c>
      <c r="K83" s="2401">
        <f t="shared" si="27"/>
        <v>0</v>
      </c>
      <c r="L83" s="2401">
        <v>0</v>
      </c>
      <c r="M83" s="2401">
        <f t="shared" si="28"/>
        <v>0</v>
      </c>
      <c r="N83" s="2401">
        <f t="shared" si="28"/>
        <v>0</v>
      </c>
      <c r="AC83" s="1400"/>
      <c r="AD83" s="1399"/>
      <c r="AJ83" s="1398"/>
      <c r="AN83" s="1399"/>
    </row>
    <row r="84" spans="1:40" ht="24">
      <c r="A84" s="1062" t="s">
        <v>1026</v>
      </c>
      <c r="B84" s="2372" t="str">
        <f>估价对象房地状况!G19</f>
        <v>估价对象所在区域公共配套设施齐备情况</v>
      </c>
      <c r="C84" s="1049"/>
      <c r="D84" s="2380">
        <f t="shared" si="24"/>
        <v>0</v>
      </c>
      <c r="E84" s="2408"/>
      <c r="F84" s="2409"/>
      <c r="G84" s="2378"/>
      <c r="H84" s="2424" t="str">
        <f t="shared" si="25"/>
        <v>——</v>
      </c>
      <c r="I84" s="2398">
        <v>0.06</v>
      </c>
      <c r="J84" s="2401">
        <f t="shared" si="26"/>
        <v>0</v>
      </c>
      <c r="K84" s="2401">
        <f t="shared" si="27"/>
        <v>0</v>
      </c>
      <c r="L84" s="2401">
        <v>0</v>
      </c>
      <c r="M84" s="2401">
        <f t="shared" si="28"/>
        <v>0</v>
      </c>
      <c r="N84" s="2401">
        <f t="shared" si="28"/>
        <v>0</v>
      </c>
      <c r="AC84" s="1400"/>
      <c r="AD84" s="1399"/>
      <c r="AJ84" s="1398"/>
      <c r="AN84" s="1399"/>
    </row>
    <row r="85" spans="1:40" ht="24">
      <c r="A85" s="1062" t="s">
        <v>1027</v>
      </c>
      <c r="B85" s="2372" t="str">
        <f>估价对象房地状况!G20</f>
        <v>估价对象所在区域基础设施水平</v>
      </c>
      <c r="C85" s="1049"/>
      <c r="D85" s="2380">
        <f t="shared" si="24"/>
        <v>0</v>
      </c>
      <c r="E85" s="2408"/>
      <c r="F85" s="2409"/>
      <c r="G85" s="2378"/>
      <c r="H85" s="2424" t="str">
        <f t="shared" si="25"/>
        <v>——</v>
      </c>
      <c r="I85" s="2398">
        <v>0.15</v>
      </c>
      <c r="J85" s="2401">
        <f t="shared" si="26"/>
        <v>0</v>
      </c>
      <c r="K85" s="2401">
        <f t="shared" si="27"/>
        <v>0</v>
      </c>
      <c r="L85" s="2401">
        <v>0</v>
      </c>
      <c r="M85" s="2401">
        <f t="shared" si="28"/>
        <v>0</v>
      </c>
      <c r="N85" s="2401">
        <f t="shared" si="28"/>
        <v>0</v>
      </c>
      <c r="AC85" s="1400"/>
      <c r="AD85" s="1399"/>
      <c r="AJ85" s="1398"/>
      <c r="AN85" s="1399"/>
    </row>
    <row r="86" spans="1:40" ht="24">
      <c r="A86" s="1062" t="s">
        <v>1025</v>
      </c>
      <c r="B86" s="3047" t="s">
        <v>2936</v>
      </c>
      <c r="C86" s="1049"/>
      <c r="D86" s="2380">
        <f t="shared" si="24"/>
        <v>0</v>
      </c>
      <c r="E86" s="2408"/>
      <c r="F86" s="2409"/>
      <c r="G86" s="2378"/>
      <c r="H86" s="2424" t="str">
        <f t="shared" si="25"/>
        <v>——</v>
      </c>
      <c r="I86" s="2398">
        <v>0.05</v>
      </c>
      <c r="J86" s="2401">
        <f t="shared" si="26"/>
        <v>0</v>
      </c>
      <c r="K86" s="2401">
        <f t="shared" si="27"/>
        <v>0</v>
      </c>
      <c r="L86" s="2401">
        <v>0</v>
      </c>
      <c r="M86" s="2401">
        <f t="shared" si="28"/>
        <v>0</v>
      </c>
      <c r="N86" s="2401">
        <f t="shared" si="28"/>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4"/>
        <v>0</v>
      </c>
      <c r="E87" s="2410"/>
      <c r="F87" s="2409"/>
      <c r="G87" s="2378"/>
      <c r="H87" s="2424" t="str">
        <f t="shared" si="25"/>
        <v>——</v>
      </c>
      <c r="I87" s="2405">
        <v>0.06</v>
      </c>
      <c r="J87" s="2401">
        <f t="shared" si="26"/>
        <v>0</v>
      </c>
      <c r="K87" s="2401">
        <f t="shared" si="27"/>
        <v>0</v>
      </c>
      <c r="L87" s="2401">
        <v>0</v>
      </c>
      <c r="M87" s="2401">
        <f t="shared" si="28"/>
        <v>0</v>
      </c>
      <c r="N87" s="2401">
        <f t="shared" si="28"/>
        <v>0</v>
      </c>
      <c r="AC87" s="1400"/>
      <c r="AD87" s="1399"/>
      <c r="AJ87" s="1398"/>
      <c r="AN87" s="1399"/>
    </row>
    <row r="90" spans="1:40">
      <c r="A90" s="3435" t="s">
        <v>1633</v>
      </c>
      <c r="B90" s="3435"/>
      <c r="C90" s="3435"/>
      <c r="D90" s="3435"/>
      <c r="E90" s="3435"/>
      <c r="F90" s="3435"/>
      <c r="G90" s="3435"/>
      <c r="H90" s="3435"/>
      <c r="I90" s="3435"/>
      <c r="J90" s="3435"/>
      <c r="K90" s="2413"/>
      <c r="L90" s="2413"/>
      <c r="M90" s="2413"/>
      <c r="N90" s="2413"/>
    </row>
    <row r="91" spans="1:40">
      <c r="A91" s="3436" t="s">
        <v>1443</v>
      </c>
      <c r="B91" s="3436" t="s">
        <v>1634</v>
      </c>
      <c r="C91" s="1135" t="s">
        <v>1635</v>
      </c>
      <c r="D91" s="1136"/>
      <c r="E91" s="1136"/>
      <c r="F91" s="1136"/>
      <c r="G91" s="1136"/>
      <c r="H91" s="1136"/>
      <c r="I91" s="1136"/>
      <c r="J91" s="1137"/>
      <c r="K91" s="1129"/>
      <c r="L91" s="1129"/>
      <c r="M91" s="1129"/>
      <c r="N91" s="1129"/>
    </row>
    <row r="92" spans="1:40">
      <c r="A92" s="3436"/>
      <c r="B92" s="343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2"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3"/>
      <c r="B99" s="1138" t="s">
        <v>1636</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42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2" t="s">
        <v>1637</v>
      </c>
      <c r="B101" s="1142" t="s">
        <v>906</v>
      </c>
      <c r="C101" s="1143">
        <f>$G$3</f>
        <v>0</v>
      </c>
      <c r="D101" s="1143">
        <f t="shared" ref="D101:N101" si="30">$G$3</f>
        <v>0</v>
      </c>
      <c r="E101" s="1143">
        <f t="shared" si="30"/>
        <v>0</v>
      </c>
      <c r="F101" s="1143">
        <f t="shared" si="30"/>
        <v>0</v>
      </c>
      <c r="G101" s="1143">
        <f t="shared" si="30"/>
        <v>0</v>
      </c>
      <c r="H101" s="1143">
        <f t="shared" si="30"/>
        <v>0</v>
      </c>
      <c r="I101" s="1143">
        <f t="shared" si="30"/>
        <v>0</v>
      </c>
      <c r="J101" s="1143">
        <f t="shared" si="30"/>
        <v>0</v>
      </c>
      <c r="K101" s="1143">
        <f t="shared" si="30"/>
        <v>0</v>
      </c>
      <c r="L101" s="1143">
        <f t="shared" si="30"/>
        <v>0</v>
      </c>
      <c r="M101" s="1143">
        <f t="shared" si="30"/>
        <v>0</v>
      </c>
      <c r="N101" s="1143">
        <f t="shared" si="30"/>
        <v>0</v>
      </c>
    </row>
    <row r="102" spans="1:14">
      <c r="A102" s="3423"/>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3"/>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3"/>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3"/>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3"/>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3"/>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3"/>
      <c r="B108" s="3425" t="s">
        <v>1638</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424"/>
      <c r="B109" s="3426"/>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9" t="s">
        <v>1639</v>
      </c>
      <c r="B110" s="3429"/>
      <c r="C110" s="3429"/>
      <c r="D110" s="3429"/>
      <c r="E110" s="3429"/>
      <c r="F110" s="3429"/>
      <c r="G110" s="3429"/>
      <c r="H110" s="3429"/>
      <c r="I110" s="3429"/>
      <c r="J110" s="3429"/>
      <c r="K110" s="2411"/>
      <c r="L110" s="2411"/>
      <c r="M110" s="2411"/>
      <c r="N110" s="2411"/>
    </row>
    <row r="112" spans="1:14" ht="12.75" thickBot="1"/>
    <row r="113" spans="1:13" ht="25.5"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2">I115</f>
        <v>0.68899999999999995</v>
      </c>
      <c r="K115" s="1029">
        <f t="shared" si="32"/>
        <v>0.68899999999999995</v>
      </c>
      <c r="L115" s="1029">
        <f t="shared" si="32"/>
        <v>0.68899999999999995</v>
      </c>
      <c r="M115" s="1030">
        <f t="shared" si="32"/>
        <v>0.68899999999999995</v>
      </c>
    </row>
    <row r="116" spans="1:13" ht="12.75">
      <c r="A116" s="1028" t="s">
        <v>901</v>
      </c>
      <c r="B116" s="1029">
        <f>ROUND(0.949-0.012*B113,4)</f>
        <v>0.94899999999999995</v>
      </c>
      <c r="C116" s="1029">
        <f>B116</f>
        <v>0.94899999999999995</v>
      </c>
      <c r="D116" s="1029">
        <f>ROUND(0.8567-0.013*B113,4)</f>
        <v>0.85670000000000002</v>
      </c>
      <c r="E116" s="1029">
        <f t="shared" ref="E116:H117" si="33">D116</f>
        <v>0.85670000000000002</v>
      </c>
      <c r="F116" s="1029">
        <f t="shared" si="33"/>
        <v>0.85670000000000002</v>
      </c>
      <c r="G116" s="1029">
        <f t="shared" si="33"/>
        <v>0.85670000000000002</v>
      </c>
      <c r="H116" s="1029">
        <f t="shared" si="33"/>
        <v>0.85670000000000002</v>
      </c>
      <c r="I116" s="1029">
        <f>ROUND(0.7694-0.014*B113,4)</f>
        <v>0.76939999999999997</v>
      </c>
      <c r="J116" s="1029">
        <f t="shared" si="32"/>
        <v>0.76939999999999997</v>
      </c>
      <c r="K116" s="1029">
        <f t="shared" si="32"/>
        <v>0.76939999999999997</v>
      </c>
      <c r="L116" s="1029">
        <f t="shared" si="32"/>
        <v>0.76939999999999997</v>
      </c>
      <c r="M116" s="1030">
        <f t="shared" si="32"/>
        <v>0.76939999999999997</v>
      </c>
    </row>
    <row r="117" spans="1:13" ht="12.75">
      <c r="A117" s="1031" t="s">
        <v>902</v>
      </c>
      <c r="B117" s="1029">
        <f>ROUND(0.8808-0.006*B113,4)</f>
        <v>0.88080000000000003</v>
      </c>
      <c r="C117" s="1029">
        <f>B117</f>
        <v>0.88080000000000003</v>
      </c>
      <c r="D117" s="1029">
        <f>ROUND(0.8748-0.008*B113,4)</f>
        <v>0.87480000000000002</v>
      </c>
      <c r="E117" s="1029">
        <f t="shared" si="33"/>
        <v>0.87480000000000002</v>
      </c>
      <c r="F117" s="1029">
        <f t="shared" si="33"/>
        <v>0.87480000000000002</v>
      </c>
      <c r="G117" s="1029">
        <f t="shared" si="33"/>
        <v>0.87480000000000002</v>
      </c>
      <c r="H117" s="1029">
        <f t="shared" si="33"/>
        <v>0.87480000000000002</v>
      </c>
      <c r="I117" s="1029">
        <f>ROUND(0.7412-0.0095*B113,4)</f>
        <v>0.74119999999999997</v>
      </c>
      <c r="J117" s="1029">
        <f t="shared" si="32"/>
        <v>0.74119999999999997</v>
      </c>
      <c r="K117" s="1029">
        <f t="shared" si="32"/>
        <v>0.74119999999999997</v>
      </c>
      <c r="L117" s="1029">
        <f t="shared" si="32"/>
        <v>0.74119999999999997</v>
      </c>
      <c r="M117" s="1030">
        <f t="shared" si="32"/>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2"/>
        <v>0.56669999999999998</v>
      </c>
      <c r="K118" s="1033">
        <f t="shared" si="32"/>
        <v>0.56669999999999998</v>
      </c>
      <c r="L118" s="1033">
        <f t="shared" si="32"/>
        <v>0.56669999999999998</v>
      </c>
      <c r="M118" s="1034">
        <f t="shared" si="32"/>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SUM(J6:J10,J13)</f>
        <v>155</v>
      </c>
      <c r="K15" s="3062">
        <f>SUM(K6:K10,K13)</f>
        <v>155</v>
      </c>
      <c r="L15" s="3062">
        <f>SUM(L6:L10,L13)</f>
        <v>155</v>
      </c>
      <c r="M15" s="3062">
        <f>SUM(M6:M10,M13)</f>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6" t="s">
        <v>1007</v>
      </c>
      <c r="B18" s="1149" t="s">
        <v>1446</v>
      </c>
      <c r="C18" s="1126" t="s">
        <v>1447</v>
      </c>
      <c r="D18" s="1127"/>
      <c r="E18" s="1149">
        <v>1</v>
      </c>
      <c r="F18" s="1128" t="s">
        <v>1448</v>
      </c>
      <c r="G18" s="1129"/>
      <c r="H18" s="1100"/>
      <c r="I18" s="1100"/>
    </row>
    <row r="19" spans="1:9" s="1583" customFormat="1" ht="19.5" customHeight="1">
      <c r="A19" s="3436"/>
      <c r="B19" s="3436" t="s">
        <v>1449</v>
      </c>
      <c r="C19" s="1126" t="s">
        <v>1450</v>
      </c>
      <c r="D19" s="1127"/>
      <c r="E19" s="1149">
        <v>0.9</v>
      </c>
      <c r="F19" s="1128" t="s">
        <v>1451</v>
      </c>
      <c r="G19" s="1129"/>
      <c r="H19" s="1100"/>
      <c r="I19" s="1100"/>
    </row>
    <row r="20" spans="1:9" s="1583" customFormat="1" ht="19.5" customHeight="1">
      <c r="A20" s="3436"/>
      <c r="B20" s="3436"/>
      <c r="C20" s="1126" t="s">
        <v>1452</v>
      </c>
      <c r="D20" s="1127"/>
      <c r="E20" s="1149">
        <v>1.1000000000000001</v>
      </c>
      <c r="F20" s="1128" t="s">
        <v>1453</v>
      </c>
      <c r="G20" s="1129"/>
      <c r="H20" s="1100"/>
      <c r="I20" s="1100"/>
    </row>
    <row r="21" spans="1:9" s="1583" customFormat="1" ht="19.5" customHeight="1">
      <c r="A21" s="3436"/>
      <c r="B21" s="3436"/>
      <c r="C21" s="1126" t="s">
        <v>1454</v>
      </c>
      <c r="D21" s="1127"/>
      <c r="E21" s="1149">
        <v>0.8</v>
      </c>
      <c r="F21" s="1128" t="s">
        <v>1455</v>
      </c>
      <c r="G21" s="1129"/>
      <c r="H21" s="1100"/>
      <c r="I21" s="1100"/>
    </row>
    <row r="22" spans="1:9" s="1583" customFormat="1" ht="19.5" customHeight="1">
      <c r="A22" s="3436"/>
      <c r="B22" s="3436"/>
      <c r="C22" s="1126" t="s">
        <v>1456</v>
      </c>
      <c r="D22" s="1127"/>
      <c r="E22" s="1149">
        <v>0.5</v>
      </c>
      <c r="F22" s="1128"/>
      <c r="G22" s="1129"/>
      <c r="H22" s="1100"/>
      <c r="I22" s="1100"/>
    </row>
    <row r="23" spans="1:9" s="1583" customFormat="1" ht="19.5" customHeight="1">
      <c r="A23" s="3436" t="s">
        <v>1029</v>
      </c>
      <c r="B23" s="1149" t="s">
        <v>1446</v>
      </c>
      <c r="C23" s="1126" t="s">
        <v>1457</v>
      </c>
      <c r="D23" s="1127"/>
      <c r="E23" s="1149">
        <v>1</v>
      </c>
      <c r="F23" s="1128" t="s">
        <v>1458</v>
      </c>
      <c r="G23" s="1129"/>
      <c r="H23" s="1100"/>
      <c r="I23" s="1100"/>
    </row>
    <row r="24" spans="1:9" s="1583" customFormat="1" ht="19.5" customHeight="1">
      <c r="A24" s="3436"/>
      <c r="B24" s="3436" t="s">
        <v>1449</v>
      </c>
      <c r="C24" s="1126" t="s">
        <v>1459</v>
      </c>
      <c r="D24" s="1127"/>
      <c r="E24" s="1149">
        <v>0.5</v>
      </c>
      <c r="F24" s="1128"/>
      <c r="G24" s="1129"/>
      <c r="H24" s="1100"/>
      <c r="I24" s="1100"/>
    </row>
    <row r="25" spans="1:9" s="1583" customFormat="1" ht="19.5" customHeight="1">
      <c r="A25" s="3436"/>
      <c r="B25" s="3436"/>
      <c r="C25" s="1126" t="s">
        <v>1460</v>
      </c>
      <c r="D25" s="1127"/>
      <c r="E25" s="1149">
        <v>1.1000000000000001</v>
      </c>
      <c r="F25" s="1128"/>
      <c r="G25" s="1129"/>
      <c r="H25" s="1100"/>
      <c r="I25" s="1100"/>
    </row>
    <row r="26" spans="1:9" s="1583" customFormat="1" ht="19.5" customHeight="1">
      <c r="A26" s="3436"/>
      <c r="B26" s="3436"/>
      <c r="C26" s="1126" t="s">
        <v>1461</v>
      </c>
      <c r="D26" s="1127"/>
      <c r="E26" s="1149">
        <v>1.1000000000000001</v>
      </c>
      <c r="F26" s="1128"/>
      <c r="G26" s="1129"/>
      <c r="H26" s="1100"/>
      <c r="I26" s="1100"/>
    </row>
    <row r="27" spans="1:9" s="1583" customFormat="1" ht="19.5" customHeight="1">
      <c r="A27" s="3436"/>
      <c r="B27" s="3436"/>
      <c r="C27" s="1126" t="s">
        <v>1462</v>
      </c>
      <c r="D27" s="1127"/>
      <c r="E27" s="1149">
        <v>0.9</v>
      </c>
      <c r="F27" s="1128" t="s">
        <v>1463</v>
      </c>
      <c r="G27" s="1129"/>
      <c r="H27" s="1100"/>
      <c r="I27" s="1100"/>
    </row>
    <row r="28" spans="1:9" s="1583" customFormat="1" ht="19.5" customHeight="1">
      <c r="A28" s="3436"/>
      <c r="B28" s="3436"/>
      <c r="C28" s="1126" t="s">
        <v>1464</v>
      </c>
      <c r="D28" s="1127"/>
      <c r="E28" s="1149">
        <v>0.9</v>
      </c>
      <c r="F28" s="1128" t="s">
        <v>1465</v>
      </c>
      <c r="G28" s="1129"/>
      <c r="H28" s="1100"/>
      <c r="I28" s="1100"/>
    </row>
    <row r="29" spans="1:9" s="1583" customFormat="1" ht="19.5" customHeight="1">
      <c r="A29" s="3436"/>
      <c r="B29" s="3436"/>
      <c r="C29" s="1126" t="s">
        <v>1466</v>
      </c>
      <c r="D29" s="1127"/>
      <c r="E29" s="1149">
        <v>0.9</v>
      </c>
      <c r="F29" s="1128" t="s">
        <v>1467</v>
      </c>
      <c r="G29" s="1129"/>
      <c r="H29" s="1100"/>
      <c r="I29" s="1100"/>
    </row>
    <row r="30" spans="1:9" s="1583" customFormat="1" ht="19.5" customHeight="1">
      <c r="A30" s="3436"/>
      <c r="B30" s="3436"/>
      <c r="C30" s="1126" t="s">
        <v>1468</v>
      </c>
      <c r="D30" s="1127"/>
      <c r="E30" s="1149">
        <v>0.9</v>
      </c>
      <c r="F30" s="1128" t="s">
        <v>1469</v>
      </c>
      <c r="G30" s="1129"/>
      <c r="H30" s="1100"/>
      <c r="I30" s="1100"/>
    </row>
    <row r="31" spans="1:9" s="1583" customFormat="1" ht="19.5" customHeight="1">
      <c r="A31" s="3436"/>
      <c r="B31" s="3436"/>
      <c r="C31" s="1126" t="s">
        <v>1470</v>
      </c>
      <c r="D31" s="1127"/>
      <c r="E31" s="1149">
        <v>0.8</v>
      </c>
      <c r="F31" s="1128" t="s">
        <v>1471</v>
      </c>
      <c r="G31" s="1129"/>
      <c r="H31" s="1100"/>
      <c r="I31" s="1100"/>
    </row>
    <row r="32" spans="1:9" s="1583" customFormat="1" ht="19.5" customHeight="1">
      <c r="A32" s="3436"/>
      <c r="B32" s="3436"/>
      <c r="C32" s="1126" t="s">
        <v>1472</v>
      </c>
      <c r="D32" s="1127"/>
      <c r="E32" s="1149">
        <v>0.8</v>
      </c>
      <c r="F32" s="1128" t="s">
        <v>1473</v>
      </c>
      <c r="G32" s="1129"/>
      <c r="H32" s="1100"/>
      <c r="I32" s="1100"/>
    </row>
    <row r="33" spans="1:9" s="1583" customFormat="1" ht="19.5" customHeight="1">
      <c r="A33" s="3436" t="s">
        <v>1474</v>
      </c>
      <c r="B33" s="1149" t="s">
        <v>1446</v>
      </c>
      <c r="C33" s="1126" t="s">
        <v>1475</v>
      </c>
      <c r="D33" s="1127"/>
      <c r="E33" s="1149">
        <v>1</v>
      </c>
      <c r="F33" s="1128" t="s">
        <v>1476</v>
      </c>
      <c r="G33" s="1129"/>
      <c r="H33" s="1100"/>
      <c r="I33" s="1100"/>
    </row>
    <row r="34" spans="1:9" s="1583" customFormat="1" ht="19.5" customHeight="1">
      <c r="A34" s="3436"/>
      <c r="B34" s="1149" t="s">
        <v>1449</v>
      </c>
      <c r="C34" s="1126" t="s">
        <v>1477</v>
      </c>
      <c r="D34" s="1127"/>
      <c r="E34" s="1149">
        <v>1.5</v>
      </c>
      <c r="F34" s="1128" t="s">
        <v>1478</v>
      </c>
      <c r="G34" s="1129"/>
      <c r="H34" s="1100"/>
      <c r="I34" s="1100"/>
    </row>
    <row r="35" spans="1:9" s="1583" customFormat="1" ht="19.5" customHeight="1">
      <c r="A35" s="3436" t="s">
        <v>1432</v>
      </c>
      <c r="B35" s="1149" t="s">
        <v>1446</v>
      </c>
      <c r="C35" s="1126" t="s">
        <v>1479</v>
      </c>
      <c r="D35" s="1127"/>
      <c r="E35" s="1149">
        <v>1</v>
      </c>
      <c r="F35" s="1128" t="s">
        <v>1480</v>
      </c>
      <c r="G35" s="1129"/>
      <c r="H35" s="1100"/>
      <c r="I35" s="1100"/>
    </row>
    <row r="36" spans="1:9" s="1583" customFormat="1" ht="19.5" customHeight="1">
      <c r="A36" s="3436"/>
      <c r="B36" s="3436" t="s">
        <v>1449</v>
      </c>
      <c r="C36" s="1126" t="s">
        <v>1481</v>
      </c>
      <c r="D36" s="1127"/>
      <c r="E36" s="1149">
        <v>1</v>
      </c>
      <c r="F36" s="1128" t="s">
        <v>1482</v>
      </c>
      <c r="G36" s="1129"/>
      <c r="H36" s="1100"/>
      <c r="I36" s="1100"/>
    </row>
    <row r="37" spans="1:9" s="1583" customFormat="1" ht="19.5" customHeight="1">
      <c r="A37" s="3436"/>
      <c r="B37" s="3436"/>
      <c r="C37" s="1126" t="s">
        <v>1483</v>
      </c>
      <c r="D37" s="1127"/>
      <c r="E37" s="1149">
        <v>1.5</v>
      </c>
      <c r="F37" s="1128" t="s">
        <v>1484</v>
      </c>
      <c r="G37" s="1129"/>
      <c r="H37" s="1100"/>
      <c r="I37" s="1100"/>
    </row>
    <row r="38" spans="1:9" s="1583" customFormat="1" ht="19.5" customHeight="1">
      <c r="A38" s="3436"/>
      <c r="B38" s="3436"/>
      <c r="C38" s="1126" t="s">
        <v>1485</v>
      </c>
      <c r="D38" s="1127"/>
      <c r="E38" s="1149">
        <v>1</v>
      </c>
      <c r="F38" s="1128" t="s">
        <v>1486</v>
      </c>
      <c r="G38" s="1129"/>
      <c r="H38" s="1100"/>
      <c r="I38" s="1100"/>
    </row>
    <row r="39" spans="1:9" s="1583" customFormat="1" ht="19.5" customHeight="1">
      <c r="A39" s="3436"/>
      <c r="B39" s="3436"/>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6" t="s">
        <v>1501</v>
      </c>
      <c r="C61" s="1063" t="s">
        <v>1502</v>
      </c>
      <c r="D61" s="1063" t="s">
        <v>1503</v>
      </c>
      <c r="E61" s="1134">
        <v>0.5</v>
      </c>
      <c r="F61" s="1149">
        <v>80</v>
      </c>
      <c r="H61" s="1100">
        <f>SUMIF(C59:C119,基准地价!C8,E59:E119)</f>
        <v>0</v>
      </c>
    </row>
    <row r="62" spans="1:8" s="1100" customFormat="1" ht="24">
      <c r="A62" s="1149">
        <v>2</v>
      </c>
      <c r="B62" s="3436"/>
      <c r="C62" s="1063" t="s">
        <v>1504</v>
      </c>
      <c r="D62" s="1063" t="s">
        <v>1505</v>
      </c>
      <c r="E62" s="1134">
        <v>0.5</v>
      </c>
      <c r="F62" s="1149">
        <v>80</v>
      </c>
    </row>
    <row r="63" spans="1:8" s="1100" customFormat="1" ht="36">
      <c r="A63" s="1149">
        <v>3</v>
      </c>
      <c r="B63" s="3436"/>
      <c r="C63" s="1063" t="s">
        <v>1506</v>
      </c>
      <c r="D63" s="1063" t="s">
        <v>1507</v>
      </c>
      <c r="E63" s="1134">
        <v>0.5</v>
      </c>
      <c r="F63" s="1149">
        <v>80</v>
      </c>
    </row>
    <row r="64" spans="1:8" s="1100" customFormat="1" ht="36">
      <c r="A64" s="1149">
        <v>4</v>
      </c>
      <c r="B64" s="3436"/>
      <c r="C64" s="1063" t="s">
        <v>1508</v>
      </c>
      <c r="D64" s="1063" t="s">
        <v>1509</v>
      </c>
      <c r="E64" s="1134">
        <v>0.4</v>
      </c>
      <c r="F64" s="1149">
        <v>60</v>
      </c>
    </row>
    <row r="65" spans="1:6" s="1100" customFormat="1" ht="36">
      <c r="A65" s="1149">
        <v>5</v>
      </c>
      <c r="B65" s="3436"/>
      <c r="C65" s="1063" t="s">
        <v>1510</v>
      </c>
      <c r="D65" s="1063" t="s">
        <v>1511</v>
      </c>
      <c r="E65" s="1134">
        <v>0.2</v>
      </c>
      <c r="F65" s="1149">
        <v>30</v>
      </c>
    </row>
    <row r="66" spans="1:6" s="1100" customFormat="1" ht="36">
      <c r="A66" s="1149">
        <v>6</v>
      </c>
      <c r="B66" s="3436"/>
      <c r="C66" s="1063" t="s">
        <v>1512</v>
      </c>
      <c r="D66" s="1063" t="s">
        <v>1513</v>
      </c>
      <c r="E66" s="1134">
        <v>0.3</v>
      </c>
      <c r="F66" s="1149">
        <v>50</v>
      </c>
    </row>
    <row r="67" spans="1:6" s="1100" customFormat="1" ht="36">
      <c r="A67" s="1149">
        <v>7</v>
      </c>
      <c r="B67" s="3436"/>
      <c r="C67" s="1063" t="s">
        <v>1514</v>
      </c>
      <c r="D67" s="1063" t="s">
        <v>1515</v>
      </c>
      <c r="E67" s="1134">
        <v>0.2</v>
      </c>
      <c r="F67" s="1149">
        <v>30</v>
      </c>
    </row>
    <row r="68" spans="1:6" s="1100" customFormat="1" ht="36">
      <c r="A68" s="1149">
        <v>8</v>
      </c>
      <c r="B68" s="3436"/>
      <c r="C68" s="1063" t="s">
        <v>1516</v>
      </c>
      <c r="D68" s="1063" t="s">
        <v>1517</v>
      </c>
      <c r="E68" s="1134">
        <v>0.2</v>
      </c>
      <c r="F68" s="1149">
        <v>30</v>
      </c>
    </row>
    <row r="69" spans="1:6" s="1100" customFormat="1" ht="36">
      <c r="A69" s="1149">
        <v>9</v>
      </c>
      <c r="B69" s="3436"/>
      <c r="C69" s="1063" t="s">
        <v>1518</v>
      </c>
      <c r="D69" s="1063" t="s">
        <v>1519</v>
      </c>
      <c r="E69" s="1134">
        <v>0.2</v>
      </c>
      <c r="F69" s="1149">
        <v>30</v>
      </c>
    </row>
    <row r="70" spans="1:6" s="1100" customFormat="1" ht="48">
      <c r="A70" s="1149">
        <v>10</v>
      </c>
      <c r="B70" s="3436"/>
      <c r="C70" s="1063" t="s">
        <v>1520</v>
      </c>
      <c r="D70" s="1063" t="s">
        <v>1521</v>
      </c>
      <c r="E70" s="1134">
        <v>0.2</v>
      </c>
      <c r="F70" s="1149">
        <v>30</v>
      </c>
    </row>
    <row r="71" spans="1:6" s="1100" customFormat="1" ht="48">
      <c r="A71" s="1149">
        <v>11</v>
      </c>
      <c r="B71" s="3436"/>
      <c r="C71" s="1063" t="s">
        <v>1522</v>
      </c>
      <c r="D71" s="1063" t="s">
        <v>1523</v>
      </c>
      <c r="E71" s="1134">
        <v>0.2</v>
      </c>
      <c r="F71" s="1149">
        <v>30</v>
      </c>
    </row>
    <row r="72" spans="1:6" s="1100" customFormat="1" ht="36">
      <c r="A72" s="1149">
        <v>12</v>
      </c>
      <c r="B72" s="3436"/>
      <c r="C72" s="1063" t="s">
        <v>1524</v>
      </c>
      <c r="D72" s="1063" t="s">
        <v>1525</v>
      </c>
      <c r="E72" s="1134">
        <v>0.5</v>
      </c>
      <c r="F72" s="1149">
        <v>80</v>
      </c>
    </row>
    <row r="73" spans="1:6" s="1100" customFormat="1" ht="24">
      <c r="A73" s="1149">
        <v>13</v>
      </c>
      <c r="B73" s="3436"/>
      <c r="C73" s="1063" t="s">
        <v>1526</v>
      </c>
      <c r="D73" s="1063" t="s">
        <v>1527</v>
      </c>
      <c r="E73" s="1134">
        <v>0.4</v>
      </c>
      <c r="F73" s="1149">
        <v>60</v>
      </c>
    </row>
    <row r="74" spans="1:6" s="1100" customFormat="1" ht="24">
      <c r="A74" s="1149">
        <v>14</v>
      </c>
      <c r="B74" s="3436"/>
      <c r="C74" s="1063" t="s">
        <v>1528</v>
      </c>
      <c r="D74" s="1063" t="s">
        <v>1529</v>
      </c>
      <c r="E74" s="1134">
        <v>0.2</v>
      </c>
      <c r="F74" s="1149">
        <v>30</v>
      </c>
    </row>
    <row r="75" spans="1:6" s="1100" customFormat="1" ht="24">
      <c r="A75" s="1149">
        <v>15</v>
      </c>
      <c r="B75" s="3436"/>
      <c r="C75" s="1063" t="s">
        <v>1530</v>
      </c>
      <c r="D75" s="1063" t="s">
        <v>1531</v>
      </c>
      <c r="E75" s="1134">
        <v>0.2</v>
      </c>
      <c r="F75" s="1149">
        <v>30</v>
      </c>
    </row>
    <row r="76" spans="1:6" s="1100" customFormat="1" ht="24">
      <c r="A76" s="1149">
        <v>16</v>
      </c>
      <c r="B76" s="3436" t="s">
        <v>1532</v>
      </c>
      <c r="C76" s="1063" t="s">
        <v>1533</v>
      </c>
      <c r="D76" s="1063" t="s">
        <v>1534</v>
      </c>
      <c r="E76" s="1134">
        <v>0.5</v>
      </c>
      <c r="F76" s="1149">
        <v>80</v>
      </c>
    </row>
    <row r="77" spans="1:6" s="1100" customFormat="1" ht="24">
      <c r="A77" s="1149">
        <v>17</v>
      </c>
      <c r="B77" s="3436"/>
      <c r="C77" s="1063" t="s">
        <v>1535</v>
      </c>
      <c r="D77" s="1063" t="s">
        <v>1536</v>
      </c>
      <c r="E77" s="1134">
        <v>0.5</v>
      </c>
      <c r="F77" s="1149">
        <v>80</v>
      </c>
    </row>
    <row r="78" spans="1:6" s="1100" customFormat="1" ht="24">
      <c r="A78" s="1149">
        <v>18</v>
      </c>
      <c r="B78" s="3436"/>
      <c r="C78" s="1063" t="s">
        <v>1537</v>
      </c>
      <c r="D78" s="1063" t="s">
        <v>1538</v>
      </c>
      <c r="E78" s="1134">
        <v>0.2</v>
      </c>
      <c r="F78" s="1149">
        <v>30</v>
      </c>
    </row>
    <row r="79" spans="1:6" s="1100" customFormat="1" ht="24">
      <c r="A79" s="1149">
        <v>19</v>
      </c>
      <c r="B79" s="3436"/>
      <c r="C79" s="1063" t="s">
        <v>1539</v>
      </c>
      <c r="D79" s="1063" t="s">
        <v>1540</v>
      </c>
      <c r="E79" s="1134">
        <v>0.5</v>
      </c>
      <c r="F79" s="1149">
        <v>80</v>
      </c>
    </row>
    <row r="80" spans="1:6" s="1100" customFormat="1" ht="36">
      <c r="A80" s="1149">
        <v>20</v>
      </c>
      <c r="B80" s="3436"/>
      <c r="C80" s="1063" t="s">
        <v>1541</v>
      </c>
      <c r="D80" s="1063" t="s">
        <v>1542</v>
      </c>
      <c r="E80" s="1134">
        <v>0.2</v>
      </c>
      <c r="F80" s="1149">
        <v>30</v>
      </c>
    </row>
    <row r="81" spans="1:6" s="1100" customFormat="1" ht="36">
      <c r="A81" s="1149">
        <v>21</v>
      </c>
      <c r="B81" s="3436"/>
      <c r="C81" s="1063" t="s">
        <v>1543</v>
      </c>
      <c r="D81" s="1063" t="s">
        <v>1544</v>
      </c>
      <c r="E81" s="1134">
        <v>0.2</v>
      </c>
      <c r="F81" s="1149">
        <v>30</v>
      </c>
    </row>
    <row r="82" spans="1:6" s="1100" customFormat="1" ht="48">
      <c r="A82" s="1149">
        <v>22</v>
      </c>
      <c r="B82" s="3436"/>
      <c r="C82" s="1063" t="s">
        <v>1545</v>
      </c>
      <c r="D82" s="1063" t="s">
        <v>1546</v>
      </c>
      <c r="E82" s="1134">
        <v>0.2</v>
      </c>
      <c r="F82" s="1149">
        <v>30</v>
      </c>
    </row>
    <row r="83" spans="1:6" s="1100" customFormat="1" ht="48">
      <c r="A83" s="1149">
        <v>23</v>
      </c>
      <c r="B83" s="3436"/>
      <c r="C83" s="1063" t="s">
        <v>1547</v>
      </c>
      <c r="D83" s="1063" t="s">
        <v>1548</v>
      </c>
      <c r="E83" s="1134">
        <v>0.2</v>
      </c>
      <c r="F83" s="1149">
        <v>30</v>
      </c>
    </row>
    <row r="84" spans="1:6" s="1100" customFormat="1" ht="36">
      <c r="A84" s="1149">
        <v>24</v>
      </c>
      <c r="B84" s="3436"/>
      <c r="C84" s="1063" t="s">
        <v>1549</v>
      </c>
      <c r="D84" s="1063" t="s">
        <v>1550</v>
      </c>
      <c r="E84" s="1134">
        <v>0.2</v>
      </c>
      <c r="F84" s="1149">
        <v>30</v>
      </c>
    </row>
    <row r="85" spans="1:6" s="1100" customFormat="1" ht="36">
      <c r="A85" s="1149">
        <v>25</v>
      </c>
      <c r="B85" s="3436"/>
      <c r="C85" s="1063" t="s">
        <v>1551</v>
      </c>
      <c r="D85" s="1063" t="s">
        <v>1552</v>
      </c>
      <c r="E85" s="1134">
        <v>0.5</v>
      </c>
      <c r="F85" s="1149">
        <v>80</v>
      </c>
    </row>
    <row r="86" spans="1:6" s="1100" customFormat="1" ht="36">
      <c r="A86" s="1149">
        <v>26</v>
      </c>
      <c r="B86" s="3436"/>
      <c r="C86" s="1063" t="s">
        <v>1553</v>
      </c>
      <c r="D86" s="1063" t="s">
        <v>1554</v>
      </c>
      <c r="E86" s="1134">
        <v>0.2</v>
      </c>
      <c r="F86" s="1149">
        <v>30</v>
      </c>
    </row>
    <row r="87" spans="1:6" s="1100" customFormat="1" ht="36">
      <c r="A87" s="1149">
        <v>27</v>
      </c>
      <c r="B87" s="3436"/>
      <c r="C87" s="1063" t="s">
        <v>1555</v>
      </c>
      <c r="D87" s="1063" t="s">
        <v>1556</v>
      </c>
      <c r="E87" s="1134">
        <v>0.2</v>
      </c>
      <c r="F87" s="1149">
        <v>30</v>
      </c>
    </row>
    <row r="88" spans="1:6" s="1100" customFormat="1" ht="36">
      <c r="A88" s="1149">
        <v>28</v>
      </c>
      <c r="B88" s="3436"/>
      <c r="C88" s="1063" t="s">
        <v>1557</v>
      </c>
      <c r="D88" s="1063" t="s">
        <v>1558</v>
      </c>
      <c r="E88" s="1134">
        <v>0.2</v>
      </c>
      <c r="F88" s="1149">
        <v>30</v>
      </c>
    </row>
    <row r="89" spans="1:6" s="1100" customFormat="1" ht="24">
      <c r="A89" s="1149">
        <v>29</v>
      </c>
      <c r="B89" s="3436"/>
      <c r="C89" s="1063" t="s">
        <v>1559</v>
      </c>
      <c r="D89" s="1063" t="s">
        <v>1560</v>
      </c>
      <c r="E89" s="1134">
        <v>0.2</v>
      </c>
      <c r="F89" s="1149">
        <v>30</v>
      </c>
    </row>
    <row r="90" spans="1:6" s="1100" customFormat="1" ht="24">
      <c r="A90" s="1149">
        <v>30</v>
      </c>
      <c r="B90" s="3436"/>
      <c r="C90" s="1063" t="s">
        <v>1561</v>
      </c>
      <c r="D90" s="1063" t="s">
        <v>1562</v>
      </c>
      <c r="E90" s="1134">
        <v>0.2</v>
      </c>
      <c r="F90" s="1149">
        <v>30</v>
      </c>
    </row>
    <row r="91" spans="1:6" s="1100" customFormat="1" ht="36">
      <c r="A91" s="1149">
        <v>31</v>
      </c>
      <c r="B91" s="3436"/>
      <c r="C91" s="1063" t="s">
        <v>1563</v>
      </c>
      <c r="D91" s="1063" t="s">
        <v>1564</v>
      </c>
      <c r="E91" s="1134">
        <v>0.2</v>
      </c>
      <c r="F91" s="1149">
        <v>30</v>
      </c>
    </row>
    <row r="92" spans="1:6" s="1100" customFormat="1" ht="24">
      <c r="A92" s="1149">
        <v>32</v>
      </c>
      <c r="B92" s="3436" t="s">
        <v>1565</v>
      </c>
      <c r="C92" s="1149" t="s">
        <v>1566</v>
      </c>
      <c r="D92" s="1063" t="s">
        <v>1567</v>
      </c>
      <c r="E92" s="1134">
        <v>0.2</v>
      </c>
      <c r="F92" s="1149">
        <v>30</v>
      </c>
    </row>
    <row r="93" spans="1:6" s="1100" customFormat="1" ht="36">
      <c r="A93" s="1149">
        <v>33</v>
      </c>
      <c r="B93" s="3436"/>
      <c r="C93" s="1149" t="s">
        <v>1568</v>
      </c>
      <c r="D93" s="1063" t="s">
        <v>1569</v>
      </c>
      <c r="E93" s="1134">
        <v>0.2</v>
      </c>
      <c r="F93" s="1149">
        <v>30</v>
      </c>
    </row>
    <row r="94" spans="1:6" s="1100" customFormat="1" ht="48">
      <c r="A94" s="1149">
        <v>34</v>
      </c>
      <c r="B94" s="3436"/>
      <c r="C94" s="1149" t="s">
        <v>1570</v>
      </c>
      <c r="D94" s="1063" t="s">
        <v>1571</v>
      </c>
      <c r="E94" s="1134">
        <v>0.2</v>
      </c>
      <c r="F94" s="1149">
        <v>30</v>
      </c>
    </row>
    <row r="95" spans="1:6" s="1100" customFormat="1" ht="36">
      <c r="A95" s="1149">
        <v>35</v>
      </c>
      <c r="B95" s="3436"/>
      <c r="C95" s="1149" t="s">
        <v>1572</v>
      </c>
      <c r="D95" s="1063" t="s">
        <v>1573</v>
      </c>
      <c r="E95" s="1134">
        <v>0.2</v>
      </c>
      <c r="F95" s="1149">
        <v>30</v>
      </c>
    </row>
    <row r="96" spans="1:6" s="1100" customFormat="1" ht="48">
      <c r="A96" s="1149">
        <v>36</v>
      </c>
      <c r="B96" s="3436"/>
      <c r="C96" s="1063" t="s">
        <v>1574</v>
      </c>
      <c r="D96" s="1063" t="s">
        <v>1575</v>
      </c>
      <c r="E96" s="1134">
        <v>0.2</v>
      </c>
      <c r="F96" s="1149">
        <v>30</v>
      </c>
    </row>
    <row r="97" spans="1:6" s="1100" customFormat="1" ht="36">
      <c r="A97" s="1149">
        <v>37</v>
      </c>
      <c r="B97" s="3436"/>
      <c r="C97" s="1149" t="s">
        <v>1576</v>
      </c>
      <c r="D97" s="1063" t="s">
        <v>1577</v>
      </c>
      <c r="E97" s="1134">
        <v>0.2</v>
      </c>
      <c r="F97" s="1149">
        <v>30</v>
      </c>
    </row>
    <row r="98" spans="1:6" s="1100" customFormat="1" ht="36">
      <c r="A98" s="1149">
        <v>38</v>
      </c>
      <c r="B98" s="3436"/>
      <c r="C98" s="1149" t="s">
        <v>1578</v>
      </c>
      <c r="D98" s="1063" t="s">
        <v>1579</v>
      </c>
      <c r="E98" s="1134">
        <v>0.2</v>
      </c>
      <c r="F98" s="1149">
        <v>30</v>
      </c>
    </row>
    <row r="99" spans="1:6" s="1100" customFormat="1" ht="36">
      <c r="A99" s="1149">
        <v>39</v>
      </c>
      <c r="B99" s="3436" t="s">
        <v>1580</v>
      </c>
      <c r="C99" s="1149" t="s">
        <v>1581</v>
      </c>
      <c r="D99" s="1063" t="s">
        <v>1582</v>
      </c>
      <c r="E99" s="1134">
        <v>0.3</v>
      </c>
      <c r="F99" s="1149">
        <v>50</v>
      </c>
    </row>
    <row r="100" spans="1:6" s="1100" customFormat="1" ht="24">
      <c r="A100" s="1149">
        <v>40</v>
      </c>
      <c r="B100" s="3436"/>
      <c r="C100" s="1149" t="s">
        <v>1583</v>
      </c>
      <c r="D100" s="1063" t="s">
        <v>1584</v>
      </c>
      <c r="E100" s="1134">
        <v>0.2</v>
      </c>
      <c r="F100" s="1149">
        <v>30</v>
      </c>
    </row>
    <row r="101" spans="1:6" s="1100" customFormat="1" ht="36">
      <c r="A101" s="1149">
        <v>41</v>
      </c>
      <c r="B101" s="343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6" t="s">
        <v>1595</v>
      </c>
      <c r="C105" s="1149" t="s">
        <v>1596</v>
      </c>
      <c r="D105" s="1063" t="s">
        <v>1597</v>
      </c>
      <c r="E105" s="1134">
        <v>0.2</v>
      </c>
      <c r="F105" s="1149">
        <v>30</v>
      </c>
    </row>
    <row r="106" spans="1:6" s="1100" customFormat="1" ht="36">
      <c r="A106" s="1149">
        <v>46</v>
      </c>
      <c r="B106" s="3436"/>
      <c r="C106" s="1149" t="s">
        <v>1598</v>
      </c>
      <c r="D106" s="1063" t="s">
        <v>1599</v>
      </c>
      <c r="E106" s="1134">
        <v>0.2</v>
      </c>
      <c r="F106" s="1149">
        <v>30</v>
      </c>
    </row>
    <row r="107" spans="1:6" s="1100" customFormat="1" ht="36">
      <c r="A107" s="1149">
        <v>47</v>
      </c>
      <c r="B107" s="3436" t="s">
        <v>1600</v>
      </c>
      <c r="C107" s="1149" t="s">
        <v>1601</v>
      </c>
      <c r="D107" s="1063" t="s">
        <v>1602</v>
      </c>
      <c r="E107" s="1134">
        <v>0.3</v>
      </c>
      <c r="F107" s="1149">
        <v>50</v>
      </c>
    </row>
    <row r="108" spans="1:6" s="1100" customFormat="1" ht="36">
      <c r="A108" s="1149">
        <v>48</v>
      </c>
      <c r="B108" s="343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6" t="s">
        <v>1611</v>
      </c>
      <c r="C111" s="1149" t="s">
        <v>1612</v>
      </c>
      <c r="D111" s="1063" t="s">
        <v>1613</v>
      </c>
      <c r="E111" s="1134">
        <v>0.2</v>
      </c>
      <c r="F111" s="1149">
        <v>30</v>
      </c>
    </row>
    <row r="112" spans="1:6" s="1100" customFormat="1" ht="24">
      <c r="A112" s="1149">
        <v>52</v>
      </c>
      <c r="B112" s="3436"/>
      <c r="C112" s="1149" t="s">
        <v>1614</v>
      </c>
      <c r="D112" s="1063" t="s">
        <v>1615</v>
      </c>
      <c r="E112" s="1134">
        <v>0.2</v>
      </c>
      <c r="F112" s="1149">
        <v>30</v>
      </c>
    </row>
    <row r="113" spans="1:14" s="1100" customFormat="1" ht="24">
      <c r="A113" s="1149">
        <v>53</v>
      </c>
      <c r="B113" s="343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6" t="s">
        <v>1624</v>
      </c>
      <c r="C116" s="1149" t="s">
        <v>1625</v>
      </c>
      <c r="D116" s="1063" t="s">
        <v>1626</v>
      </c>
      <c r="E116" s="1134">
        <v>0.2</v>
      </c>
      <c r="F116" s="1149">
        <v>30</v>
      </c>
    </row>
    <row r="117" spans="1:14" ht="36">
      <c r="A117" s="1149">
        <v>57</v>
      </c>
      <c r="B117" s="343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5" t="s">
        <v>1633</v>
      </c>
      <c r="B121" s="3435"/>
      <c r="C121" s="3435"/>
      <c r="D121" s="3435"/>
      <c r="E121" s="3435"/>
      <c r="F121" s="3435"/>
      <c r="G121" s="3435"/>
      <c r="H121" s="3435"/>
      <c r="I121" s="3435"/>
      <c r="J121" s="343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0" t="s">
        <v>1039</v>
      </c>
      <c r="B1" s="3440"/>
      <c r="C1" s="3440"/>
      <c r="D1" s="3440"/>
      <c r="E1" s="3440"/>
      <c r="F1" s="344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1" t="s">
        <v>1052</v>
      </c>
      <c r="B2" s="3441"/>
      <c r="C2" s="3441"/>
      <c r="D2" s="3441"/>
      <c r="E2" s="3441"/>
      <c r="F2" s="344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4" t="s">
        <v>2079</v>
      </c>
      <c r="B1" s="3444"/>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2" t="s">
        <v>2574</v>
      </c>
      <c r="C1" s="3452"/>
      <c r="D1" s="3452"/>
      <c r="E1" s="3452"/>
      <c r="F1" s="3452"/>
      <c r="G1" s="3451" t="s">
        <v>2575</v>
      </c>
      <c r="H1" s="3451"/>
      <c r="I1" s="3451"/>
      <c r="J1" s="3451"/>
      <c r="K1" s="3451"/>
      <c r="L1" s="3451"/>
      <c r="N1" s="3451" t="s">
        <v>2576</v>
      </c>
      <c r="O1" s="3451"/>
      <c r="P1" s="3451"/>
      <c r="Q1" s="3451"/>
      <c r="R1" s="2617"/>
      <c r="S1" s="3451" t="s">
        <v>2577</v>
      </c>
      <c r="T1" s="3451"/>
      <c r="U1" s="3451"/>
      <c r="V1" s="3451"/>
      <c r="X1" s="3450" t="s">
        <v>2637</v>
      </c>
      <c r="Y1" s="3451"/>
      <c r="Z1" s="3451"/>
      <c r="AA1" s="3451"/>
      <c r="AB1" s="3451"/>
      <c r="AD1" s="3450" t="s">
        <v>2641</v>
      </c>
      <c r="AE1" s="3451"/>
      <c r="AF1" s="3451"/>
      <c r="AG1" s="3451"/>
      <c r="AH1" s="3451"/>
    </row>
    <row r="2" spans="1:34" s="2718" customFormat="1" ht="14.25" thickBot="1">
      <c r="B2" s="2726" t="s">
        <v>2578</v>
      </c>
      <c r="C2" s="2726" t="s">
        <v>2639</v>
      </c>
      <c r="D2" s="2719" t="s">
        <v>1644</v>
      </c>
      <c r="E2" s="2719" t="s">
        <v>1949</v>
      </c>
      <c r="F2" s="2726" t="s">
        <v>2640</v>
      </c>
      <c r="G2" s="2722"/>
      <c r="H2" s="2721"/>
      <c r="I2" s="2726" t="s">
        <v>2955</v>
      </c>
      <c r="J2" s="2719" t="s">
        <v>2957</v>
      </c>
      <c r="K2" s="2719" t="s">
        <v>2958</v>
      </c>
      <c r="L2" s="2726" t="s">
        <v>2959</v>
      </c>
      <c r="N2" s="2726" t="s">
        <v>2578</v>
      </c>
      <c r="O2" s="2719" t="s">
        <v>2956</v>
      </c>
      <c r="P2" s="2719" t="s">
        <v>1949</v>
      </c>
      <c r="Q2" s="2726" t="s">
        <v>2640</v>
      </c>
      <c r="R2" s="2720"/>
      <c r="S2" s="2726" t="s">
        <v>2578</v>
      </c>
      <c r="T2" s="2719" t="s">
        <v>2956</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2" customFormat="1" ht="14.25">
      <c r="A3" s="3094" t="s">
        <v>2968</v>
      </c>
      <c r="B3" s="3083"/>
      <c r="C3" s="3083"/>
      <c r="D3" s="3084"/>
      <c r="E3" s="3084"/>
      <c r="F3" s="3083"/>
      <c r="G3" s="3085"/>
      <c r="H3" s="3086"/>
      <c r="I3" s="3093">
        <f>ROUND(AVERAGE($I4:$I28),2)</f>
        <v>1.98</v>
      </c>
      <c r="J3" s="3093">
        <f>ROUND(AVERAGE($J4:$J28),2)</f>
        <v>1.41</v>
      </c>
      <c r="K3" s="3093">
        <f>ROUND(AVERAGE($K4:$K28),2)</f>
        <v>2.16</v>
      </c>
      <c r="L3" s="3093">
        <f>ROUND(AVERAGE($L4:$L28),2)</f>
        <v>1.38</v>
      </c>
      <c r="N3" s="3085"/>
      <c r="O3" s="3087"/>
      <c r="P3" s="3087"/>
      <c r="Q3" s="3087"/>
      <c r="R3" s="3087"/>
      <c r="S3" s="3085"/>
      <c r="T3" s="3087"/>
      <c r="U3" s="3087"/>
      <c r="V3" s="3087"/>
      <c r="W3" s="3090"/>
      <c r="X3" s="3088">
        <f>ROUND(SUMPRODUCT(PRODUCT(1+N3:N$27)),4)</f>
        <v>1.5516000000000001</v>
      </c>
      <c r="Y3" s="3088">
        <f>ROUND(SUMPRODUCT(PRODUCT(1+O3:O$27)),4)</f>
        <v>1.3649</v>
      </c>
      <c r="Z3" s="3088">
        <f t="shared" ref="Z3:Z25" si="0">Y3</f>
        <v>1.3649</v>
      </c>
      <c r="AA3" s="3088">
        <f>ROUND(SUMPRODUCT(PRODUCT(1+P3:P$27)),4)</f>
        <v>1.6133999999999999</v>
      </c>
      <c r="AB3" s="3088">
        <f>ROUND(SUMPRODUCT(PRODUCT(1+Q3:Q$27)),4)</f>
        <v>1.3713</v>
      </c>
      <c r="AD3" s="3089">
        <f>ROUND(AVERAGE(I3:I$28)/100,4)</f>
        <v>1.9800000000000002E-2</v>
      </c>
      <c r="AE3" s="3089">
        <f>ROUND(AVERAGE(J3:J$28)/100,4)</f>
        <v>1.41E-2</v>
      </c>
      <c r="AF3" s="3089">
        <f t="shared" ref="AF3:AF26" si="1">AE3</f>
        <v>1.41E-2</v>
      </c>
      <c r="AG3" s="3089">
        <f>ROUND(AVERAGE(K3:K$28)/100,4)</f>
        <v>2.1600000000000001E-2</v>
      </c>
      <c r="AH3" s="3089">
        <f>ROUND(AVERAGE(L3:L$28)/100,4)</f>
        <v>1.38E-2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2996</v>
      </c>
      <c r="B5" s="2750">
        <f>B6*(1+N5)</f>
        <v>477.19997390765138</v>
      </c>
      <c r="C5" s="2750">
        <f>C6*(1+O5)</f>
        <v>351.84874729536665</v>
      </c>
      <c r="D5" s="2750">
        <f t="shared" ref="D5:D11" si="2">C5</f>
        <v>351.84874729536665</v>
      </c>
      <c r="E5" s="2750">
        <f t="shared" ref="E5:F12" si="3">E6*(1+P5)</f>
        <v>682.29768951465201</v>
      </c>
      <c r="F5" s="2750">
        <f t="shared" si="3"/>
        <v>315.26985675409043</v>
      </c>
      <c r="G5" s="2717">
        <v>2019</v>
      </c>
      <c r="H5" s="3065">
        <v>4</v>
      </c>
      <c r="I5" s="3079">
        <v>0</v>
      </c>
      <c r="J5" s="3079">
        <v>0</v>
      </c>
      <c r="K5" s="3079">
        <v>0</v>
      </c>
      <c r="L5" s="3079">
        <v>0</v>
      </c>
      <c r="N5" s="2724">
        <f t="shared" ref="N5:Q11" si="4">I5/100</f>
        <v>0</v>
      </c>
      <c r="O5" s="2724">
        <f t="shared" si="4"/>
        <v>0</v>
      </c>
      <c r="P5" s="2724">
        <f t="shared" si="4"/>
        <v>0</v>
      </c>
      <c r="Q5" s="2724">
        <f t="shared" si="4"/>
        <v>0</v>
      </c>
      <c r="R5" s="3067"/>
      <c r="S5" s="3068"/>
      <c r="T5" s="3067"/>
      <c r="U5" s="3067"/>
      <c r="V5" s="3067"/>
      <c r="W5" s="3092" t="s">
        <v>2969</v>
      </c>
      <c r="X5" s="3069">
        <f>ROUND(IF(项目基本情况!B7="出让",SUMPRODUCT(PRODUCT(1+N5:N$28)),SUMPRODUCT(PRODUCT(1+N5:N$27))),4)</f>
        <v>1.5516000000000001</v>
      </c>
      <c r="Y5" s="3069">
        <f>ROUND(IF(项目基本情况!B7="出让",SUMPRODUCT(PRODUCT(1+O5:O$28)),SUMPRODUCT(PRODUCT(1+O5:O$27))),4)</f>
        <v>1.3649</v>
      </c>
      <c r="Z5" s="3069">
        <f t="shared" ref="Z5:Z12" si="5">Y5</f>
        <v>1.3649</v>
      </c>
      <c r="AA5" s="3069">
        <f>ROUND(IF(项目基本情况!B7="出让",SUMPRODUCT(PRODUCT(1+P5:P$28)),SUMPRODUCT(PRODUCT(1+P5:P$27))),4)</f>
        <v>1.6133999999999999</v>
      </c>
      <c r="AB5" s="3069">
        <f>ROUND(IF(项目基本情况!B7="出让",SUMPRODUCT(PRODUCT(1+Q5:Q$28)),SUMPRODUCT(PRODUCT(1+Q5:Q$27))),4)</f>
        <v>1.3713</v>
      </c>
      <c r="AD5" s="3070">
        <f>ROUND(AVERAGE(I5:I$28)/100,4)</f>
        <v>1.9800000000000002E-2</v>
      </c>
      <c r="AE5" s="3070">
        <f>ROUND(AVERAGE(J5:J$28)/100,4)</f>
        <v>1.41E-2</v>
      </c>
      <c r="AF5" s="3070">
        <f t="shared" ref="AF5:AF12" si="6">AE5</f>
        <v>1.41E-2</v>
      </c>
      <c r="AG5" s="3070">
        <f>ROUND(AVERAGE(K5:K$28)/100,4)</f>
        <v>2.1600000000000001E-2</v>
      </c>
      <c r="AH5" s="3070">
        <f>ROUND(AVERAGE(L5:L$28)/100,4)</f>
        <v>1.38E-2</v>
      </c>
    </row>
    <row r="6" spans="1:34" s="2723" customFormat="1" ht="13.5" thickBot="1">
      <c r="A6" s="2618" t="s">
        <v>2995</v>
      </c>
      <c r="B6" s="2631">
        <f>B7*(1+N6)</f>
        <v>477.19997390765138</v>
      </c>
      <c r="C6" s="2631">
        <f>C7*(1+O6)</f>
        <v>351.84874729536665</v>
      </c>
      <c r="D6" s="2631">
        <f t="shared" si="2"/>
        <v>351.84874729536665</v>
      </c>
      <c r="E6" s="2631">
        <f t="shared" si="3"/>
        <v>682.29768951465201</v>
      </c>
      <c r="F6" s="2631">
        <f t="shared" si="3"/>
        <v>315.26985675409043</v>
      </c>
      <c r="G6" s="2717">
        <v>2019</v>
      </c>
      <c r="H6" s="2621">
        <v>3</v>
      </c>
      <c r="I6" s="2621">
        <v>0.61</v>
      </c>
      <c r="J6" s="2621">
        <v>0.67</v>
      </c>
      <c r="K6" s="2621">
        <v>0.6</v>
      </c>
      <c r="L6" s="2632">
        <v>1.03</v>
      </c>
      <c r="M6" s="2625"/>
      <c r="N6" s="2626">
        <f t="shared" si="4"/>
        <v>6.0999999999999995E-3</v>
      </c>
      <c r="O6" s="2627">
        <f t="shared" si="4"/>
        <v>6.7000000000000002E-3</v>
      </c>
      <c r="P6" s="2627">
        <f t="shared" si="4"/>
        <v>6.0000000000000001E-3</v>
      </c>
      <c r="Q6" s="2627">
        <f t="shared" si="4"/>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si="5"/>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si="6"/>
        <v>1.47E-2</v>
      </c>
      <c r="AG6" s="2636">
        <f>ROUND(AVERAGE(K6:K$28)/100,4)</f>
        <v>2.2599999999999999E-2</v>
      </c>
      <c r="AH6" s="2636">
        <f>ROUND(AVERAGE(L6:L$28)/100,4)</f>
        <v>1.44E-2</v>
      </c>
    </row>
    <row r="7" spans="1:34" s="2723" customFormat="1">
      <c r="A7" s="2618" t="s">
        <v>2992</v>
      </c>
      <c r="B7" s="2631">
        <f t="shared" ref="B7:B12" si="7">B8*(1+N7)</f>
        <v>474.30670301923408</v>
      </c>
      <c r="C7" s="2631">
        <f t="shared" ref="C7:C12" si="8">C8*(1+O7)</f>
        <v>349.50705005996491</v>
      </c>
      <c r="D7" s="2631">
        <f t="shared" si="2"/>
        <v>349.50705005996491</v>
      </c>
      <c r="E7" s="2631">
        <f t="shared" si="3"/>
        <v>678.22831959706957</v>
      </c>
      <c r="F7" s="2631">
        <f t="shared" si="3"/>
        <v>312.0556832169558</v>
      </c>
      <c r="G7" s="2717">
        <v>2019</v>
      </c>
      <c r="H7" s="2619">
        <v>2</v>
      </c>
      <c r="I7" s="2619">
        <v>1.53</v>
      </c>
      <c r="J7" s="2619">
        <v>1.01</v>
      </c>
      <c r="K7" s="2619">
        <v>1.62</v>
      </c>
      <c r="L7" s="2620">
        <v>1.25</v>
      </c>
      <c r="M7" s="2625"/>
      <c r="N7" s="2626">
        <f t="shared" si="4"/>
        <v>1.5300000000000001E-2</v>
      </c>
      <c r="O7" s="2627">
        <f t="shared" si="4"/>
        <v>1.01E-2</v>
      </c>
      <c r="P7" s="2627">
        <f t="shared" si="4"/>
        <v>1.6200000000000003E-2</v>
      </c>
      <c r="Q7" s="2627">
        <f t="shared" si="4"/>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si="5"/>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si="6"/>
        <v>1.4999999999999999E-2</v>
      </c>
      <c r="AG7" s="2636">
        <f>ROUND(AVERAGE(K7:K$28)/100,4)</f>
        <v>2.3300000000000001E-2</v>
      </c>
      <c r="AH7" s="2636">
        <f>ROUND(AVERAGE(L7:L$28)/100,4)</f>
        <v>1.46E-2</v>
      </c>
    </row>
    <row r="8" spans="1:34" s="2723" customFormat="1" ht="13.5" thickBot="1">
      <c r="A8" s="2618" t="s">
        <v>2991</v>
      </c>
      <c r="B8" s="2631">
        <f t="shared" si="7"/>
        <v>467.15916775261894</v>
      </c>
      <c r="C8" s="2631">
        <f t="shared" si="8"/>
        <v>346.01232557169084</v>
      </c>
      <c r="D8" s="2631">
        <f t="shared" si="2"/>
        <v>346.01232557169084</v>
      </c>
      <c r="E8" s="2631">
        <f t="shared" si="3"/>
        <v>667.41617752122568</v>
      </c>
      <c r="F8" s="2631">
        <f t="shared" si="3"/>
        <v>308.20314391798104</v>
      </c>
      <c r="G8" s="2717">
        <v>2019</v>
      </c>
      <c r="H8" s="2621">
        <v>1</v>
      </c>
      <c r="I8" s="2621">
        <v>0.6</v>
      </c>
      <c r="J8" s="2621">
        <v>0.37</v>
      </c>
      <c r="K8" s="2621">
        <v>0.63</v>
      </c>
      <c r="L8" s="2632">
        <v>1.1299999999999999</v>
      </c>
      <c r="M8" s="2625"/>
      <c r="N8" s="2626">
        <f t="shared" si="4"/>
        <v>6.0000000000000001E-3</v>
      </c>
      <c r="O8" s="2627">
        <f t="shared" si="4"/>
        <v>3.7000000000000002E-3</v>
      </c>
      <c r="P8" s="2627">
        <f t="shared" si="4"/>
        <v>6.3E-3</v>
      </c>
      <c r="Q8" s="2627">
        <f t="shared" si="4"/>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si="5"/>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si="6"/>
        <v>1.5299999999999999E-2</v>
      </c>
      <c r="AG8" s="2636">
        <f>ROUND(AVERAGE(K8:K$28)/100,4)</f>
        <v>2.3699999999999999E-2</v>
      </c>
      <c r="AH8" s="2636">
        <f>ROUND(AVERAGE(L8:L$28)/100,4)</f>
        <v>1.47E-2</v>
      </c>
    </row>
    <row r="9" spans="1:34" s="2723" customFormat="1">
      <c r="A9" s="2618" t="s">
        <v>2988</v>
      </c>
      <c r="B9" s="3178">
        <f t="shared" si="7"/>
        <v>464.37293017158942</v>
      </c>
      <c r="C9" s="3178">
        <f t="shared" si="8"/>
        <v>344.73679941385956</v>
      </c>
      <c r="D9" s="3178">
        <f t="shared" si="2"/>
        <v>344.73679941385956</v>
      </c>
      <c r="E9" s="3178">
        <f t="shared" si="3"/>
        <v>663.2377795103107</v>
      </c>
      <c r="F9" s="3179">
        <f t="shared" si="3"/>
        <v>304.75936311478398</v>
      </c>
      <c r="G9" s="3446">
        <v>2018</v>
      </c>
      <c r="H9" s="2619">
        <v>4</v>
      </c>
      <c r="I9" s="2619">
        <v>0.96</v>
      </c>
      <c r="J9" s="2619">
        <v>1.03</v>
      </c>
      <c r="K9" s="2619">
        <v>0.92</v>
      </c>
      <c r="L9" s="2620">
        <v>1.29</v>
      </c>
      <c r="M9" s="2625"/>
      <c r="N9" s="2626">
        <f t="shared" si="4"/>
        <v>9.5999999999999992E-3</v>
      </c>
      <c r="O9" s="2627">
        <f t="shared" si="4"/>
        <v>1.03E-2</v>
      </c>
      <c r="P9" s="2627">
        <f t="shared" si="4"/>
        <v>9.1999999999999998E-3</v>
      </c>
      <c r="Q9" s="2627">
        <f t="shared" si="4"/>
        <v>1.29E-2</v>
      </c>
      <c r="R9" s="2628"/>
      <c r="S9" s="2629"/>
      <c r="T9" s="2630"/>
      <c r="U9" s="2630"/>
      <c r="V9" s="2630"/>
      <c r="W9" s="2625"/>
      <c r="X9" s="2716">
        <f>ROUND(SUMPRODUCT(PRODUCT(1+N9:N$27)),4)</f>
        <v>1.5099</v>
      </c>
      <c r="Y9" s="2716">
        <f>ROUND(SUMPRODUCT(PRODUCT(1+O9:O$27)),4)</f>
        <v>1.3372999999999999</v>
      </c>
      <c r="Z9" s="2716">
        <f t="shared" si="5"/>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si="6"/>
        <v>1.5800000000000002E-2</v>
      </c>
      <c r="AG9" s="2636">
        <f>ROUND(AVERAGE(K9:K$28)/100,4)</f>
        <v>2.4500000000000001E-2</v>
      </c>
      <c r="AH9" s="2636">
        <f>ROUND(AVERAGE(L9:L$28)/100,4)</f>
        <v>1.49E-2</v>
      </c>
    </row>
    <row r="10" spans="1:34" s="2723" customFormat="1" ht="14.45" customHeight="1">
      <c r="A10" s="2618" t="s">
        <v>2978</v>
      </c>
      <c r="B10" s="2631">
        <f t="shared" si="7"/>
        <v>459.95733971036987</v>
      </c>
      <c r="C10" s="2631">
        <f t="shared" si="8"/>
        <v>341.22221064422405</v>
      </c>
      <c r="D10" s="2631">
        <f t="shared" si="2"/>
        <v>341.22221064422405</v>
      </c>
      <c r="E10" s="2631">
        <f t="shared" si="3"/>
        <v>657.19161663724799</v>
      </c>
      <c r="F10" s="2631">
        <f t="shared" si="3"/>
        <v>300.87803644464805</v>
      </c>
      <c r="G10" s="3446"/>
      <c r="H10" s="2621">
        <v>3</v>
      </c>
      <c r="I10" s="2621">
        <v>1.51</v>
      </c>
      <c r="J10" s="2621">
        <v>1.41</v>
      </c>
      <c r="K10" s="2621">
        <v>1.52</v>
      </c>
      <c r="L10" s="2632">
        <v>1.74</v>
      </c>
      <c r="M10" s="2625"/>
      <c r="N10" s="2626">
        <f t="shared" si="4"/>
        <v>1.5100000000000001E-2</v>
      </c>
      <c r="O10" s="2627">
        <f t="shared" si="4"/>
        <v>1.41E-2</v>
      </c>
      <c r="P10" s="2627">
        <f t="shared" si="4"/>
        <v>1.52E-2</v>
      </c>
      <c r="Q10" s="2627">
        <f t="shared" si="4"/>
        <v>1.7399999999999999E-2</v>
      </c>
      <c r="R10" s="2628"/>
      <c r="S10" s="2626"/>
      <c r="T10" s="2627"/>
      <c r="U10" s="2627"/>
      <c r="V10" s="2627"/>
      <c r="W10" s="2625"/>
      <c r="X10" s="2716">
        <f>ROUND(SUMPRODUCT(PRODUCT(1+N10:N$27)),4)</f>
        <v>1.4956</v>
      </c>
      <c r="Y10" s="2716">
        <f>ROUND(SUMPRODUCT(PRODUCT(1+O10:O$27)),4)</f>
        <v>1.3237000000000001</v>
      </c>
      <c r="Z10" s="2716">
        <f t="shared" si="5"/>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si="6"/>
        <v>1.61E-2</v>
      </c>
      <c r="AG10" s="2636">
        <f>ROUND(AVERAGE(K10:K$28)/100,4)</f>
        <v>2.53E-2</v>
      </c>
      <c r="AH10" s="2636">
        <f>ROUND(AVERAGE(L10:L$28)/100,4)</f>
        <v>1.4999999999999999E-2</v>
      </c>
    </row>
    <row r="11" spans="1:34" s="2723" customFormat="1" ht="14.45" customHeight="1">
      <c r="A11" s="2618" t="s">
        <v>2979</v>
      </c>
      <c r="B11" s="2631">
        <f t="shared" si="7"/>
        <v>453.11529869999993</v>
      </c>
      <c r="C11" s="2631">
        <f t="shared" si="8"/>
        <v>336.47787264000004</v>
      </c>
      <c r="D11" s="2631">
        <f t="shared" si="2"/>
        <v>336.47787264000004</v>
      </c>
      <c r="E11" s="2631">
        <f t="shared" si="3"/>
        <v>647.35186823999993</v>
      </c>
      <c r="F11" s="2631">
        <f t="shared" si="3"/>
        <v>295.73229452000004</v>
      </c>
      <c r="G11" s="3446"/>
      <c r="H11" s="2622">
        <v>2</v>
      </c>
      <c r="I11" s="2622">
        <v>1.49</v>
      </c>
      <c r="J11" s="2622">
        <v>0.96</v>
      </c>
      <c r="K11" s="2622">
        <v>1.58</v>
      </c>
      <c r="L11" s="2633">
        <v>2.44</v>
      </c>
      <c r="M11" s="2625"/>
      <c r="N11" s="2626">
        <f t="shared" si="4"/>
        <v>1.49E-2</v>
      </c>
      <c r="O11" s="2627">
        <f t="shared" si="4"/>
        <v>9.5999999999999992E-3</v>
      </c>
      <c r="P11" s="2627">
        <f t="shared" si="4"/>
        <v>1.5800000000000002E-2</v>
      </c>
      <c r="Q11" s="2627">
        <f t="shared" si="4"/>
        <v>2.4399999999999998E-2</v>
      </c>
      <c r="R11" s="2628"/>
      <c r="S11" s="2626"/>
      <c r="T11" s="2627"/>
      <c r="U11" s="2627"/>
      <c r="V11" s="2627"/>
      <c r="W11" s="2625"/>
      <c r="X11" s="2716">
        <f>ROUND(SUMPRODUCT(PRODUCT(1+N11:N$27)),4)</f>
        <v>1.4733000000000001</v>
      </c>
      <c r="Y11" s="2716">
        <f>ROUND(SUMPRODUCT(PRODUCT(1+O11:O$27)),4)</f>
        <v>1.3052999999999999</v>
      </c>
      <c r="Z11" s="2716">
        <f t="shared" si="5"/>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si="6"/>
        <v>1.6199999999999999E-2</v>
      </c>
      <c r="AG11" s="2636">
        <f>ROUND(AVERAGE(K11:K$28)/100,4)</f>
        <v>2.5899999999999999E-2</v>
      </c>
      <c r="AH11" s="2636">
        <f>ROUND(AVERAGE(L11:L$28)/100,4)</f>
        <v>1.49E-2</v>
      </c>
    </row>
    <row r="12" spans="1:34" s="2723" customFormat="1" ht="15" customHeight="1" thickBot="1">
      <c r="A12" s="2618" t="s">
        <v>2975</v>
      </c>
      <c r="B12" s="2631">
        <f t="shared" si="7"/>
        <v>446.46299999999997</v>
      </c>
      <c r="C12" s="2631">
        <f t="shared" si="8"/>
        <v>333.27840000000003</v>
      </c>
      <c r="D12" s="2631">
        <f t="shared" ref="D12:D17" si="9">C12</f>
        <v>333.27840000000003</v>
      </c>
      <c r="E12" s="2631">
        <f t="shared" si="3"/>
        <v>637.28279999999995</v>
      </c>
      <c r="F12" s="2631">
        <f t="shared" si="3"/>
        <v>288.68830000000003</v>
      </c>
      <c r="G12" s="3447"/>
      <c r="H12" s="2621">
        <v>1</v>
      </c>
      <c r="I12" s="2621">
        <v>1.7</v>
      </c>
      <c r="J12" s="2621">
        <v>1.92</v>
      </c>
      <c r="K12" s="2621">
        <v>1.64</v>
      </c>
      <c r="L12" s="2632">
        <v>2.0099999999999998</v>
      </c>
      <c r="M12" s="2625"/>
      <c r="N12" s="2626">
        <f t="shared" ref="N12:N17" si="10">I12/100</f>
        <v>1.7000000000000001E-2</v>
      </c>
      <c r="O12" s="2627">
        <f t="shared" ref="O12:Q16" si="11">J12/100</f>
        <v>1.9199999999999998E-2</v>
      </c>
      <c r="P12" s="2627">
        <f t="shared" si="11"/>
        <v>1.6399999999999998E-2</v>
      </c>
      <c r="Q12" s="2627">
        <f t="shared" si="11"/>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si="5"/>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si="6"/>
        <v>1.66E-2</v>
      </c>
      <c r="AG12" s="2636">
        <f>ROUND(AVERAGE(K12:K$28)/100,4)</f>
        <v>2.6499999999999999E-2</v>
      </c>
      <c r="AH12" s="2636">
        <f>ROUND(AVERAGE(L12:L$28)/100,4)</f>
        <v>1.43E-2</v>
      </c>
    </row>
    <row r="13" spans="1:34">
      <c r="A13" s="2618" t="s">
        <v>2966</v>
      </c>
      <c r="B13" s="3096">
        <v>439</v>
      </c>
      <c r="C13" s="3096">
        <v>327</v>
      </c>
      <c r="D13" s="3096">
        <f t="shared" si="9"/>
        <v>327</v>
      </c>
      <c r="E13" s="3096">
        <v>627</v>
      </c>
      <c r="F13" s="3097">
        <v>283</v>
      </c>
      <c r="G13" s="3445">
        <v>2017</v>
      </c>
      <c r="H13" s="2619">
        <v>4</v>
      </c>
      <c r="I13" s="2619">
        <v>1.71</v>
      </c>
      <c r="J13" s="2619">
        <v>1.78</v>
      </c>
      <c r="K13" s="2619">
        <v>1.71</v>
      </c>
      <c r="L13" s="2620">
        <v>1.43</v>
      </c>
      <c r="N13" s="2639">
        <f t="shared" si="10"/>
        <v>1.7100000000000001E-2</v>
      </c>
      <c r="O13" s="2640">
        <f t="shared" si="11"/>
        <v>1.78E-2</v>
      </c>
      <c r="P13" s="2640">
        <f t="shared" si="11"/>
        <v>1.7100000000000001E-2</v>
      </c>
      <c r="Q13" s="2640">
        <f t="shared" si="11"/>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2970</v>
      </c>
      <c r="B14" s="2631">
        <f t="shared" ref="B14:C16" si="12">B15*(1+N14)</f>
        <v>431.80730811680002</v>
      </c>
      <c r="C14" s="2631">
        <f t="shared" si="12"/>
        <v>320.57880516480003</v>
      </c>
      <c r="D14" s="2631">
        <f t="shared" si="9"/>
        <v>320.57880516480003</v>
      </c>
      <c r="E14" s="2631">
        <f t="shared" ref="E14:F16" si="13">E15*(1+P14)</f>
        <v>615.96110553196797</v>
      </c>
      <c r="F14" s="2631">
        <f t="shared" si="13"/>
        <v>279.46777300108801</v>
      </c>
      <c r="G14" s="3446"/>
      <c r="H14" s="2621">
        <v>3</v>
      </c>
      <c r="I14" s="2621">
        <v>2.98</v>
      </c>
      <c r="J14" s="2621">
        <v>2.11</v>
      </c>
      <c r="K14" s="2621">
        <v>3.24</v>
      </c>
      <c r="L14" s="2632">
        <v>1.72</v>
      </c>
      <c r="M14" s="2625"/>
      <c r="N14" s="2626">
        <f t="shared" si="10"/>
        <v>2.98E-2</v>
      </c>
      <c r="O14" s="2644">
        <f t="shared" si="11"/>
        <v>2.1099999999999997E-2</v>
      </c>
      <c r="P14" s="2644">
        <f t="shared" si="11"/>
        <v>3.2400000000000005E-2</v>
      </c>
      <c r="Q14" s="2644">
        <f t="shared" si="11"/>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2579</v>
      </c>
      <c r="B15" s="2631">
        <f t="shared" si="12"/>
        <v>419.31181600000002</v>
      </c>
      <c r="C15" s="2631">
        <f t="shared" si="12"/>
        <v>313.95436800000004</v>
      </c>
      <c r="D15" s="2631">
        <f t="shared" si="9"/>
        <v>313.95436800000004</v>
      </c>
      <c r="E15" s="2631">
        <f t="shared" si="13"/>
        <v>596.63028431999999</v>
      </c>
      <c r="F15" s="2631">
        <f t="shared" si="13"/>
        <v>274.74220703999998</v>
      </c>
      <c r="G15" s="3446"/>
      <c r="H15" s="2622">
        <v>2</v>
      </c>
      <c r="I15" s="2622">
        <v>3.4</v>
      </c>
      <c r="J15" s="2622">
        <v>2</v>
      </c>
      <c r="K15" s="2622">
        <v>3.82</v>
      </c>
      <c r="L15" s="2633">
        <v>1.68</v>
      </c>
      <c r="N15" s="2626">
        <f t="shared" si="10"/>
        <v>3.4000000000000002E-2</v>
      </c>
      <c r="O15" s="2644">
        <f t="shared" si="11"/>
        <v>0.02</v>
      </c>
      <c r="P15" s="2644">
        <f t="shared" si="11"/>
        <v>3.8199999999999998E-2</v>
      </c>
      <c r="Q15" s="2644">
        <f t="shared" si="11"/>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2580</v>
      </c>
      <c r="B16" s="2631">
        <f t="shared" si="12"/>
        <v>405.524</v>
      </c>
      <c r="C16" s="2631">
        <f t="shared" si="12"/>
        <v>307.79840000000002</v>
      </c>
      <c r="D16" s="2631">
        <f t="shared" si="9"/>
        <v>307.79840000000002</v>
      </c>
      <c r="E16" s="2631">
        <f t="shared" si="13"/>
        <v>574.67759999999998</v>
      </c>
      <c r="F16" s="2631">
        <f t="shared" si="13"/>
        <v>270.20280000000002</v>
      </c>
      <c r="G16" s="3447"/>
      <c r="H16" s="2621">
        <v>1</v>
      </c>
      <c r="I16" s="2621">
        <v>3.45</v>
      </c>
      <c r="J16" s="2621">
        <v>1.92</v>
      </c>
      <c r="K16" s="2621">
        <v>3.92</v>
      </c>
      <c r="L16" s="2632">
        <v>1.58</v>
      </c>
      <c r="M16" s="2625"/>
      <c r="N16" s="2634">
        <f t="shared" si="10"/>
        <v>3.4500000000000003E-2</v>
      </c>
      <c r="O16" s="2635">
        <f t="shared" si="11"/>
        <v>1.9199999999999998E-2</v>
      </c>
      <c r="P16" s="2635">
        <f t="shared" si="11"/>
        <v>3.9199999999999999E-2</v>
      </c>
      <c r="Q16" s="2635">
        <f t="shared" si="11"/>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9"/>
        <v>302</v>
      </c>
      <c r="E17" s="2623">
        <v>553</v>
      </c>
      <c r="F17" s="2624">
        <v>266</v>
      </c>
      <c r="G17" s="3445">
        <v>2016</v>
      </c>
      <c r="H17" s="2619">
        <v>4</v>
      </c>
      <c r="I17" s="2619">
        <v>4.5599999999999996</v>
      </c>
      <c r="J17" s="2619">
        <v>2.15</v>
      </c>
      <c r="K17" s="2619">
        <v>5.32</v>
      </c>
      <c r="L17" s="2620">
        <v>1.57</v>
      </c>
      <c r="N17" s="2626">
        <f t="shared" si="10"/>
        <v>4.5599999999999995E-2</v>
      </c>
      <c r="O17" s="2627">
        <f t="shared" ref="O17:Q32" si="14">J17/100</f>
        <v>2.1499999999999998E-2</v>
      </c>
      <c r="P17" s="2627">
        <f t="shared" si="14"/>
        <v>5.3200000000000004E-2</v>
      </c>
      <c r="Q17" s="2627">
        <f t="shared" si="14"/>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15">B17/(1+N17)</f>
        <v>374.90436113236416</v>
      </c>
      <c r="C18" s="2631">
        <f t="shared" si="15"/>
        <v>295.64366128242779</v>
      </c>
      <c r="D18" s="2631">
        <f t="shared" ref="D18:D77" si="16">C18</f>
        <v>295.64366128242779</v>
      </c>
      <c r="E18" s="2631">
        <f t="shared" ref="E18:F20" si="17">E17/(1+P17)</f>
        <v>525.06646410938095</v>
      </c>
      <c r="F18" s="2631">
        <f t="shared" si="17"/>
        <v>261.88835286009646</v>
      </c>
      <c r="G18" s="3446"/>
      <c r="H18" s="2621">
        <v>3</v>
      </c>
      <c r="I18" s="2621">
        <v>4.12</v>
      </c>
      <c r="J18" s="2621">
        <v>2</v>
      </c>
      <c r="K18" s="2621">
        <v>4.79</v>
      </c>
      <c r="L18" s="2632">
        <v>1.97</v>
      </c>
      <c r="N18" s="2626">
        <f t="shared" ref="N18:Q52" si="18">I18/100</f>
        <v>4.1200000000000001E-2</v>
      </c>
      <c r="O18" s="2627">
        <f t="shared" si="14"/>
        <v>0.02</v>
      </c>
      <c r="P18" s="2627">
        <f t="shared" si="14"/>
        <v>4.7899999999999998E-2</v>
      </c>
      <c r="Q18" s="2627">
        <f t="shared" si="14"/>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15"/>
        <v>360.06949782209392</v>
      </c>
      <c r="C19" s="2631">
        <f t="shared" si="15"/>
        <v>289.84672674747821</v>
      </c>
      <c r="D19" s="2631">
        <f t="shared" si="16"/>
        <v>289.84672674747821</v>
      </c>
      <c r="E19" s="2631">
        <f t="shared" si="17"/>
        <v>501.06543001181495</v>
      </c>
      <c r="F19" s="2631">
        <f t="shared" si="17"/>
        <v>256.82882500744967</v>
      </c>
      <c r="G19" s="3446"/>
      <c r="H19" s="2622">
        <v>2</v>
      </c>
      <c r="I19" s="2622">
        <v>3.85</v>
      </c>
      <c r="J19" s="2622">
        <v>1.95</v>
      </c>
      <c r="K19" s="2622">
        <v>4.4800000000000004</v>
      </c>
      <c r="L19" s="2633">
        <v>1.41</v>
      </c>
      <c r="N19" s="2626">
        <f t="shared" si="18"/>
        <v>3.85E-2</v>
      </c>
      <c r="O19" s="2627">
        <f t="shared" si="14"/>
        <v>1.95E-2</v>
      </c>
      <c r="P19" s="2627">
        <f t="shared" si="14"/>
        <v>4.4800000000000006E-2</v>
      </c>
      <c r="Q19" s="2627">
        <f t="shared" si="14"/>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15"/>
        <v>346.720748986128</v>
      </c>
      <c r="C20" s="2631">
        <f t="shared" si="15"/>
        <v>284.30282172386285</v>
      </c>
      <c r="D20" s="2631">
        <f t="shared" si="16"/>
        <v>284.30282172386285</v>
      </c>
      <c r="E20" s="2631">
        <f t="shared" si="17"/>
        <v>479.58023546306947</v>
      </c>
      <c r="F20" s="2631">
        <f t="shared" si="17"/>
        <v>253.25788877571213</v>
      </c>
      <c r="G20" s="3449"/>
      <c r="H20" s="2621">
        <v>1</v>
      </c>
      <c r="I20" s="2621">
        <v>4.09</v>
      </c>
      <c r="J20" s="2621">
        <v>2.93</v>
      </c>
      <c r="K20" s="2621">
        <v>4.54</v>
      </c>
      <c r="L20" s="2632">
        <v>1.48</v>
      </c>
      <c r="N20" s="2626">
        <f t="shared" si="18"/>
        <v>4.0899999999999999E-2</v>
      </c>
      <c r="O20" s="2627">
        <f t="shared" si="14"/>
        <v>2.9300000000000003E-2</v>
      </c>
      <c r="P20" s="2627">
        <f t="shared" si="14"/>
        <v>4.5400000000000003E-2</v>
      </c>
      <c r="Q20" s="2627">
        <f t="shared" si="14"/>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16"/>
        <v>277</v>
      </c>
      <c r="E21" s="2623">
        <v>459</v>
      </c>
      <c r="F21" s="2624">
        <v>249</v>
      </c>
      <c r="G21" s="3448">
        <v>2015</v>
      </c>
      <c r="H21" s="2637">
        <v>4</v>
      </c>
      <c r="I21" s="2637">
        <v>1.63</v>
      </c>
      <c r="J21" s="2637">
        <v>1.1100000000000001</v>
      </c>
      <c r="K21" s="2637">
        <v>1.77</v>
      </c>
      <c r="L21" s="2638">
        <v>1.89</v>
      </c>
      <c r="N21" s="2639">
        <f t="shared" si="18"/>
        <v>1.6299999999999999E-2</v>
      </c>
      <c r="O21" s="2640">
        <f t="shared" si="14"/>
        <v>1.11E-2</v>
      </c>
      <c r="P21" s="2640">
        <f t="shared" si="14"/>
        <v>1.77E-2</v>
      </c>
      <c r="Q21" s="2640">
        <f t="shared" si="14"/>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9">B21/(1+N21)</f>
        <v>327.65915576109415</v>
      </c>
      <c r="C22" s="2631">
        <f t="shared" si="19"/>
        <v>273.95905449510434</v>
      </c>
      <c r="D22" s="2631">
        <f t="shared" si="16"/>
        <v>273.95905449510434</v>
      </c>
      <c r="E22" s="2631">
        <f t="shared" ref="E22:F24" si="20">E21/(1+P21)</f>
        <v>451.01699911565294</v>
      </c>
      <c r="F22" s="2631">
        <f t="shared" si="20"/>
        <v>244.38119540681129</v>
      </c>
      <c r="G22" s="3446"/>
      <c r="H22" s="2642">
        <v>3</v>
      </c>
      <c r="I22" s="2642">
        <v>1.65</v>
      </c>
      <c r="J22" s="2642">
        <v>0.92</v>
      </c>
      <c r="K22" s="2642">
        <v>1.88</v>
      </c>
      <c r="L22" s="2643">
        <v>1.26</v>
      </c>
      <c r="N22" s="2626">
        <f t="shared" si="18"/>
        <v>1.6500000000000001E-2</v>
      </c>
      <c r="O22" s="2644">
        <f t="shared" si="14"/>
        <v>9.1999999999999998E-3</v>
      </c>
      <c r="P22" s="2644">
        <f t="shared" si="14"/>
        <v>1.8799999999999997E-2</v>
      </c>
      <c r="Q22" s="2644">
        <f t="shared" si="14"/>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9"/>
        <v>322.34053690220776</v>
      </c>
      <c r="C23" s="2631">
        <f t="shared" si="19"/>
        <v>271.46160770422546</v>
      </c>
      <c r="D23" s="2631">
        <f t="shared" si="16"/>
        <v>271.46160770422546</v>
      </c>
      <c r="E23" s="2631">
        <f t="shared" si="20"/>
        <v>442.69434542172456</v>
      </c>
      <c r="F23" s="2631">
        <f t="shared" si="20"/>
        <v>241.34030753190925</v>
      </c>
      <c r="G23" s="3446"/>
      <c r="H23" s="2622">
        <v>2</v>
      </c>
      <c r="I23" s="2622">
        <v>0.77</v>
      </c>
      <c r="J23" s="2622">
        <v>0.69</v>
      </c>
      <c r="K23" s="2622">
        <v>0.8</v>
      </c>
      <c r="L23" s="2633">
        <v>0.88</v>
      </c>
      <c r="N23" s="2626">
        <f t="shared" si="18"/>
        <v>7.7000000000000002E-3</v>
      </c>
      <c r="O23" s="2644">
        <f t="shared" si="14"/>
        <v>6.8999999999999999E-3</v>
      </c>
      <c r="P23" s="2644">
        <f t="shared" si="14"/>
        <v>8.0000000000000002E-3</v>
      </c>
      <c r="Q23" s="2644">
        <f t="shared" si="14"/>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9"/>
        <v>319.87748030386797</v>
      </c>
      <c r="C24" s="2631">
        <f t="shared" si="19"/>
        <v>269.60135833173649</v>
      </c>
      <c r="D24" s="2631">
        <f t="shared" si="16"/>
        <v>269.60135833173649</v>
      </c>
      <c r="E24" s="2631">
        <f t="shared" si="20"/>
        <v>439.18089823583784</v>
      </c>
      <c r="F24" s="2631">
        <f t="shared" si="20"/>
        <v>239.23503918706311</v>
      </c>
      <c r="G24" s="3449"/>
      <c r="H24" s="2621">
        <v>1</v>
      </c>
      <c r="I24" s="2621">
        <v>0.51</v>
      </c>
      <c r="J24" s="2621">
        <v>0.54</v>
      </c>
      <c r="K24" s="2621">
        <v>0.48</v>
      </c>
      <c r="L24" s="2632">
        <v>0.93</v>
      </c>
      <c r="N24" s="2634">
        <f t="shared" si="18"/>
        <v>5.1000000000000004E-3</v>
      </c>
      <c r="O24" s="2635">
        <f t="shared" si="14"/>
        <v>5.4000000000000003E-3</v>
      </c>
      <c r="P24" s="2635">
        <f t="shared" si="14"/>
        <v>4.7999999999999996E-3</v>
      </c>
      <c r="Q24" s="2635">
        <f t="shared" si="14"/>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16"/>
        <v>268</v>
      </c>
      <c r="E25" s="2645">
        <v>437</v>
      </c>
      <c r="F25" s="2646">
        <v>237</v>
      </c>
      <c r="G25" s="3448">
        <v>2014</v>
      </c>
      <c r="H25" s="2637">
        <v>4</v>
      </c>
      <c r="I25" s="2637">
        <v>0.21</v>
      </c>
      <c r="J25" s="2637">
        <v>0.41</v>
      </c>
      <c r="K25" s="2637">
        <v>0.12</v>
      </c>
      <c r="L25" s="2638">
        <v>0.89</v>
      </c>
      <c r="N25" s="2626">
        <f t="shared" si="18"/>
        <v>2.0999999999999999E-3</v>
      </c>
      <c r="O25" s="2627">
        <f t="shared" si="14"/>
        <v>4.0999999999999995E-3</v>
      </c>
      <c r="P25" s="2627">
        <f t="shared" si="14"/>
        <v>1.1999999999999999E-3</v>
      </c>
      <c r="Q25" s="2627">
        <f t="shared" si="14"/>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21">B25/(1+N25)</f>
        <v>317.33359944117353</v>
      </c>
      <c r="C26" s="2631">
        <f t="shared" si="21"/>
        <v>266.90568668459315</v>
      </c>
      <c r="D26" s="2631">
        <f t="shared" si="16"/>
        <v>266.90568668459315</v>
      </c>
      <c r="E26" s="2631">
        <f t="shared" ref="E26:F28" si="22">E25/(1+P25)</f>
        <v>436.47622852576905</v>
      </c>
      <c r="F26" s="2631">
        <f t="shared" si="22"/>
        <v>234.90930716622066</v>
      </c>
      <c r="G26" s="3446"/>
      <c r="H26" s="2647">
        <v>3</v>
      </c>
      <c r="I26" s="2647">
        <v>0.83</v>
      </c>
      <c r="J26" s="2647">
        <v>1.47</v>
      </c>
      <c r="K26" s="2647">
        <v>0.65</v>
      </c>
      <c r="L26" s="2648">
        <v>0.72</v>
      </c>
      <c r="N26" s="2626">
        <f t="shared" si="18"/>
        <v>8.3000000000000001E-3</v>
      </c>
      <c r="O26" s="2627">
        <f t="shared" si="14"/>
        <v>1.47E-2</v>
      </c>
      <c r="P26" s="2627">
        <f t="shared" si="14"/>
        <v>6.5000000000000006E-3</v>
      </c>
      <c r="Q26" s="2627">
        <f t="shared" si="14"/>
        <v>7.1999999999999998E-3</v>
      </c>
      <c r="R26" s="2628"/>
      <c r="S26" s="2626"/>
      <c r="T26" s="2627"/>
      <c r="U26" s="2627"/>
      <c r="V26" s="2627"/>
      <c r="X26" s="2716">
        <f>ROUND(SUMPRODUCT(PRODUCT(1+N26:N$27)),4)</f>
        <v>1.0325</v>
      </c>
      <c r="Y26" s="2716">
        <f>ROUND(SUMPRODUCT(PRODUCT(1+O26:O$27)),4)</f>
        <v>1.0353000000000001</v>
      </c>
      <c r="Z26" s="2716">
        <f>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21"/>
        <v>314.72141172386546</v>
      </c>
      <c r="C27" s="2631">
        <f t="shared" si="21"/>
        <v>263.03901319069001</v>
      </c>
      <c r="D27" s="2631">
        <f t="shared" si="16"/>
        <v>263.03901319069001</v>
      </c>
      <c r="E27" s="2631">
        <f t="shared" si="22"/>
        <v>433.65745506782821</v>
      </c>
      <c r="F27" s="2631">
        <f t="shared" si="22"/>
        <v>233.23005080045735</v>
      </c>
      <c r="G27" s="3446"/>
      <c r="H27" s="2637">
        <v>2</v>
      </c>
      <c r="I27" s="2637">
        <v>2.4</v>
      </c>
      <c r="J27" s="2637">
        <v>2.0299999999999998</v>
      </c>
      <c r="K27" s="2637">
        <v>2.59</v>
      </c>
      <c r="L27" s="2638">
        <v>1.52</v>
      </c>
      <c r="N27" s="2626">
        <f t="shared" si="18"/>
        <v>2.4E-2</v>
      </c>
      <c r="O27" s="2627">
        <f t="shared" si="14"/>
        <v>2.0299999999999999E-2</v>
      </c>
      <c r="P27" s="2627">
        <f t="shared" si="14"/>
        <v>2.5899999999999999E-2</v>
      </c>
      <c r="Q27" s="2627">
        <f t="shared" si="14"/>
        <v>1.52E-2</v>
      </c>
      <c r="R27" s="2628"/>
      <c r="S27" s="2626"/>
      <c r="T27" s="2627"/>
      <c r="U27" s="2627"/>
      <c r="V27" s="2627"/>
      <c r="X27" s="2716">
        <f>1+N27</f>
        <v>1.024</v>
      </c>
      <c r="Y27" s="2716">
        <f>1+O27</f>
        <v>1.0203</v>
      </c>
      <c r="Z27" s="2716">
        <f>Y27</f>
        <v>1.0203</v>
      </c>
      <c r="AA27" s="2716">
        <f>1+P27</f>
        <v>1.0259</v>
      </c>
      <c r="AB27" s="2716">
        <f>1+Q27</f>
        <v>1.0152000000000001</v>
      </c>
      <c r="AD27" s="2636">
        <f>ROUND(AVERAGE(I27:I$28)/100,4)</f>
        <v>2.69E-2</v>
      </c>
      <c r="AE27" s="2636">
        <f>ROUND(AVERAGE(J27:J$28)/100,4)</f>
        <v>2.1899999999999999E-2</v>
      </c>
      <c r="AF27" s="2636">
        <f>AE27</f>
        <v>2.1899999999999999E-2</v>
      </c>
      <c r="AG27" s="2636">
        <f>ROUND(AVERAGE(K27:K$28)/100,4)</f>
        <v>2.9399999999999999E-2</v>
      </c>
      <c r="AH27" s="2636">
        <f>ROUND(AVERAGE(L27:L$28)/100,4)</f>
        <v>1.44E-2</v>
      </c>
    </row>
    <row r="28" spans="1:34" s="2653" customFormat="1" ht="13.5" thickBot="1">
      <c r="A28" s="2649" t="s">
        <v>960</v>
      </c>
      <c r="B28" s="2650">
        <f t="shared" si="21"/>
        <v>307.34512863658733</v>
      </c>
      <c r="C28" s="2650">
        <f t="shared" si="21"/>
        <v>257.80556031626975</v>
      </c>
      <c r="D28" s="2650">
        <f t="shared" si="16"/>
        <v>257.80556031626975</v>
      </c>
      <c r="E28" s="2650">
        <f t="shared" si="22"/>
        <v>422.70928459677179</v>
      </c>
      <c r="F28" s="2650">
        <f t="shared" si="22"/>
        <v>229.73803270336617</v>
      </c>
      <c r="G28" s="3449"/>
      <c r="H28" s="2651">
        <v>1</v>
      </c>
      <c r="I28" s="2651">
        <v>2.97</v>
      </c>
      <c r="J28" s="2651">
        <v>2.34</v>
      </c>
      <c r="K28" s="2651">
        <v>3.28</v>
      </c>
      <c r="L28" s="2652">
        <v>1.36</v>
      </c>
      <c r="N28" s="2654">
        <f t="shared" si="18"/>
        <v>2.9700000000000001E-2</v>
      </c>
      <c r="O28" s="2655">
        <f t="shared" si="14"/>
        <v>2.3399999999999997E-2</v>
      </c>
      <c r="P28" s="2655">
        <f t="shared" si="14"/>
        <v>3.2799999999999996E-2</v>
      </c>
      <c r="Q28" s="2655">
        <f t="shared" si="14"/>
        <v>1.3600000000000001E-2</v>
      </c>
      <c r="R28" s="2656"/>
      <c r="S28" s="2657">
        <f>B28/B29-1</f>
        <v>2.7910129219355539E-2</v>
      </c>
      <c r="T28" s="2658">
        <f>C28/C29-1</f>
        <v>2.3037937762975247E-2</v>
      </c>
      <c r="U28" s="2658">
        <f>E28/E29-1</f>
        <v>3.3519033243940788E-2</v>
      </c>
      <c r="V28" s="2658">
        <f>F28/F29-1</f>
        <v>1.2061818076502862E-2</v>
      </c>
      <c r="W28" s="2725" t="s">
        <v>2638</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2581</v>
      </c>
      <c r="B29" s="2623">
        <v>299</v>
      </c>
      <c r="C29" s="2623">
        <v>252</v>
      </c>
      <c r="D29" s="2623">
        <f t="shared" si="16"/>
        <v>252</v>
      </c>
      <c r="E29" s="2623">
        <v>409</v>
      </c>
      <c r="F29" s="2624">
        <v>227</v>
      </c>
      <c r="G29" s="3453">
        <v>2013</v>
      </c>
      <c r="H29" s="2659">
        <v>4</v>
      </c>
      <c r="I29" s="2659">
        <v>1.83</v>
      </c>
      <c r="J29" s="2659">
        <v>1.68</v>
      </c>
      <c r="K29" s="2659">
        <v>1.97</v>
      </c>
      <c r="L29" s="2660">
        <v>0.87</v>
      </c>
      <c r="N29" s="2639">
        <f t="shared" si="18"/>
        <v>1.83E-2</v>
      </c>
      <c r="O29" s="2640">
        <f t="shared" si="14"/>
        <v>1.6799999999999999E-2</v>
      </c>
      <c r="P29" s="2640">
        <f t="shared" si="14"/>
        <v>1.9699999999999999E-2</v>
      </c>
      <c r="Q29" s="2640">
        <f t="shared" si="14"/>
        <v>8.6999999999999994E-3</v>
      </c>
      <c r="R29" s="2628"/>
      <c r="S29" s="2629"/>
      <c r="T29" s="2630"/>
      <c r="U29" s="2630"/>
      <c r="V29" s="2630"/>
      <c r="X29" s="2630"/>
      <c r="Y29" s="2630"/>
      <c r="Z29" s="2630"/>
    </row>
    <row r="30" spans="1:34">
      <c r="A30" s="2618" t="s">
        <v>2582</v>
      </c>
      <c r="B30" s="2631">
        <f t="shared" ref="B30:C32" si="23">B29/(1+N29)</f>
        <v>293.62663262299913</v>
      </c>
      <c r="C30" s="2631">
        <f t="shared" si="23"/>
        <v>247.83634933123525</v>
      </c>
      <c r="D30" s="2631">
        <f t="shared" si="16"/>
        <v>247.83634933123525</v>
      </c>
      <c r="E30" s="2631">
        <f t="shared" ref="E30:F32" si="24">E29/(1+P29)</f>
        <v>401.09836226341076</v>
      </c>
      <c r="F30" s="2631">
        <f t="shared" si="24"/>
        <v>225.04213343908003</v>
      </c>
      <c r="G30" s="3454"/>
      <c r="H30" s="2642">
        <v>3</v>
      </c>
      <c r="I30" s="2642">
        <v>1.86</v>
      </c>
      <c r="J30" s="2642">
        <v>1.72</v>
      </c>
      <c r="K30" s="2642">
        <v>1.98</v>
      </c>
      <c r="L30" s="2643">
        <v>0.88</v>
      </c>
      <c r="N30" s="2626">
        <f t="shared" si="18"/>
        <v>1.8600000000000002E-2</v>
      </c>
      <c r="O30" s="2644">
        <f t="shared" si="14"/>
        <v>1.72E-2</v>
      </c>
      <c r="P30" s="2644">
        <f t="shared" si="14"/>
        <v>1.9799999999999998E-2</v>
      </c>
      <c r="Q30" s="2644">
        <f t="shared" si="14"/>
        <v>8.8000000000000005E-3</v>
      </c>
      <c r="R30" s="2628"/>
      <c r="S30" s="2626"/>
      <c r="T30" s="2627"/>
      <c r="U30" s="2627"/>
      <c r="V30" s="2627"/>
    </row>
    <row r="31" spans="1:34">
      <c r="A31" s="2618" t="s">
        <v>2583</v>
      </c>
      <c r="B31" s="2631">
        <f t="shared" si="23"/>
        <v>288.2649053828776</v>
      </c>
      <c r="C31" s="2631">
        <f t="shared" si="23"/>
        <v>243.64564425013293</v>
      </c>
      <c r="D31" s="2631">
        <f t="shared" si="16"/>
        <v>243.64564425013293</v>
      </c>
      <c r="E31" s="2631">
        <f t="shared" si="24"/>
        <v>393.31080825986544</v>
      </c>
      <c r="F31" s="2631">
        <f t="shared" si="24"/>
        <v>223.07903790551154</v>
      </c>
      <c r="G31" s="3454"/>
      <c r="H31" s="2622">
        <v>2</v>
      </c>
      <c r="I31" s="2622">
        <v>2.04</v>
      </c>
      <c r="J31" s="2622">
        <v>2.33</v>
      </c>
      <c r="K31" s="2622">
        <v>2.0699999999999998</v>
      </c>
      <c r="L31" s="2633">
        <v>0.69</v>
      </c>
      <c r="N31" s="2626">
        <f t="shared" si="18"/>
        <v>2.0400000000000001E-2</v>
      </c>
      <c r="O31" s="2644">
        <f t="shared" si="14"/>
        <v>2.3300000000000001E-2</v>
      </c>
      <c r="P31" s="2644">
        <f t="shared" si="14"/>
        <v>2.07E-2</v>
      </c>
      <c r="Q31" s="2644">
        <f t="shared" si="14"/>
        <v>6.8999999999999999E-3</v>
      </c>
      <c r="R31" s="2628"/>
      <c r="S31" s="2626"/>
      <c r="T31" s="2627"/>
      <c r="U31" s="2627"/>
      <c r="V31" s="2627"/>
      <c r="X31" s="2728"/>
      <c r="Y31" s="2730"/>
    </row>
    <row r="32" spans="1:34">
      <c r="A32" s="2618" t="s">
        <v>2584</v>
      </c>
      <c r="B32" s="2631">
        <f t="shared" si="23"/>
        <v>282.50186729015837</v>
      </c>
      <c r="C32" s="2631">
        <f t="shared" si="23"/>
        <v>238.09796174155468</v>
      </c>
      <c r="D32" s="2631">
        <f t="shared" si="16"/>
        <v>238.09796174155468</v>
      </c>
      <c r="E32" s="2631">
        <f t="shared" si="24"/>
        <v>385.33438646014054</v>
      </c>
      <c r="F32" s="2631">
        <f t="shared" si="24"/>
        <v>221.55034055567739</v>
      </c>
      <c r="G32" s="3455"/>
      <c r="H32" s="2621">
        <v>1</v>
      </c>
      <c r="I32" s="2621">
        <v>1.67</v>
      </c>
      <c r="J32" s="2621">
        <v>1.31</v>
      </c>
      <c r="K32" s="2621">
        <v>1.85</v>
      </c>
      <c r="L32" s="2632">
        <v>0.96</v>
      </c>
      <c r="N32" s="2634">
        <f t="shared" si="18"/>
        <v>1.67E-2</v>
      </c>
      <c r="O32" s="2635">
        <f t="shared" si="14"/>
        <v>1.3100000000000001E-2</v>
      </c>
      <c r="P32" s="2635">
        <f t="shared" si="14"/>
        <v>1.8500000000000003E-2</v>
      </c>
      <c r="Q32" s="2635">
        <f t="shared" si="14"/>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2585</v>
      </c>
      <c r="B33" s="2661">
        <v>278</v>
      </c>
      <c r="C33" s="2661">
        <v>234</v>
      </c>
      <c r="D33" s="2661">
        <f t="shared" si="16"/>
        <v>234</v>
      </c>
      <c r="E33" s="2661">
        <v>379</v>
      </c>
      <c r="F33" s="2662">
        <v>220</v>
      </c>
      <c r="G33" s="3448">
        <v>2012</v>
      </c>
      <c r="H33" s="2637">
        <v>4</v>
      </c>
      <c r="I33" s="2637">
        <v>0.91</v>
      </c>
      <c r="J33" s="2637">
        <v>0.68</v>
      </c>
      <c r="K33" s="2637">
        <v>0.98</v>
      </c>
      <c r="L33" s="2638">
        <v>0.9</v>
      </c>
      <c r="N33" s="2626">
        <f t="shared" si="18"/>
        <v>9.1000000000000004E-3</v>
      </c>
      <c r="O33" s="2627">
        <f t="shared" si="18"/>
        <v>6.8000000000000005E-3</v>
      </c>
      <c r="P33" s="2627">
        <f t="shared" si="18"/>
        <v>9.7999999999999997E-3</v>
      </c>
      <c r="Q33" s="2627">
        <f t="shared" si="18"/>
        <v>9.0000000000000011E-3</v>
      </c>
      <c r="R33" s="2628"/>
      <c r="S33" s="2629"/>
      <c r="T33" s="2630"/>
      <c r="U33" s="2630"/>
      <c r="V33" s="2630"/>
      <c r="X33" s="2630"/>
      <c r="Y33" s="2630"/>
      <c r="Z33" s="2630"/>
    </row>
    <row r="34" spans="1:26">
      <c r="A34" s="2618" t="s">
        <v>2586</v>
      </c>
      <c r="B34" s="2631">
        <f>B33/(1+N33)</f>
        <v>275.49301357645425</v>
      </c>
      <c r="C34" s="2631">
        <f>C33/(1+O33)</f>
        <v>232.41954707985698</v>
      </c>
      <c r="D34" s="2631">
        <f t="shared" si="16"/>
        <v>232.41954707985698</v>
      </c>
      <c r="E34" s="2631">
        <f t="shared" ref="E34:F36" si="25">E33/(1+P33)</f>
        <v>375.32184591008121</v>
      </c>
      <c r="F34" s="2631">
        <f t="shared" si="25"/>
        <v>218.03766105054513</v>
      </c>
      <c r="G34" s="3446"/>
      <c r="H34" s="2642">
        <v>3</v>
      </c>
      <c r="I34" s="2642">
        <v>0.09</v>
      </c>
      <c r="J34" s="2642">
        <v>0.28999999999999998</v>
      </c>
      <c r="K34" s="2642">
        <v>-0.01</v>
      </c>
      <c r="L34" s="2643">
        <v>0.57999999999999996</v>
      </c>
      <c r="N34" s="2626">
        <f t="shared" si="18"/>
        <v>8.9999999999999998E-4</v>
      </c>
      <c r="O34" s="2627">
        <f t="shared" si="18"/>
        <v>2.8999999999999998E-3</v>
      </c>
      <c r="P34" s="2627">
        <f t="shared" si="18"/>
        <v>-1E-4</v>
      </c>
      <c r="Q34" s="2627">
        <f t="shared" si="18"/>
        <v>5.7999999999999996E-3</v>
      </c>
      <c r="R34" s="2628"/>
      <c r="S34" s="2626"/>
      <c r="T34" s="2627"/>
      <c r="U34" s="2627"/>
      <c r="V34" s="2627"/>
    </row>
    <row r="35" spans="1:26">
      <c r="A35" s="2618" t="s">
        <v>2587</v>
      </c>
      <c r="B35" s="2631">
        <f>B34/(1+N34)</f>
        <v>275.24529281292263</v>
      </c>
      <c r="C35" s="2631">
        <f>C34/(1+O34)</f>
        <v>231.74747938962707</v>
      </c>
      <c r="D35" s="2631">
        <f t="shared" si="16"/>
        <v>231.74747938962707</v>
      </c>
      <c r="E35" s="2631">
        <f t="shared" si="25"/>
        <v>375.35938184826603</v>
      </c>
      <c r="F35" s="2631">
        <f t="shared" si="25"/>
        <v>216.78033510692495</v>
      </c>
      <c r="G35" s="3446"/>
      <c r="H35" s="2622">
        <v>2</v>
      </c>
      <c r="I35" s="2622">
        <v>0.02</v>
      </c>
      <c r="J35" s="2622">
        <v>0.12</v>
      </c>
      <c r="K35" s="2622">
        <v>-0.08</v>
      </c>
      <c r="L35" s="2633">
        <v>1.24</v>
      </c>
      <c r="N35" s="2626">
        <f t="shared" si="18"/>
        <v>2.0000000000000001E-4</v>
      </c>
      <c r="O35" s="2627">
        <f t="shared" si="18"/>
        <v>1.1999999999999999E-3</v>
      </c>
      <c r="P35" s="2627">
        <f t="shared" si="18"/>
        <v>-8.0000000000000004E-4</v>
      </c>
      <c r="Q35" s="2627">
        <f t="shared" si="18"/>
        <v>1.24E-2</v>
      </c>
      <c r="R35" s="2628"/>
      <c r="S35" s="2626"/>
      <c r="T35" s="2627"/>
      <c r="U35" s="2627"/>
      <c r="V35" s="2627"/>
    </row>
    <row r="36" spans="1:26" ht="13.5" thickBot="1">
      <c r="A36" s="2618" t="s">
        <v>2588</v>
      </c>
      <c r="B36" s="2631">
        <f>B35/(1+N35)</f>
        <v>275.19025476197027</v>
      </c>
      <c r="C36" s="2663">
        <v>232</v>
      </c>
      <c r="D36" s="2663">
        <f t="shared" si="16"/>
        <v>232</v>
      </c>
      <c r="E36" s="2631">
        <f t="shared" si="25"/>
        <v>375.65990977608692</v>
      </c>
      <c r="F36" s="2631">
        <f t="shared" si="25"/>
        <v>214.12518283971252</v>
      </c>
      <c r="G36" s="3449"/>
      <c r="H36" s="2621">
        <v>1</v>
      </c>
      <c r="I36" s="2621">
        <v>0.02</v>
      </c>
      <c r="J36" s="2621">
        <v>0.13</v>
      </c>
      <c r="K36" s="2621">
        <v>-0.04</v>
      </c>
      <c r="L36" s="2632">
        <v>0.46</v>
      </c>
      <c r="N36" s="2626">
        <f t="shared" si="18"/>
        <v>2.0000000000000001E-4</v>
      </c>
      <c r="O36" s="2627">
        <f t="shared" si="18"/>
        <v>1.2999999999999999E-3</v>
      </c>
      <c r="P36" s="2627">
        <f t="shared" si="18"/>
        <v>-4.0000000000000002E-4</v>
      </c>
      <c r="Q36" s="2627">
        <f t="shared" si="18"/>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2589</v>
      </c>
      <c r="B37" s="2623">
        <v>275</v>
      </c>
      <c r="C37" s="2623">
        <v>232</v>
      </c>
      <c r="D37" s="2623">
        <f t="shared" si="16"/>
        <v>232</v>
      </c>
      <c r="E37" s="2623">
        <v>376</v>
      </c>
      <c r="F37" s="2624">
        <v>213</v>
      </c>
      <c r="G37" s="3448">
        <v>2011</v>
      </c>
      <c r="H37" s="2637">
        <v>4</v>
      </c>
      <c r="I37" s="2637">
        <v>-0.2</v>
      </c>
      <c r="J37" s="2637">
        <v>0.04</v>
      </c>
      <c r="K37" s="2637">
        <v>-0.34</v>
      </c>
      <c r="L37" s="2638">
        <v>0.46</v>
      </c>
      <c r="N37" s="2639">
        <f t="shared" si="18"/>
        <v>-2E-3</v>
      </c>
      <c r="O37" s="2640">
        <f t="shared" si="18"/>
        <v>4.0000000000000002E-4</v>
      </c>
      <c r="P37" s="2640">
        <f t="shared" si="18"/>
        <v>-3.4000000000000002E-3</v>
      </c>
      <c r="Q37" s="2640">
        <f t="shared" si="18"/>
        <v>4.5999999999999999E-3</v>
      </c>
      <c r="R37" s="2628"/>
      <c r="S37" s="2629"/>
      <c r="T37" s="2630"/>
      <c r="U37" s="2630"/>
      <c r="V37" s="2630"/>
      <c r="X37" s="2630"/>
      <c r="Y37" s="2630"/>
      <c r="Z37" s="2630"/>
    </row>
    <row r="38" spans="1:26">
      <c r="A38" s="2618" t="s">
        <v>2590</v>
      </c>
      <c r="B38" s="2631">
        <f t="shared" ref="B38:C40" si="26">B37/(1+N37)</f>
        <v>275.55110220440883</v>
      </c>
      <c r="C38" s="2631">
        <f t="shared" si="26"/>
        <v>231.90723710515795</v>
      </c>
      <c r="D38" s="2631">
        <f t="shared" si="16"/>
        <v>231.90723710515795</v>
      </c>
      <c r="E38" s="2631">
        <f t="shared" ref="E38:F40" si="27">E37/(1+P37)</f>
        <v>377.28276138872161</v>
      </c>
      <c r="F38" s="2631">
        <f t="shared" si="27"/>
        <v>212.02468644236512</v>
      </c>
      <c r="G38" s="3446">
        <v>2011</v>
      </c>
      <c r="H38" s="2642">
        <v>3</v>
      </c>
      <c r="I38" s="2642">
        <v>0.13</v>
      </c>
      <c r="J38" s="2642">
        <v>0.75</v>
      </c>
      <c r="K38" s="2642">
        <v>-0.08</v>
      </c>
      <c r="L38" s="2643">
        <v>0.53</v>
      </c>
      <c r="N38" s="2626">
        <f t="shared" si="18"/>
        <v>1.2999999999999999E-3</v>
      </c>
      <c r="O38" s="2644">
        <f t="shared" si="18"/>
        <v>7.4999999999999997E-3</v>
      </c>
      <c r="P38" s="2644">
        <f t="shared" si="18"/>
        <v>-8.0000000000000004E-4</v>
      </c>
      <c r="Q38" s="2644">
        <f t="shared" si="18"/>
        <v>5.3E-3</v>
      </c>
      <c r="R38" s="2628"/>
      <c r="S38" s="2626"/>
      <c r="T38" s="2627"/>
      <c r="U38" s="2627"/>
      <c r="V38" s="2627"/>
    </row>
    <row r="39" spans="1:26">
      <c r="A39" s="2618" t="s">
        <v>2591</v>
      </c>
      <c r="B39" s="2631">
        <f t="shared" si="26"/>
        <v>275.19335084830601</v>
      </c>
      <c r="C39" s="2631">
        <f t="shared" si="26"/>
        <v>230.18088050139744</v>
      </c>
      <c r="D39" s="2631">
        <f t="shared" si="16"/>
        <v>230.18088050139744</v>
      </c>
      <c r="E39" s="2631">
        <f t="shared" si="27"/>
        <v>377.58482925212331</v>
      </c>
      <c r="F39" s="2631">
        <f t="shared" si="27"/>
        <v>210.90687997847917</v>
      </c>
      <c r="G39" s="3446">
        <v>2011</v>
      </c>
      <c r="H39" s="2622">
        <v>2</v>
      </c>
      <c r="I39" s="2622">
        <v>-0.4</v>
      </c>
      <c r="J39" s="2622">
        <v>0.17</v>
      </c>
      <c r="K39" s="2622">
        <v>-0.57999999999999996</v>
      </c>
      <c r="L39" s="2633">
        <v>-0.2</v>
      </c>
      <c r="N39" s="2626">
        <f t="shared" si="18"/>
        <v>-4.0000000000000001E-3</v>
      </c>
      <c r="O39" s="2644">
        <f t="shared" si="18"/>
        <v>1.7000000000000001E-3</v>
      </c>
      <c r="P39" s="2644">
        <f t="shared" si="18"/>
        <v>-5.7999999999999996E-3</v>
      </c>
      <c r="Q39" s="2644">
        <f t="shared" si="18"/>
        <v>-2E-3</v>
      </c>
      <c r="R39" s="2628"/>
      <c r="S39" s="2626"/>
      <c r="T39" s="2627"/>
      <c r="U39" s="2627"/>
      <c r="V39" s="2627"/>
    </row>
    <row r="40" spans="1:26" ht="13.5" thickBot="1">
      <c r="A40" s="2618" t="s">
        <v>2592</v>
      </c>
      <c r="B40" s="2631">
        <f t="shared" si="26"/>
        <v>276.29854502841971</v>
      </c>
      <c r="C40" s="2631">
        <f t="shared" si="26"/>
        <v>229.79023709833027</v>
      </c>
      <c r="D40" s="2631">
        <f t="shared" si="16"/>
        <v>229.79023709833027</v>
      </c>
      <c r="E40" s="2631">
        <f t="shared" si="27"/>
        <v>379.78759731655936</v>
      </c>
      <c r="F40" s="2631">
        <f t="shared" si="27"/>
        <v>211.32953905659235</v>
      </c>
      <c r="G40" s="3449">
        <v>2011</v>
      </c>
      <c r="H40" s="2621">
        <v>1</v>
      </c>
      <c r="I40" s="2621">
        <v>2.65</v>
      </c>
      <c r="J40" s="2621">
        <v>3.76</v>
      </c>
      <c r="K40" s="2621">
        <v>1.89</v>
      </c>
      <c r="L40" s="2632">
        <v>7.95</v>
      </c>
      <c r="N40" s="2634">
        <f t="shared" si="18"/>
        <v>2.6499999999999999E-2</v>
      </c>
      <c r="O40" s="2635">
        <f t="shared" si="18"/>
        <v>3.7599999999999995E-2</v>
      </c>
      <c r="P40" s="2635">
        <f t="shared" si="18"/>
        <v>1.89E-2</v>
      </c>
      <c r="Q40" s="2635">
        <f t="shared" si="18"/>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2593</v>
      </c>
      <c r="B41" s="2623">
        <v>269</v>
      </c>
      <c r="C41" s="2623">
        <v>221</v>
      </c>
      <c r="D41" s="2623">
        <f t="shared" si="16"/>
        <v>221</v>
      </c>
      <c r="E41" s="2623">
        <v>373</v>
      </c>
      <c r="F41" s="2624">
        <v>196</v>
      </c>
      <c r="G41" s="3448">
        <v>2010</v>
      </c>
      <c r="H41" s="2637">
        <v>4</v>
      </c>
      <c r="I41" s="2637">
        <v>5.72</v>
      </c>
      <c r="J41" s="2637">
        <v>6.57</v>
      </c>
      <c r="K41" s="2637">
        <v>5.72</v>
      </c>
      <c r="L41" s="2638">
        <v>2.72</v>
      </c>
      <c r="N41" s="2626">
        <f t="shared" si="18"/>
        <v>5.7200000000000001E-2</v>
      </c>
      <c r="O41" s="2627">
        <f t="shared" si="18"/>
        <v>6.5700000000000008E-2</v>
      </c>
      <c r="P41" s="2627">
        <f t="shared" si="18"/>
        <v>5.7200000000000001E-2</v>
      </c>
      <c r="Q41" s="2627">
        <f t="shared" si="18"/>
        <v>2.7200000000000002E-2</v>
      </c>
      <c r="R41" s="2628"/>
      <c r="S41" s="2629"/>
      <c r="T41" s="2630"/>
      <c r="U41" s="2630"/>
      <c r="V41" s="2630"/>
      <c r="X41" s="2630"/>
      <c r="Y41" s="2630"/>
      <c r="Z41" s="2630"/>
    </row>
    <row r="42" spans="1:26">
      <c r="A42" s="2618" t="s">
        <v>2594</v>
      </c>
      <c r="B42" s="2631">
        <f t="shared" ref="B42:C44" si="28">B41/(1+N41)</f>
        <v>254.44570563753314</v>
      </c>
      <c r="C42" s="2631">
        <f t="shared" si="28"/>
        <v>207.37543398705074</v>
      </c>
      <c r="D42" s="2631">
        <f t="shared" si="16"/>
        <v>207.37543398705074</v>
      </c>
      <c r="E42" s="2631">
        <f t="shared" ref="E42:F44" si="29">E41/(1+P41)</f>
        <v>352.81876655315932</v>
      </c>
      <c r="F42" s="2631">
        <f t="shared" si="29"/>
        <v>190.809968847352</v>
      </c>
      <c r="G42" s="3446">
        <v>2010</v>
      </c>
      <c r="H42" s="2642">
        <v>3</v>
      </c>
      <c r="I42" s="2642">
        <v>4.7300000000000004</v>
      </c>
      <c r="J42" s="2642">
        <v>3.9</v>
      </c>
      <c r="K42" s="2642">
        <v>5.03</v>
      </c>
      <c r="L42" s="2643">
        <v>4.21</v>
      </c>
      <c r="N42" s="2626">
        <f t="shared" si="18"/>
        <v>4.7300000000000002E-2</v>
      </c>
      <c r="O42" s="2627">
        <f t="shared" si="18"/>
        <v>3.9E-2</v>
      </c>
      <c r="P42" s="2627">
        <f t="shared" si="18"/>
        <v>5.0300000000000004E-2</v>
      </c>
      <c r="Q42" s="2627">
        <f t="shared" si="18"/>
        <v>4.2099999999999999E-2</v>
      </c>
      <c r="R42" s="2628"/>
      <c r="S42" s="2626"/>
      <c r="T42" s="2627"/>
      <c r="U42" s="2627"/>
      <c r="V42" s="2627"/>
    </row>
    <row r="43" spans="1:26">
      <c r="A43" s="2618" t="s">
        <v>2595</v>
      </c>
      <c r="B43" s="2631">
        <f t="shared" si="28"/>
        <v>242.95398227588385</v>
      </c>
      <c r="C43" s="2631">
        <f t="shared" si="28"/>
        <v>199.59137053614126</v>
      </c>
      <c r="D43" s="2631">
        <f t="shared" si="16"/>
        <v>199.59137053614126</v>
      </c>
      <c r="E43" s="2631">
        <f t="shared" si="29"/>
        <v>335.92189522342125</v>
      </c>
      <c r="F43" s="2631">
        <f t="shared" si="29"/>
        <v>183.10139991109489</v>
      </c>
      <c r="G43" s="3446">
        <v>2010</v>
      </c>
      <c r="H43" s="2622">
        <v>2</v>
      </c>
      <c r="I43" s="2622">
        <v>4.6900000000000004</v>
      </c>
      <c r="J43" s="2622">
        <v>3.55</v>
      </c>
      <c r="K43" s="2622">
        <v>5.07</v>
      </c>
      <c r="L43" s="2633">
        <v>4.2300000000000004</v>
      </c>
      <c r="N43" s="2626">
        <f t="shared" si="18"/>
        <v>4.6900000000000004E-2</v>
      </c>
      <c r="O43" s="2627">
        <f t="shared" si="18"/>
        <v>3.5499999999999997E-2</v>
      </c>
      <c r="P43" s="2627">
        <f t="shared" si="18"/>
        <v>5.0700000000000002E-2</v>
      </c>
      <c r="Q43" s="2627">
        <f t="shared" si="18"/>
        <v>4.2300000000000004E-2</v>
      </c>
      <c r="R43" s="2628"/>
      <c r="S43" s="2626"/>
      <c r="T43" s="2627"/>
      <c r="U43" s="2627"/>
      <c r="V43" s="2627"/>
    </row>
    <row r="44" spans="1:26" ht="13.5" thickBot="1">
      <c r="A44" s="2618" t="s">
        <v>2596</v>
      </c>
      <c r="B44" s="2631">
        <f t="shared" si="28"/>
        <v>232.06990378821649</v>
      </c>
      <c r="C44" s="2631">
        <f t="shared" si="28"/>
        <v>192.74878854286936</v>
      </c>
      <c r="D44" s="2631">
        <f t="shared" si="16"/>
        <v>192.74878854286936</v>
      </c>
      <c r="E44" s="2631">
        <f t="shared" si="29"/>
        <v>319.71247284992984</v>
      </c>
      <c r="F44" s="2631">
        <f t="shared" si="29"/>
        <v>175.67053622862409</v>
      </c>
      <c r="G44" s="3449">
        <v>2010</v>
      </c>
      <c r="H44" s="2621">
        <v>1</v>
      </c>
      <c r="I44" s="2621">
        <v>5.4</v>
      </c>
      <c r="J44" s="2621">
        <v>3.2</v>
      </c>
      <c r="K44" s="2621">
        <v>6.16</v>
      </c>
      <c r="L44" s="2632">
        <v>4.51</v>
      </c>
      <c r="N44" s="2626">
        <f t="shared" si="18"/>
        <v>5.4000000000000006E-2</v>
      </c>
      <c r="O44" s="2627">
        <f t="shared" si="18"/>
        <v>3.2000000000000001E-2</v>
      </c>
      <c r="P44" s="2627">
        <f t="shared" si="18"/>
        <v>6.1600000000000002E-2</v>
      </c>
      <c r="Q44" s="2627">
        <f t="shared" si="18"/>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2597</v>
      </c>
      <c r="B45" s="2623">
        <v>220</v>
      </c>
      <c r="C45" s="2623">
        <v>187</v>
      </c>
      <c r="D45" s="2623">
        <f t="shared" si="16"/>
        <v>187</v>
      </c>
      <c r="E45" s="2623">
        <v>301</v>
      </c>
      <c r="F45" s="2624">
        <v>168</v>
      </c>
      <c r="G45" s="3448">
        <v>2009</v>
      </c>
      <c r="H45" s="2637">
        <v>4</v>
      </c>
      <c r="I45" s="2637">
        <v>2.2999999999999998</v>
      </c>
      <c r="J45" s="2637">
        <v>1.04</v>
      </c>
      <c r="K45" s="2637">
        <v>2.84</v>
      </c>
      <c r="L45" s="2638">
        <v>0.67</v>
      </c>
      <c r="N45" s="2639">
        <f t="shared" si="18"/>
        <v>2.3E-2</v>
      </c>
      <c r="O45" s="2640">
        <f t="shared" si="18"/>
        <v>1.04E-2</v>
      </c>
      <c r="P45" s="2640">
        <f t="shared" si="18"/>
        <v>2.8399999999999998E-2</v>
      </c>
      <c r="Q45" s="2640">
        <f t="shared" si="18"/>
        <v>6.7000000000000002E-3</v>
      </c>
      <c r="R45" s="2628"/>
      <c r="S45" s="2629"/>
      <c r="T45" s="2630"/>
      <c r="U45" s="2630"/>
      <c r="V45" s="2630"/>
      <c r="X45" s="2630"/>
      <c r="Y45" s="2630"/>
      <c r="Z45" s="2630"/>
    </row>
    <row r="46" spans="1:26">
      <c r="A46" s="2618" t="s">
        <v>2598</v>
      </c>
      <c r="B46" s="2631">
        <f t="shared" ref="B46:C48" si="30">B45/(1+N45)</f>
        <v>215.05376344086022</v>
      </c>
      <c r="C46" s="2631">
        <f t="shared" si="30"/>
        <v>185.0752177355503</v>
      </c>
      <c r="D46" s="2631">
        <f t="shared" si="16"/>
        <v>185.0752177355503</v>
      </c>
      <c r="E46" s="2631">
        <f t="shared" ref="E46:F48" si="31">E45/(1+P45)</f>
        <v>292.68767016725008</v>
      </c>
      <c r="F46" s="2631">
        <f t="shared" si="31"/>
        <v>166.88189132810174</v>
      </c>
      <c r="G46" s="3446">
        <v>2009</v>
      </c>
      <c r="H46" s="2642">
        <v>3</v>
      </c>
      <c r="I46" s="2642">
        <v>2.1</v>
      </c>
      <c r="J46" s="2642">
        <v>1.86</v>
      </c>
      <c r="K46" s="2642">
        <v>2.29</v>
      </c>
      <c r="L46" s="2643">
        <v>0.85</v>
      </c>
      <c r="N46" s="2626">
        <f t="shared" si="18"/>
        <v>2.1000000000000001E-2</v>
      </c>
      <c r="O46" s="2644">
        <f t="shared" si="18"/>
        <v>1.8600000000000002E-2</v>
      </c>
      <c r="P46" s="2644">
        <f t="shared" si="18"/>
        <v>2.29E-2</v>
      </c>
      <c r="Q46" s="2644">
        <f t="shared" si="18"/>
        <v>8.5000000000000006E-3</v>
      </c>
      <c r="R46" s="2628"/>
      <c r="S46" s="2626"/>
      <c r="T46" s="2627"/>
      <c r="U46" s="2627"/>
      <c r="V46" s="2627"/>
    </row>
    <row r="47" spans="1:26">
      <c r="A47" s="2618" t="s">
        <v>2599</v>
      </c>
      <c r="B47" s="2631">
        <f t="shared" si="30"/>
        <v>210.630522469011</v>
      </c>
      <c r="C47" s="2631">
        <f t="shared" si="30"/>
        <v>181.69567812247232</v>
      </c>
      <c r="D47" s="2631">
        <f t="shared" si="16"/>
        <v>181.69567812247232</v>
      </c>
      <c r="E47" s="2631">
        <f t="shared" si="31"/>
        <v>286.13517466736738</v>
      </c>
      <c r="F47" s="2631">
        <f t="shared" si="31"/>
        <v>165.47535084591149</v>
      </c>
      <c r="G47" s="3446">
        <v>2009</v>
      </c>
      <c r="H47" s="2622">
        <v>2</v>
      </c>
      <c r="I47" s="2622">
        <v>0.86</v>
      </c>
      <c r="J47" s="2622">
        <v>-1.1299999999999999</v>
      </c>
      <c r="K47" s="2622">
        <v>1.79</v>
      </c>
      <c r="L47" s="2633">
        <v>-2.0699999999999998</v>
      </c>
      <c r="N47" s="2626">
        <f t="shared" si="18"/>
        <v>8.6E-3</v>
      </c>
      <c r="O47" s="2644">
        <f t="shared" si="18"/>
        <v>-1.1299999999999999E-2</v>
      </c>
      <c r="P47" s="2644">
        <f t="shared" si="18"/>
        <v>1.7899999999999999E-2</v>
      </c>
      <c r="Q47" s="2644">
        <f t="shared" si="18"/>
        <v>-2.07E-2</v>
      </c>
      <c r="R47" s="2628"/>
      <c r="S47" s="2626"/>
      <c r="T47" s="2627"/>
      <c r="U47" s="2627"/>
      <c r="V47" s="2627"/>
    </row>
    <row r="48" spans="1:26">
      <c r="A48" s="2618" t="s">
        <v>2600</v>
      </c>
      <c r="B48" s="2631">
        <f t="shared" si="30"/>
        <v>208.83454537875372</v>
      </c>
      <c r="C48" s="2631">
        <f t="shared" si="30"/>
        <v>183.77230517090351</v>
      </c>
      <c r="D48" s="2631">
        <f t="shared" si="16"/>
        <v>183.77230517090351</v>
      </c>
      <c r="E48" s="2631">
        <f t="shared" si="31"/>
        <v>281.10342338870947</v>
      </c>
      <c r="F48" s="2631">
        <f t="shared" si="31"/>
        <v>168.97309388942256</v>
      </c>
      <c r="G48" s="3449">
        <v>2009</v>
      </c>
      <c r="H48" s="2621">
        <v>1</v>
      </c>
      <c r="I48" s="2621">
        <v>-2.64</v>
      </c>
      <c r="J48" s="2621">
        <v>-2.5299999999999998</v>
      </c>
      <c r="K48" s="2621">
        <v>-3.02</v>
      </c>
      <c r="L48" s="2632">
        <v>1.52</v>
      </c>
      <c r="N48" s="2634">
        <f t="shared" si="18"/>
        <v>-2.64E-2</v>
      </c>
      <c r="O48" s="2635">
        <f t="shared" si="18"/>
        <v>-2.53E-2</v>
      </c>
      <c r="P48" s="2635">
        <f t="shared" si="18"/>
        <v>-3.0200000000000001E-2</v>
      </c>
      <c r="Q48" s="2635">
        <f t="shared" si="18"/>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2601</v>
      </c>
      <c r="B49" s="2661">
        <v>214</v>
      </c>
      <c r="C49" s="2661">
        <v>188</v>
      </c>
      <c r="D49" s="2661">
        <f t="shared" si="16"/>
        <v>188</v>
      </c>
      <c r="E49" s="2661">
        <v>289</v>
      </c>
      <c r="F49" s="2662">
        <v>166</v>
      </c>
      <c r="G49" s="3448">
        <v>2008</v>
      </c>
      <c r="H49" s="2637">
        <v>4</v>
      </c>
      <c r="I49" s="2637">
        <v>1.73</v>
      </c>
      <c r="J49" s="2637">
        <v>0.03</v>
      </c>
      <c r="K49" s="2637">
        <v>2.59</v>
      </c>
      <c r="L49" s="2638">
        <v>-1.66</v>
      </c>
      <c r="N49" s="2626">
        <f t="shared" si="18"/>
        <v>1.7299999999999999E-2</v>
      </c>
      <c r="O49" s="2627">
        <f t="shared" si="18"/>
        <v>2.9999999999999997E-4</v>
      </c>
      <c r="P49" s="2627">
        <f t="shared" si="18"/>
        <v>2.5899999999999999E-2</v>
      </c>
      <c r="Q49" s="2627">
        <f t="shared" si="18"/>
        <v>-1.66E-2</v>
      </c>
      <c r="R49" s="2628"/>
      <c r="S49" s="2629"/>
      <c r="T49" s="2630"/>
      <c r="U49" s="2630"/>
      <c r="V49" s="2630"/>
      <c r="X49" s="2630"/>
      <c r="Y49" s="2630"/>
      <c r="Z49" s="2630"/>
    </row>
    <row r="50" spans="1:26">
      <c r="A50" s="2618" t="s">
        <v>2602</v>
      </c>
      <c r="B50" s="2631">
        <f t="shared" ref="B50:C52" si="32">B49/(1+N49)</f>
        <v>210.36075887152265</v>
      </c>
      <c r="C50" s="2631">
        <f t="shared" si="32"/>
        <v>187.94361691492554</v>
      </c>
      <c r="D50" s="2631">
        <f t="shared" si="16"/>
        <v>187.94361691492554</v>
      </c>
      <c r="E50" s="2631">
        <f t="shared" ref="E50:F52" si="33">E49/(1+P49)</f>
        <v>281.70386977288234</v>
      </c>
      <c r="F50" s="2631">
        <f t="shared" si="33"/>
        <v>168.80211511083994</v>
      </c>
      <c r="G50" s="3446">
        <v>2008</v>
      </c>
      <c r="H50" s="2642">
        <v>3</v>
      </c>
      <c r="I50" s="2642">
        <v>1.96</v>
      </c>
      <c r="J50" s="2642">
        <v>2.36</v>
      </c>
      <c r="K50" s="2642">
        <v>1.82</v>
      </c>
      <c r="L50" s="2643">
        <v>2.2200000000000002</v>
      </c>
      <c r="N50" s="2626">
        <f t="shared" si="18"/>
        <v>1.9599999999999999E-2</v>
      </c>
      <c r="O50" s="2627">
        <f t="shared" si="18"/>
        <v>2.3599999999999999E-2</v>
      </c>
      <c r="P50" s="2627">
        <f t="shared" si="18"/>
        <v>1.8200000000000001E-2</v>
      </c>
      <c r="Q50" s="2627">
        <f t="shared" si="18"/>
        <v>2.2200000000000001E-2</v>
      </c>
      <c r="R50" s="2628"/>
      <c r="S50" s="2626"/>
      <c r="T50" s="2627"/>
      <c r="U50" s="2627"/>
      <c r="V50" s="2627"/>
    </row>
    <row r="51" spans="1:26">
      <c r="A51" s="2618" t="s">
        <v>2603</v>
      </c>
      <c r="B51" s="2631">
        <f t="shared" si="32"/>
        <v>206.31694671589116</v>
      </c>
      <c r="C51" s="2631">
        <f t="shared" si="32"/>
        <v>183.61041121036101</v>
      </c>
      <c r="D51" s="2631">
        <f t="shared" si="16"/>
        <v>183.61041121036101</v>
      </c>
      <c r="E51" s="2631">
        <f t="shared" si="33"/>
        <v>276.66850301795557</v>
      </c>
      <c r="F51" s="2631">
        <f t="shared" si="33"/>
        <v>165.1360938278614</v>
      </c>
      <c r="G51" s="3446">
        <v>2008</v>
      </c>
      <c r="H51" s="2622">
        <v>2</v>
      </c>
      <c r="I51" s="2622">
        <v>4.93</v>
      </c>
      <c r="J51" s="2622">
        <v>7.38</v>
      </c>
      <c r="K51" s="2622">
        <v>3.98</v>
      </c>
      <c r="L51" s="2633">
        <v>6.86</v>
      </c>
      <c r="N51" s="2626">
        <f t="shared" si="18"/>
        <v>4.9299999999999997E-2</v>
      </c>
      <c r="O51" s="2627">
        <f t="shared" si="18"/>
        <v>7.3800000000000004E-2</v>
      </c>
      <c r="P51" s="2627">
        <f t="shared" si="18"/>
        <v>3.9800000000000002E-2</v>
      </c>
      <c r="Q51" s="2627">
        <f t="shared" si="18"/>
        <v>6.8600000000000008E-2</v>
      </c>
      <c r="R51" s="2628"/>
      <c r="S51" s="2626"/>
      <c r="T51" s="2627"/>
      <c r="U51" s="2627"/>
      <c r="V51" s="2627"/>
    </row>
    <row r="52" spans="1:26" s="2667" customFormat="1" ht="13.5" thickBot="1">
      <c r="A52" s="2618" t="s">
        <v>2604</v>
      </c>
      <c r="B52" s="2664">
        <f t="shared" si="32"/>
        <v>196.62341248059772</v>
      </c>
      <c r="C52" s="2664">
        <f t="shared" si="32"/>
        <v>170.99125648199012</v>
      </c>
      <c r="D52" s="2664">
        <f t="shared" si="16"/>
        <v>170.99125648199012</v>
      </c>
      <c r="E52" s="2664">
        <f t="shared" si="33"/>
        <v>266.07857570490052</v>
      </c>
      <c r="F52" s="2664">
        <f t="shared" si="33"/>
        <v>154.53499328828505</v>
      </c>
      <c r="G52" s="3449">
        <v>2008</v>
      </c>
      <c r="H52" s="2665">
        <v>1</v>
      </c>
      <c r="I52" s="2665">
        <v>4.1399999999999997</v>
      </c>
      <c r="J52" s="2665">
        <v>3.45</v>
      </c>
      <c r="K52" s="2665">
        <v>4.95</v>
      </c>
      <c r="L52" s="2666">
        <v>4.82</v>
      </c>
      <c r="N52" s="2668">
        <f t="shared" si="18"/>
        <v>4.1399999999999999E-2</v>
      </c>
      <c r="O52" s="2669">
        <f t="shared" si="18"/>
        <v>3.4500000000000003E-2</v>
      </c>
      <c r="P52" s="2669">
        <f t="shared" si="18"/>
        <v>4.9500000000000002E-2</v>
      </c>
      <c r="Q52" s="2669">
        <f t="shared" si="18"/>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2605</v>
      </c>
      <c r="B53" s="2623">
        <v>188</v>
      </c>
      <c r="C53" s="2623">
        <v>165</v>
      </c>
      <c r="D53" s="2623">
        <f t="shared" si="16"/>
        <v>165</v>
      </c>
      <c r="E53" s="2623">
        <v>254</v>
      </c>
      <c r="F53" s="2624">
        <v>148</v>
      </c>
      <c r="G53" s="3448">
        <v>2007</v>
      </c>
      <c r="H53" s="2672">
        <v>4</v>
      </c>
      <c r="I53" s="2672">
        <v>5.51</v>
      </c>
      <c r="J53" s="2672">
        <v>4.8899999999999997</v>
      </c>
      <c r="K53" s="2672">
        <v>6.43</v>
      </c>
      <c r="L53" s="2673">
        <v>5.36</v>
      </c>
      <c r="N53" s="2674">
        <f t="shared" ref="N53:O56" si="34">B53/B54-1</f>
        <v>4.1339718365245526E-2</v>
      </c>
      <c r="O53" s="2675">
        <f t="shared" si="34"/>
        <v>4.0324492593776018E-2</v>
      </c>
      <c r="P53" s="2675">
        <f t="shared" ref="P53:Q56" si="35">E53/E54-1</f>
        <v>6.1625555347990968E-2</v>
      </c>
      <c r="Q53" s="2675">
        <f t="shared" si="35"/>
        <v>4.6757569250590603E-2</v>
      </c>
      <c r="R53" s="2628"/>
      <c r="S53" s="2629"/>
      <c r="T53" s="2630"/>
      <c r="U53" s="2630"/>
      <c r="V53" s="2630"/>
      <c r="X53" s="2630"/>
      <c r="Y53" s="2630"/>
      <c r="Z53" s="2630"/>
    </row>
    <row r="54" spans="1:26">
      <c r="A54" s="2618" t="s">
        <v>2606</v>
      </c>
      <c r="B54" s="2631">
        <f t="shared" ref="B54:C56" si="36">B55+(B$53-B$57)*I54/SUM(I$53:I$56)</f>
        <v>180.5366651097618</v>
      </c>
      <c r="C54" s="2631">
        <f t="shared" si="36"/>
        <v>158.60435967302453</v>
      </c>
      <c r="D54" s="2631">
        <f t="shared" si="16"/>
        <v>158.60435967302453</v>
      </c>
      <c r="E54" s="2631">
        <f t="shared" ref="E54:F56" si="37">E55+(E$53-E$57)*K54/SUM(K$53:K$56)</f>
        <v>239.25573260785075</v>
      </c>
      <c r="F54" s="2631">
        <f t="shared" si="37"/>
        <v>141.38899430740037</v>
      </c>
      <c r="G54" s="3446">
        <v>2007</v>
      </c>
      <c r="H54" s="2642">
        <v>3</v>
      </c>
      <c r="I54" s="2642">
        <v>8.65</v>
      </c>
      <c r="J54" s="2642">
        <v>8.06</v>
      </c>
      <c r="K54" s="2642">
        <v>9.94</v>
      </c>
      <c r="L54" s="2643">
        <v>5.8</v>
      </c>
      <c r="N54" s="2674">
        <f t="shared" si="34"/>
        <v>6.940217571740015E-2</v>
      </c>
      <c r="O54" s="2675">
        <f t="shared" si="34"/>
        <v>7.1197482471153428E-2</v>
      </c>
      <c r="P54" s="2675">
        <f t="shared" si="35"/>
        <v>0.10529679922579582</v>
      </c>
      <c r="Q54" s="2675">
        <f t="shared" si="35"/>
        <v>5.3292245059512133E-2</v>
      </c>
      <c r="R54" s="2628"/>
      <c r="S54" s="2626"/>
      <c r="T54" s="2627"/>
      <c r="U54" s="2627"/>
      <c r="V54" s="2627"/>
      <c r="X54" s="2676"/>
      <c r="Y54" s="2676"/>
      <c r="Z54" s="2676"/>
    </row>
    <row r="55" spans="1:26">
      <c r="A55" s="2618" t="s">
        <v>2607</v>
      </c>
      <c r="B55" s="2631">
        <f t="shared" si="36"/>
        <v>168.82017748715555</v>
      </c>
      <c r="C55" s="2631">
        <f t="shared" si="36"/>
        <v>148.06267029972753</v>
      </c>
      <c r="D55" s="2631">
        <f t="shared" si="16"/>
        <v>148.06267029972753</v>
      </c>
      <c r="E55" s="2631">
        <f t="shared" si="37"/>
        <v>216.46288379323747</v>
      </c>
      <c r="F55" s="2631">
        <f t="shared" si="37"/>
        <v>134.23529411764704</v>
      </c>
      <c r="G55" s="3446">
        <v>2007</v>
      </c>
      <c r="H55" s="2622">
        <v>2</v>
      </c>
      <c r="I55" s="2622">
        <v>3.67</v>
      </c>
      <c r="J55" s="2622">
        <v>2.3199999999999998</v>
      </c>
      <c r="K55" s="2622">
        <v>5.0199999999999996</v>
      </c>
      <c r="L55" s="2633">
        <v>6.71</v>
      </c>
      <c r="N55" s="2674">
        <f t="shared" si="34"/>
        <v>3.0339138143848032E-2</v>
      </c>
      <c r="O55" s="2675">
        <f t="shared" si="34"/>
        <v>2.0922341588790472E-2</v>
      </c>
      <c r="P55" s="2675">
        <f t="shared" si="35"/>
        <v>5.6164796592717003E-2</v>
      </c>
      <c r="Q55" s="2675">
        <f t="shared" si="35"/>
        <v>6.5704536723887319E-2</v>
      </c>
      <c r="R55" s="2628"/>
      <c r="S55" s="2626"/>
      <c r="T55" s="2627"/>
      <c r="U55" s="2627"/>
      <c r="V55" s="2627"/>
      <c r="X55" s="2676"/>
      <c r="Y55" s="2676"/>
      <c r="Z55" s="2676"/>
    </row>
    <row r="56" spans="1:26">
      <c r="A56" s="2618" t="s">
        <v>2608</v>
      </c>
      <c r="B56" s="2631">
        <f t="shared" si="36"/>
        <v>163.84913591779542</v>
      </c>
      <c r="C56" s="2631">
        <f t="shared" si="36"/>
        <v>145.0283378746594</v>
      </c>
      <c r="D56" s="2631">
        <f t="shared" si="16"/>
        <v>145.0283378746594</v>
      </c>
      <c r="E56" s="2631">
        <f t="shared" si="37"/>
        <v>204.95180722891567</v>
      </c>
      <c r="F56" s="2631">
        <f t="shared" si="37"/>
        <v>125.95920303605313</v>
      </c>
      <c r="G56" s="3449">
        <v>2007</v>
      </c>
      <c r="H56" s="2621">
        <v>1</v>
      </c>
      <c r="I56" s="2621">
        <v>3.58</v>
      </c>
      <c r="J56" s="2621">
        <v>3.08</v>
      </c>
      <c r="K56" s="2621">
        <v>4.34</v>
      </c>
      <c r="L56" s="2632">
        <v>3.21</v>
      </c>
      <c r="N56" s="2677">
        <f t="shared" si="34"/>
        <v>3.0497710174814063E-2</v>
      </c>
      <c r="O56" s="2678">
        <f t="shared" si="34"/>
        <v>2.8569772160704998E-2</v>
      </c>
      <c r="P56" s="2678">
        <f t="shared" si="35"/>
        <v>5.1034908866234296E-2</v>
      </c>
      <c r="Q56" s="2678">
        <f t="shared" si="35"/>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2609</v>
      </c>
      <c r="B57" s="2645">
        <v>159</v>
      </c>
      <c r="C57" s="2645">
        <v>141</v>
      </c>
      <c r="D57" s="2645">
        <f t="shared" si="16"/>
        <v>141</v>
      </c>
      <c r="E57" s="2645">
        <v>195</v>
      </c>
      <c r="F57" s="2646">
        <v>122</v>
      </c>
      <c r="G57" s="3448">
        <v>2006</v>
      </c>
      <c r="H57" s="2637">
        <v>4</v>
      </c>
      <c r="I57" s="2637">
        <v>3.79</v>
      </c>
      <c r="J57" s="2637">
        <v>2.21</v>
      </c>
      <c r="K57" s="2637">
        <v>5.65</v>
      </c>
      <c r="L57" s="2638">
        <v>5.41</v>
      </c>
      <c r="N57" s="2674">
        <f t="shared" ref="N57:O60" si="38">I57/SUM(I$57:I$60)*(B$57/B$61-1)</f>
        <v>7.245466462748526E-2</v>
      </c>
      <c r="O57" s="2675">
        <f t="shared" si="38"/>
        <v>2.3237230038062766E-2</v>
      </c>
      <c r="P57" s="2675">
        <f t="shared" ref="P57:Q60" si="39">K57/SUM(K$57:K$60)*(E$57/E$61-1)</f>
        <v>0.16146893866323722</v>
      </c>
      <c r="Q57" s="2675">
        <f t="shared" si="39"/>
        <v>5.0755230321793784E-2</v>
      </c>
      <c r="R57" s="2628"/>
      <c r="S57" s="2629"/>
      <c r="T57" s="2630"/>
      <c r="U57" s="2630"/>
      <c r="V57" s="2630"/>
      <c r="X57" s="2676"/>
      <c r="Y57" s="2676"/>
      <c r="Z57" s="2676"/>
    </row>
    <row r="58" spans="1:26">
      <c r="A58" s="2618" t="s">
        <v>2610</v>
      </c>
      <c r="B58" s="2631">
        <f t="shared" ref="B58:C60" si="40">B59+(B$57-B$61)*I58/SUM(I$57:I$60)</f>
        <v>149.00125628140702</v>
      </c>
      <c r="C58" s="2631">
        <f t="shared" si="40"/>
        <v>137.95592286501378</v>
      </c>
      <c r="D58" s="2631">
        <f t="shared" si="16"/>
        <v>137.95592286501378</v>
      </c>
      <c r="E58" s="2631">
        <f t="shared" ref="E58:F60" si="41">E59+(E$57-E$61)*K58/SUM(K$57:K$60)</f>
        <v>169.97231450719823</v>
      </c>
      <c r="F58" s="2631">
        <f t="shared" si="41"/>
        <v>116.21390374331551</v>
      </c>
      <c r="G58" s="3446">
        <v>2006</v>
      </c>
      <c r="H58" s="2642">
        <v>3</v>
      </c>
      <c r="I58" s="2642">
        <v>0.92</v>
      </c>
      <c r="J58" s="2642">
        <v>1.08</v>
      </c>
      <c r="K58" s="2642">
        <v>0.73</v>
      </c>
      <c r="L58" s="2643">
        <v>1.08</v>
      </c>
      <c r="N58" s="2674">
        <f t="shared" si="38"/>
        <v>1.7587939698492462E-2</v>
      </c>
      <c r="O58" s="2675">
        <f t="shared" si="38"/>
        <v>1.1355750425840628E-2</v>
      </c>
      <c r="P58" s="2675">
        <f t="shared" si="39"/>
        <v>2.0862358446754544E-2</v>
      </c>
      <c r="Q58" s="2675">
        <f t="shared" si="39"/>
        <v>1.0132282578103011E-2</v>
      </c>
      <c r="R58" s="2628"/>
      <c r="S58" s="2626"/>
      <c r="T58" s="2627"/>
      <c r="U58" s="2627"/>
      <c r="V58" s="2627"/>
      <c r="X58" s="2676"/>
      <c r="Y58" s="2676"/>
      <c r="Z58" s="2676"/>
    </row>
    <row r="59" spans="1:26">
      <c r="A59" s="2618" t="s">
        <v>2611</v>
      </c>
      <c r="B59" s="2631">
        <f t="shared" si="40"/>
        <v>146.57412060301507</v>
      </c>
      <c r="C59" s="2631">
        <f t="shared" si="40"/>
        <v>136.46831955922866</v>
      </c>
      <c r="D59" s="2631">
        <f t="shared" si="16"/>
        <v>136.46831955922866</v>
      </c>
      <c r="E59" s="2631">
        <f t="shared" si="41"/>
        <v>166.73864894795128</v>
      </c>
      <c r="F59" s="2631">
        <f t="shared" si="41"/>
        <v>115.05882352941177</v>
      </c>
      <c r="G59" s="3446">
        <v>2006</v>
      </c>
      <c r="H59" s="2622">
        <v>2</v>
      </c>
      <c r="I59" s="2622">
        <v>0.96</v>
      </c>
      <c r="J59" s="2622">
        <v>0.25</v>
      </c>
      <c r="K59" s="2622">
        <v>1.9</v>
      </c>
      <c r="L59" s="2633">
        <v>0.95</v>
      </c>
      <c r="N59" s="2674">
        <f t="shared" si="38"/>
        <v>1.8352632728861701E-2</v>
      </c>
      <c r="O59" s="2675">
        <f t="shared" si="38"/>
        <v>2.6286459319075526E-3</v>
      </c>
      <c r="P59" s="2675">
        <f t="shared" si="39"/>
        <v>5.4299289107991269E-2</v>
      </c>
      <c r="Q59" s="2675">
        <f t="shared" si="39"/>
        <v>8.9126559714794995E-3</v>
      </c>
      <c r="R59" s="2628"/>
      <c r="S59" s="2626"/>
      <c r="T59" s="2627"/>
      <c r="U59" s="2627"/>
      <c r="V59" s="2627"/>
      <c r="X59" s="2676"/>
      <c r="Y59" s="2676"/>
      <c r="Z59" s="2676"/>
    </row>
    <row r="60" spans="1:26">
      <c r="A60" s="2618" t="s">
        <v>2612</v>
      </c>
      <c r="B60" s="2631">
        <f t="shared" si="40"/>
        <v>144.04145728643215</v>
      </c>
      <c r="C60" s="2631">
        <f t="shared" si="40"/>
        <v>136.12396694214877</v>
      </c>
      <c r="D60" s="2631">
        <f t="shared" si="16"/>
        <v>136.12396694214877</v>
      </c>
      <c r="E60" s="2631">
        <f t="shared" si="41"/>
        <v>158.32225913621264</v>
      </c>
      <c r="F60" s="2631">
        <f t="shared" si="41"/>
        <v>114.04278074866311</v>
      </c>
      <c r="G60" s="3449">
        <v>2006</v>
      </c>
      <c r="H60" s="2621">
        <v>1</v>
      </c>
      <c r="I60" s="2621">
        <v>2.29</v>
      </c>
      <c r="J60" s="2621">
        <v>3.72</v>
      </c>
      <c r="K60" s="2621">
        <v>0.75</v>
      </c>
      <c r="L60" s="2632">
        <v>0.04</v>
      </c>
      <c r="N60" s="2677">
        <f t="shared" si="38"/>
        <v>4.3778675988638847E-2</v>
      </c>
      <c r="O60" s="2678">
        <f t="shared" si="38"/>
        <v>3.9114251466784385E-2</v>
      </c>
      <c r="P60" s="2678">
        <f t="shared" si="39"/>
        <v>2.1433929911049188E-2</v>
      </c>
      <c r="Q60" s="2678">
        <f t="shared" si="39"/>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2613</v>
      </c>
      <c r="B61" s="2645">
        <v>138</v>
      </c>
      <c r="C61" s="2645">
        <v>131</v>
      </c>
      <c r="D61" s="2645">
        <f t="shared" si="16"/>
        <v>131</v>
      </c>
      <c r="E61" s="2645">
        <v>155</v>
      </c>
      <c r="F61" s="2646">
        <v>114</v>
      </c>
      <c r="G61" s="3448">
        <v>2005</v>
      </c>
      <c r="H61" s="2637">
        <v>4</v>
      </c>
      <c r="I61" s="2637">
        <v>3.29</v>
      </c>
      <c r="J61" s="2637">
        <v>1.44</v>
      </c>
      <c r="K61" s="2637">
        <v>0.66</v>
      </c>
      <c r="L61" s="2638">
        <v>7.78</v>
      </c>
      <c r="N61" s="2674">
        <f t="shared" ref="N61:O64" si="42">I61/SUM(I$61:I$64)*(B$61/B$65-1)</f>
        <v>9.9404603216919935E-2</v>
      </c>
      <c r="O61" s="2675">
        <f t="shared" si="42"/>
        <v>4.7636550760861554E-2</v>
      </c>
      <c r="P61" s="2675">
        <f t="shared" ref="P61:Q64" si="43">K61/SUM(K$61:K$64)*(E$61/E$65-1)</f>
        <v>8.3756345177664976E-2</v>
      </c>
      <c r="Q61" s="2675">
        <f t="shared" si="43"/>
        <v>5.2148766661559584E-2</v>
      </c>
      <c r="R61" s="2628"/>
      <c r="S61" s="2629"/>
      <c r="T61" s="2630"/>
      <c r="U61" s="2630"/>
      <c r="V61" s="2630"/>
      <c r="X61" s="2676"/>
      <c r="Y61" s="2676"/>
      <c r="Z61" s="2676"/>
    </row>
    <row r="62" spans="1:26">
      <c r="A62" s="2618" t="s">
        <v>2614</v>
      </c>
      <c r="B62" s="2631">
        <f t="shared" ref="B62:C64" si="44">B63+(B$61-B$65)*I62/SUM(I$61:I$64)</f>
        <v>125.9720430107527</v>
      </c>
      <c r="C62" s="2631">
        <f t="shared" si="44"/>
        <v>125.1883408071749</v>
      </c>
      <c r="D62" s="2631">
        <f t="shared" si="16"/>
        <v>125.1883408071749</v>
      </c>
      <c r="E62" s="2631">
        <f t="shared" ref="E62:F64" si="45">E63+(E$61-E$65)*K62/SUM(K$61:K$64)</f>
        <v>144.61421319796952</v>
      </c>
      <c r="F62" s="2631">
        <f t="shared" si="45"/>
        <v>108.42008196721311</v>
      </c>
      <c r="G62" s="3446">
        <v>2005</v>
      </c>
      <c r="H62" s="2642">
        <v>3</v>
      </c>
      <c r="I62" s="2642">
        <v>0.46</v>
      </c>
      <c r="J62" s="2642">
        <v>0.32</v>
      </c>
      <c r="K62" s="2642">
        <v>0.42</v>
      </c>
      <c r="L62" s="2643">
        <v>0.64</v>
      </c>
      <c r="N62" s="2674">
        <f t="shared" si="42"/>
        <v>1.3898515951301874E-2</v>
      </c>
      <c r="O62" s="2675">
        <f t="shared" si="42"/>
        <v>1.0585900169080346E-2</v>
      </c>
      <c r="P62" s="2675">
        <f t="shared" si="43"/>
        <v>5.3299492385786795E-2</v>
      </c>
      <c r="Q62" s="2675">
        <f t="shared" si="43"/>
        <v>4.2898728359123568E-3</v>
      </c>
      <c r="R62" s="2628"/>
      <c r="S62" s="2626"/>
      <c r="T62" s="2627"/>
      <c r="U62" s="2627"/>
      <c r="V62" s="2627"/>
      <c r="X62" s="2676"/>
      <c r="Y62" s="2676"/>
      <c r="Z62" s="2676"/>
    </row>
    <row r="63" spans="1:26">
      <c r="A63" s="2618" t="s">
        <v>2615</v>
      </c>
      <c r="B63" s="2631">
        <f t="shared" si="44"/>
        <v>124.29032258064517</v>
      </c>
      <c r="C63" s="2631">
        <f t="shared" si="44"/>
        <v>123.8968609865471</v>
      </c>
      <c r="D63" s="2631">
        <f t="shared" si="16"/>
        <v>123.8968609865471</v>
      </c>
      <c r="E63" s="2631">
        <f t="shared" si="45"/>
        <v>138.00507614213197</v>
      </c>
      <c r="F63" s="2631">
        <f t="shared" si="45"/>
        <v>107.96106557377048</v>
      </c>
      <c r="G63" s="3446">
        <v>2005</v>
      </c>
      <c r="H63" s="2622">
        <v>2</v>
      </c>
      <c r="I63" s="2622">
        <v>0.47</v>
      </c>
      <c r="J63" s="2622">
        <v>0.1</v>
      </c>
      <c r="K63" s="2622">
        <v>0.52</v>
      </c>
      <c r="L63" s="2633">
        <v>0.79</v>
      </c>
      <c r="N63" s="2674">
        <f t="shared" si="42"/>
        <v>1.420065760241713E-2</v>
      </c>
      <c r="O63" s="2675">
        <f t="shared" si="42"/>
        <v>3.3080938028376083E-3</v>
      </c>
      <c r="P63" s="2675">
        <f t="shared" si="43"/>
        <v>6.598984771573603E-2</v>
      </c>
      <c r="Q63" s="2675">
        <f t="shared" si="43"/>
        <v>5.2953117818293153E-3</v>
      </c>
      <c r="R63" s="2628"/>
      <c r="S63" s="2626"/>
      <c r="T63" s="2627"/>
      <c r="U63" s="2627"/>
      <c r="V63" s="2627"/>
      <c r="X63" s="2676"/>
      <c r="Y63" s="2676"/>
      <c r="Z63" s="2676"/>
    </row>
    <row r="64" spans="1:26">
      <c r="A64" s="2618" t="s">
        <v>2616</v>
      </c>
      <c r="B64" s="2631">
        <f t="shared" si="44"/>
        <v>122.57204301075269</v>
      </c>
      <c r="C64" s="2631">
        <f t="shared" si="44"/>
        <v>123.4932735426009</v>
      </c>
      <c r="D64" s="2631">
        <f t="shared" si="16"/>
        <v>123.4932735426009</v>
      </c>
      <c r="E64" s="2631">
        <f t="shared" si="45"/>
        <v>129.82233502538071</v>
      </c>
      <c r="F64" s="2631">
        <f t="shared" si="45"/>
        <v>107.39446721311475</v>
      </c>
      <c r="G64" s="3449">
        <v>2005</v>
      </c>
      <c r="H64" s="2621">
        <v>1</v>
      </c>
      <c r="I64" s="2621">
        <v>0.43</v>
      </c>
      <c r="J64" s="2621">
        <v>0.37</v>
      </c>
      <c r="K64" s="2621">
        <v>0.37</v>
      </c>
      <c r="L64" s="2632">
        <v>0.55000000000000004</v>
      </c>
      <c r="N64" s="2677">
        <f t="shared" si="42"/>
        <v>1.2992090997956099E-2</v>
      </c>
      <c r="O64" s="2678">
        <f t="shared" si="42"/>
        <v>1.2239947070499151E-2</v>
      </c>
      <c r="P64" s="2678">
        <f t="shared" si="43"/>
        <v>4.6954314720812178E-2</v>
      </c>
      <c r="Q64" s="2678">
        <f t="shared" si="43"/>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2617</v>
      </c>
      <c r="B65" s="2661">
        <v>121</v>
      </c>
      <c r="C65" s="2661">
        <v>122</v>
      </c>
      <c r="D65" s="2661">
        <f t="shared" si="16"/>
        <v>122</v>
      </c>
      <c r="E65" s="2661">
        <v>124</v>
      </c>
      <c r="F65" s="2662">
        <v>107</v>
      </c>
      <c r="G65" s="3448">
        <v>2004</v>
      </c>
      <c r="H65" s="2637">
        <v>4</v>
      </c>
      <c r="I65" s="2637">
        <v>0.33</v>
      </c>
      <c r="J65" s="2637">
        <v>0.5</v>
      </c>
      <c r="K65" s="2637">
        <v>0.5</v>
      </c>
      <c r="L65" s="2638">
        <v>0</v>
      </c>
      <c r="N65" s="2674">
        <f t="shared" ref="N65:O68" si="46">I65/SUM(I$65:I$68)*(B$65/B$69-1)</f>
        <v>1.3391770148526898E-2</v>
      </c>
      <c r="O65" s="2675">
        <f t="shared" si="46"/>
        <v>1.063264221158958E-2</v>
      </c>
      <c r="P65" s="2675">
        <f t="shared" ref="P65:Q68" si="47">K65/SUM(K$65:K$68)*(E$65/E$69-1)</f>
        <v>2.2244466688911134E-2</v>
      </c>
      <c r="Q65" s="2675">
        <f t="shared" si="47"/>
        <v>0</v>
      </c>
      <c r="R65" s="2628"/>
      <c r="S65" s="2629"/>
      <c r="T65" s="2630"/>
      <c r="U65" s="2630"/>
      <c r="V65" s="2630"/>
      <c r="X65" s="2676"/>
      <c r="Y65" s="2676"/>
      <c r="Z65" s="2676"/>
    </row>
    <row r="66" spans="1:26">
      <c r="A66" s="2618" t="s">
        <v>2618</v>
      </c>
      <c r="B66" s="2631">
        <f t="shared" ref="B66:C68" si="48">B67+(B$65-B$69)*I66/SUM(I$65:I$68)</f>
        <v>119.51351351351352</v>
      </c>
      <c r="C66" s="2631">
        <f t="shared" si="48"/>
        <v>120.7878787878788</v>
      </c>
      <c r="D66" s="2631">
        <f t="shared" si="16"/>
        <v>120.7878787878788</v>
      </c>
      <c r="E66" s="2631">
        <f t="shared" ref="E66:F68" si="49">E67+(E$65-E$69)*K66/SUM(K$65:K$68)</f>
        <v>121.5975975975976</v>
      </c>
      <c r="F66" s="2631">
        <f t="shared" si="49"/>
        <v>107</v>
      </c>
      <c r="G66" s="3446">
        <v>2004</v>
      </c>
      <c r="H66" s="2642">
        <v>3</v>
      </c>
      <c r="I66" s="2642">
        <v>0.56000000000000005</v>
      </c>
      <c r="J66" s="2642">
        <v>0.8</v>
      </c>
      <c r="K66" s="2642">
        <v>0.83</v>
      </c>
      <c r="L66" s="2643">
        <v>0.06</v>
      </c>
      <c r="N66" s="2674">
        <f t="shared" si="46"/>
        <v>2.2725428130833527E-2</v>
      </c>
      <c r="O66" s="2675">
        <f t="shared" si="46"/>
        <v>1.7012227538543329E-2</v>
      </c>
      <c r="P66" s="2675">
        <f t="shared" si="47"/>
        <v>3.6925814703592477E-2</v>
      </c>
      <c r="Q66" s="2675">
        <f t="shared" si="47"/>
        <v>2.8846153846153744E-2</v>
      </c>
      <c r="R66" s="2628"/>
      <c r="S66" s="2626"/>
      <c r="T66" s="2627"/>
      <c r="U66" s="2627"/>
      <c r="V66" s="2627"/>
      <c r="X66" s="2676"/>
      <c r="Y66" s="2676"/>
      <c r="Z66" s="2676"/>
    </row>
    <row r="67" spans="1:26">
      <c r="A67" s="2618" t="s">
        <v>2619</v>
      </c>
      <c r="B67" s="2631">
        <f t="shared" si="48"/>
        <v>116.99099099099099</v>
      </c>
      <c r="C67" s="2631">
        <f t="shared" si="48"/>
        <v>118.84848484848486</v>
      </c>
      <c r="D67" s="2631">
        <f t="shared" si="16"/>
        <v>118.84848484848486</v>
      </c>
      <c r="E67" s="2631">
        <f t="shared" si="49"/>
        <v>117.60960960960961</v>
      </c>
      <c r="F67" s="2631">
        <f t="shared" si="49"/>
        <v>104</v>
      </c>
      <c r="G67" s="3446">
        <v>2004</v>
      </c>
      <c r="H67" s="2622">
        <v>2</v>
      </c>
      <c r="I67" s="2622">
        <v>1</v>
      </c>
      <c r="J67" s="2622">
        <v>1.5</v>
      </c>
      <c r="K67" s="2622">
        <v>1.5</v>
      </c>
      <c r="L67" s="2633">
        <v>0</v>
      </c>
      <c r="N67" s="2674">
        <f t="shared" si="46"/>
        <v>4.0581121662202721E-2</v>
      </c>
      <c r="O67" s="2675">
        <f t="shared" si="46"/>
        <v>3.1897926634768738E-2</v>
      </c>
      <c r="P67" s="2675">
        <f t="shared" si="47"/>
        <v>6.6733400066733395E-2</v>
      </c>
      <c r="Q67" s="2675">
        <f t="shared" si="47"/>
        <v>0</v>
      </c>
      <c r="R67" s="2628"/>
      <c r="S67" s="2626"/>
      <c r="T67" s="2627"/>
      <c r="U67" s="2627"/>
      <c r="V67" s="2627"/>
      <c r="X67" s="2676"/>
      <c r="Y67" s="2676"/>
      <c r="Z67" s="2676"/>
    </row>
    <row r="68" spans="1:26" s="2667" customFormat="1" ht="13.5" thickBot="1">
      <c r="A68" s="2618" t="s">
        <v>2620</v>
      </c>
      <c r="B68" s="2664">
        <f t="shared" si="48"/>
        <v>112.48648648648648</v>
      </c>
      <c r="C68" s="2664">
        <f t="shared" si="48"/>
        <v>115.21212121212122</v>
      </c>
      <c r="D68" s="2664">
        <f t="shared" si="16"/>
        <v>115.21212121212122</v>
      </c>
      <c r="E68" s="2664">
        <f t="shared" si="49"/>
        <v>110.4024024024024</v>
      </c>
      <c r="F68" s="2664">
        <f t="shared" si="49"/>
        <v>104</v>
      </c>
      <c r="G68" s="3449">
        <v>2004</v>
      </c>
      <c r="H68" s="2665">
        <v>1</v>
      </c>
      <c r="I68" s="2665">
        <v>0.33</v>
      </c>
      <c r="J68" s="2665">
        <v>0.5</v>
      </c>
      <c r="K68" s="2665">
        <v>0.5</v>
      </c>
      <c r="L68" s="2666">
        <v>0</v>
      </c>
      <c r="N68" s="2679">
        <f t="shared" si="46"/>
        <v>1.3391770148526898E-2</v>
      </c>
      <c r="O68" s="2680">
        <f t="shared" si="46"/>
        <v>1.063264221158958E-2</v>
      </c>
      <c r="P68" s="2680">
        <f t="shared" si="47"/>
        <v>2.2244466688911134E-2</v>
      </c>
      <c r="Q68" s="2680">
        <f t="shared" si="47"/>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2621</v>
      </c>
      <c r="B69" s="2682">
        <v>111</v>
      </c>
      <c r="C69" s="2682">
        <v>114</v>
      </c>
      <c r="D69" s="2682">
        <f t="shared" si="16"/>
        <v>114</v>
      </c>
      <c r="E69" s="2682">
        <v>108</v>
      </c>
      <c r="F69" s="2683">
        <v>104</v>
      </c>
      <c r="G69" s="3448">
        <v>2003</v>
      </c>
      <c r="H69" s="2672">
        <v>4</v>
      </c>
      <c r="I69" s="2684"/>
      <c r="J69" s="2684"/>
      <c r="K69" s="2684"/>
      <c r="L69" s="2684"/>
      <c r="N69" s="2685"/>
      <c r="O69" s="2684"/>
      <c r="P69" s="2684"/>
      <c r="Q69" s="2684"/>
      <c r="S69" s="2685"/>
      <c r="T69" s="2684"/>
      <c r="U69" s="2684"/>
      <c r="V69" s="2684"/>
      <c r="X69" s="2676"/>
      <c r="Y69" s="2676"/>
      <c r="Z69" s="2676"/>
    </row>
    <row r="70" spans="1:26">
      <c r="A70" s="2618" t="s">
        <v>2622</v>
      </c>
      <c r="B70" s="2686">
        <f t="shared" ref="B70:C72" si="50">B71+(B$69-B$73)/4</f>
        <v>109.75</v>
      </c>
      <c r="C70" s="2686">
        <f t="shared" si="50"/>
        <v>112.25</v>
      </c>
      <c r="D70" s="2686">
        <f t="shared" si="16"/>
        <v>112.25</v>
      </c>
      <c r="E70" s="2686">
        <f t="shared" ref="E70:F72" si="51">E71+(E$69-E$73)/4</f>
        <v>107.25</v>
      </c>
      <c r="F70" s="2686">
        <f t="shared" si="51"/>
        <v>103.5</v>
      </c>
      <c r="G70" s="3446">
        <v>2003</v>
      </c>
      <c r="H70" s="2642">
        <v>3</v>
      </c>
      <c r="I70" s="2684"/>
      <c r="J70" s="2684"/>
      <c r="K70" s="2684"/>
      <c r="L70" s="2684"/>
      <c r="X70" s="2676"/>
      <c r="Y70" s="2676"/>
      <c r="Z70" s="2676"/>
    </row>
    <row r="71" spans="1:26">
      <c r="A71" s="2618" t="s">
        <v>2623</v>
      </c>
      <c r="B71" s="2686">
        <f t="shared" si="50"/>
        <v>108.5</v>
      </c>
      <c r="C71" s="2686">
        <f t="shared" si="50"/>
        <v>110.5</v>
      </c>
      <c r="D71" s="2686">
        <f t="shared" si="16"/>
        <v>110.5</v>
      </c>
      <c r="E71" s="2686">
        <f t="shared" si="51"/>
        <v>106.5</v>
      </c>
      <c r="F71" s="2686">
        <f t="shared" si="51"/>
        <v>103</v>
      </c>
      <c r="G71" s="3446">
        <v>2003</v>
      </c>
      <c r="H71" s="2622">
        <v>2</v>
      </c>
      <c r="I71" s="2684"/>
      <c r="J71" s="2684"/>
      <c r="K71" s="2684"/>
      <c r="L71" s="2684"/>
      <c r="X71" s="2676"/>
      <c r="Y71" s="2676"/>
      <c r="Z71" s="2676"/>
    </row>
    <row r="72" spans="1:26" ht="13.5" thickBot="1">
      <c r="A72" s="2618" t="s">
        <v>2624</v>
      </c>
      <c r="B72" s="2686">
        <f t="shared" si="50"/>
        <v>107.25</v>
      </c>
      <c r="C72" s="2686">
        <f t="shared" si="50"/>
        <v>108.75</v>
      </c>
      <c r="D72" s="2686">
        <f t="shared" si="16"/>
        <v>108.75</v>
      </c>
      <c r="E72" s="2686">
        <f t="shared" si="51"/>
        <v>105.75</v>
      </c>
      <c r="F72" s="2686">
        <f t="shared" si="51"/>
        <v>102.5</v>
      </c>
      <c r="G72" s="3449">
        <v>2003</v>
      </c>
      <c r="H72" s="2687">
        <v>1</v>
      </c>
      <c r="I72" s="2684"/>
      <c r="J72" s="2684"/>
      <c r="K72" s="2684"/>
      <c r="L72" s="2684"/>
      <c r="S72" s="2626"/>
      <c r="T72" s="2627"/>
      <c r="U72" s="2627"/>
      <c r="X72" s="2676"/>
      <c r="Y72" s="2676"/>
      <c r="Z72" s="2676"/>
    </row>
    <row r="73" spans="1:26" ht="13.5" thickBot="1">
      <c r="A73" s="2618" t="s">
        <v>2625</v>
      </c>
      <c r="B73" s="2688">
        <v>106</v>
      </c>
      <c r="C73" s="2688">
        <v>107</v>
      </c>
      <c r="D73" s="2688">
        <f t="shared" si="16"/>
        <v>107</v>
      </c>
      <c r="E73" s="2688">
        <v>105</v>
      </c>
      <c r="F73" s="2689">
        <v>102</v>
      </c>
      <c r="G73" s="3448">
        <v>2002</v>
      </c>
      <c r="H73" s="2637">
        <v>4</v>
      </c>
      <c r="I73" s="2684"/>
      <c r="J73" s="2684"/>
      <c r="K73" s="2684"/>
      <c r="L73" s="2684"/>
      <c r="N73" s="2685"/>
      <c r="O73" s="2684"/>
      <c r="P73" s="2684"/>
      <c r="Q73" s="2684"/>
      <c r="S73" s="2685"/>
      <c r="T73" s="2684"/>
      <c r="U73" s="2684"/>
      <c r="V73" s="2684"/>
      <c r="X73" s="2676"/>
      <c r="Y73" s="2676"/>
      <c r="Z73" s="2676"/>
    </row>
    <row r="74" spans="1:26">
      <c r="A74" s="2618" t="s">
        <v>2626</v>
      </c>
      <c r="B74" s="2686">
        <f t="shared" ref="B74:C76" si="52">B75+(B$73-B$77)/4</f>
        <v>105</v>
      </c>
      <c r="C74" s="2686">
        <f t="shared" si="52"/>
        <v>106</v>
      </c>
      <c r="D74" s="2686">
        <f t="shared" si="16"/>
        <v>106</v>
      </c>
      <c r="E74" s="2686">
        <f t="shared" ref="E74:F76" si="53">E75+(E$73-E$77)/4</f>
        <v>104.5</v>
      </c>
      <c r="F74" s="2686">
        <f t="shared" si="53"/>
        <v>101.5</v>
      </c>
      <c r="G74" s="3446">
        <v>2002</v>
      </c>
      <c r="H74" s="2642">
        <v>3</v>
      </c>
      <c r="I74" s="2684"/>
      <c r="J74" s="2684"/>
      <c r="K74" s="2684"/>
      <c r="L74" s="2684"/>
      <c r="X74" s="2676"/>
      <c r="Y74" s="2676"/>
      <c r="Z74" s="2676"/>
    </row>
    <row r="75" spans="1:26">
      <c r="A75" s="2618" t="s">
        <v>2627</v>
      </c>
      <c r="B75" s="2686">
        <f t="shared" si="52"/>
        <v>104</v>
      </c>
      <c r="C75" s="2686">
        <f t="shared" si="52"/>
        <v>105</v>
      </c>
      <c r="D75" s="2686">
        <f t="shared" si="16"/>
        <v>105</v>
      </c>
      <c r="E75" s="2686">
        <f t="shared" si="53"/>
        <v>104</v>
      </c>
      <c r="F75" s="2686">
        <f t="shared" si="53"/>
        <v>101</v>
      </c>
      <c r="G75" s="3446">
        <v>2002</v>
      </c>
      <c r="H75" s="2622">
        <v>2</v>
      </c>
      <c r="I75" s="2684"/>
      <c r="J75" s="2684"/>
      <c r="K75" s="2684"/>
      <c r="L75" s="2684"/>
      <c r="X75" s="2676"/>
      <c r="Y75" s="2676"/>
      <c r="Z75" s="2676"/>
    </row>
    <row r="76" spans="1:26" s="2653" customFormat="1" ht="13.5" thickBot="1">
      <c r="A76" s="2649" t="s">
        <v>2628</v>
      </c>
      <c r="B76" s="2690">
        <f t="shared" si="52"/>
        <v>103</v>
      </c>
      <c r="C76" s="2690">
        <f t="shared" si="52"/>
        <v>104</v>
      </c>
      <c r="D76" s="2690">
        <f t="shared" si="16"/>
        <v>104</v>
      </c>
      <c r="E76" s="2690">
        <f t="shared" si="53"/>
        <v>103.5</v>
      </c>
      <c r="F76" s="2690">
        <f t="shared" si="53"/>
        <v>100.5</v>
      </c>
      <c r="G76" s="3449">
        <v>2002</v>
      </c>
      <c r="H76" s="2691">
        <v>1</v>
      </c>
      <c r="I76" s="2692"/>
      <c r="J76" s="2692"/>
      <c r="K76" s="2692"/>
      <c r="L76" s="2692"/>
      <c r="N76" s="2693"/>
      <c r="S76" s="2693"/>
      <c r="X76" s="2694"/>
      <c r="Y76" s="2694"/>
      <c r="Z76" s="2694"/>
    </row>
    <row r="77" spans="1:26" ht="13.5" thickBot="1">
      <c r="B77" s="2695">
        <v>102</v>
      </c>
      <c r="C77" s="2696">
        <v>103</v>
      </c>
      <c r="D77" s="2696">
        <f t="shared" si="16"/>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2629</v>
      </c>
      <c r="G79" s="2700"/>
      <c r="N79" s="2700"/>
      <c r="S79" s="2700"/>
    </row>
    <row r="80" spans="1:26" s="2699" customFormat="1">
      <c r="A80" s="2699" t="s">
        <v>2630</v>
      </c>
      <c r="G80" s="2700"/>
      <c r="N80" s="2700"/>
      <c r="S80" s="2700"/>
    </row>
    <row r="81" spans="1:22" s="2699" customFormat="1">
      <c r="A81" s="2699" t="s">
        <v>2631</v>
      </c>
      <c r="G81" s="2700"/>
      <c r="I81" s="2701"/>
      <c r="J81" s="2701"/>
      <c r="K81" s="2701"/>
      <c r="L81" s="2701"/>
      <c r="N81" s="2702"/>
      <c r="O81" s="2701"/>
      <c r="P81" s="2701"/>
      <c r="Q81" s="2701"/>
      <c r="S81" s="2702"/>
      <c r="T81" s="2701"/>
      <c r="U81" s="2701"/>
      <c r="V81" s="2701"/>
    </row>
    <row r="82" spans="1:22" s="2699" customFormat="1">
      <c r="A82" s="2699" t="s">
        <v>2632</v>
      </c>
      <c r="G82" s="2700"/>
      <c r="N82" s="2700"/>
      <c r="S82" s="2700"/>
    </row>
    <row r="89" spans="1:22" ht="13.5" thickBot="1"/>
    <row r="90" spans="1:22">
      <c r="G90" s="2625"/>
      <c r="S90" s="2703" t="s">
        <v>2633</v>
      </c>
      <c r="T90" s="2704" t="s">
        <v>2634</v>
      </c>
      <c r="U90" s="2704" t="s">
        <v>2635</v>
      </c>
      <c r="V90" s="2704" t="s">
        <v>2636</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2948</v>
      </c>
      <c r="B1" s="3056"/>
      <c r="C1" s="3056"/>
      <c r="D1" s="3056"/>
      <c r="E1" s="3056"/>
      <c r="F1" s="3056"/>
    </row>
    <row r="2" spans="1:6" ht="14.25">
      <c r="A2" s="3057" t="s">
        <v>2943</v>
      </c>
      <c r="B2" s="3058" t="e">
        <f ca="1">SUMIF(B7:B14,"&lt;&gt;#ref!",B7:B14)</f>
        <v>#DIV/0!</v>
      </c>
      <c r="C2" s="3057" t="s">
        <v>2944</v>
      </c>
      <c r="D2" s="3056"/>
      <c r="E2" s="3056"/>
      <c r="F2" s="3056"/>
    </row>
    <row r="3" spans="1:6" ht="14.25">
      <c r="A3" s="3057" t="s">
        <v>2976</v>
      </c>
      <c r="B3" s="3058" t="e">
        <f ca="1">ROUND(B2*10000/E3,0)</f>
        <v>#DIV/0!</v>
      </c>
      <c r="C3" s="3057" t="s">
        <v>2078</v>
      </c>
      <c r="D3" s="3057" t="s">
        <v>2945</v>
      </c>
      <c r="E3" s="3058">
        <f ca="1">SUMIF(E7:E14,"&lt;&gt;#ref!",E7:E14)</f>
        <v>0</v>
      </c>
      <c r="F3" s="3056"/>
    </row>
    <row r="4" spans="1:6" ht="14.25">
      <c r="A4" s="3057" t="s">
        <v>2952</v>
      </c>
      <c r="B4" s="3058" t="e">
        <f ca="1">ROUND(B2*10000/E4,0)</f>
        <v>#DIV/0!</v>
      </c>
      <c r="C4" s="3057" t="s">
        <v>2078</v>
      </c>
      <c r="D4" s="3057" t="s">
        <v>2953</v>
      </c>
      <c r="E4" s="3058">
        <f ca="1">SUMIF(F7:F14,"&lt;&gt;#ref!",F7:F14)</f>
        <v>0</v>
      </c>
      <c r="F4" s="3056"/>
    </row>
    <row r="5" spans="1:6" ht="14.25">
      <c r="A5" s="3059"/>
      <c r="B5" s="1865"/>
      <c r="C5" s="1865"/>
      <c r="D5" s="1865"/>
      <c r="E5" s="1865"/>
      <c r="F5" s="3056"/>
    </row>
    <row r="6" spans="1:6" ht="28.5">
      <c r="A6" s="3060" t="s">
        <v>2949</v>
      </c>
      <c r="B6" s="3057" t="s">
        <v>2946</v>
      </c>
      <c r="C6" s="3058"/>
      <c r="D6" s="1865"/>
      <c r="E6" s="3057" t="s">
        <v>2947</v>
      </c>
      <c r="F6" s="3057" t="s">
        <v>2951</v>
      </c>
    </row>
    <row r="7" spans="1:6" ht="14.25">
      <c r="A7" s="260" t="s">
        <v>2950</v>
      </c>
      <c r="B7" s="3061" t="e">
        <f ca="1">SUMIF(INDIRECT("'"&amp;A7&amp;"'"&amp;"!A:A"),"总价",INDIRECT("'"&amp;A7&amp;"'"&amp;"!B:B"))</f>
        <v>#DIV/0!</v>
      </c>
      <c r="C7" s="3057" t="s">
        <v>2944</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2944</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2944</v>
      </c>
      <c r="D9" s="1865"/>
      <c r="E9" s="3062" t="e">
        <f t="shared" ca="1" si="1"/>
        <v>#REF!</v>
      </c>
      <c r="F9" s="3062" t="e">
        <f t="shared" ca="1" si="2"/>
        <v>#REF!</v>
      </c>
    </row>
    <row r="10" spans="1:6" ht="14.25">
      <c r="A10" s="260"/>
      <c r="B10" s="3061" t="e">
        <f t="shared" ca="1" si="0"/>
        <v>#REF!</v>
      </c>
      <c r="C10" s="3057" t="s">
        <v>2944</v>
      </c>
      <c r="D10" s="1865"/>
      <c r="E10" s="3062" t="e">
        <f t="shared" ca="1" si="1"/>
        <v>#REF!</v>
      </c>
      <c r="F10" s="3062" t="e">
        <f t="shared" ca="1" si="2"/>
        <v>#REF!</v>
      </c>
    </row>
    <row r="11" spans="1:6" ht="14.25">
      <c r="A11" s="260"/>
      <c r="B11" s="3061" t="e">
        <f t="shared" ca="1" si="0"/>
        <v>#REF!</v>
      </c>
      <c r="C11" s="3057" t="s">
        <v>2944</v>
      </c>
      <c r="D11" s="1865"/>
      <c r="E11" s="3062" t="e">
        <f t="shared" ca="1" si="1"/>
        <v>#REF!</v>
      </c>
      <c r="F11" s="3062" t="e">
        <f t="shared" ca="1" si="2"/>
        <v>#REF!</v>
      </c>
    </row>
    <row r="12" spans="1:6" ht="14.25">
      <c r="A12" s="260"/>
      <c r="B12" s="3061" t="e">
        <f t="shared" ca="1" si="0"/>
        <v>#REF!</v>
      </c>
      <c r="C12" s="3057" t="s">
        <v>2944</v>
      </c>
      <c r="D12" s="1865"/>
      <c r="E12" s="3062" t="e">
        <f t="shared" ca="1" si="1"/>
        <v>#REF!</v>
      </c>
      <c r="F12" s="3062" t="e">
        <f t="shared" ca="1" si="2"/>
        <v>#REF!</v>
      </c>
    </row>
    <row r="13" spans="1:6" ht="14.25">
      <c r="A13" s="260"/>
      <c r="B13" s="3061" t="e">
        <f t="shared" ca="1" si="0"/>
        <v>#REF!</v>
      </c>
      <c r="C13" s="3057" t="s">
        <v>2944</v>
      </c>
      <c r="D13" s="1865"/>
      <c r="E13" s="3062" t="e">
        <f t="shared" ca="1" si="1"/>
        <v>#REF!</v>
      </c>
      <c r="F13" s="3062" t="e">
        <f t="shared" ca="1" si="2"/>
        <v>#REF!</v>
      </c>
    </row>
    <row r="14" spans="1:6" ht="14.25">
      <c r="A14" s="3055"/>
      <c r="B14" s="3061" t="e">
        <f t="shared" ca="1" si="0"/>
        <v>#REF!</v>
      </c>
      <c r="C14" s="3057" t="s">
        <v>2944</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2374</v>
      </c>
      <c r="F1" s="2351">
        <f ca="1">J54</f>
        <v>-3</v>
      </c>
      <c r="G1" s="774">
        <f>MATCH(C1,'数据-取费表'!A6:A16,0)+5</f>
        <v>7</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2458</v>
      </c>
      <c r="C7" s="53">
        <f ca="1">C8+C12+C14</f>
        <v>0</v>
      </c>
      <c r="D7" s="2459" t="s">
        <v>2461</v>
      </c>
      <c r="E7" s="2453"/>
      <c r="F7" s="2454"/>
      <c r="G7" s="1577"/>
      <c r="H7" s="781">
        <v>1</v>
      </c>
      <c r="I7" s="782" t="s">
        <v>2458</v>
      </c>
      <c r="J7" s="53">
        <f ca="1">J8+J12+J14</f>
        <v>0</v>
      </c>
      <c r="K7" s="2459" t="s">
        <v>2461</v>
      </c>
      <c r="L7" s="2453"/>
      <c r="M7" s="2454"/>
    </row>
    <row r="8" spans="1:25" ht="18" customHeight="1">
      <c r="A8" s="1814" t="s">
        <v>1824</v>
      </c>
      <c r="B8" s="3457" t="s">
        <v>2463</v>
      </c>
      <c r="C8" s="1809">
        <f ca="1">ROUND(F8*F10*F9*(1-F11)/10000,0)</f>
        <v>0</v>
      </c>
      <c r="D8" s="1806" t="s">
        <v>2532</v>
      </c>
      <c r="E8" s="61" t="s">
        <v>637</v>
      </c>
      <c r="F8" s="785">
        <f ca="1">INDIRECT("'数据-取费表'!u"&amp;$G$1)</f>
        <v>0</v>
      </c>
      <c r="G8" s="1577"/>
      <c r="H8" s="2467" t="s">
        <v>1824</v>
      </c>
      <c r="I8" s="3457" t="s">
        <v>2463</v>
      </c>
      <c r="J8" s="783">
        <f ca="1">ROUND(M8*M10*M9*(1-M11)/10000,0)</f>
        <v>0</v>
      </c>
      <c r="K8" s="341" t="s">
        <v>2532</v>
      </c>
      <c r="L8" s="784" t="s">
        <v>1738</v>
      </c>
      <c r="M8" s="785">
        <f ca="1">INDIRECT("'数据-取费表'!z"&amp;$G$1)</f>
        <v>0</v>
      </c>
    </row>
    <row r="9" spans="1:25" ht="18" customHeight="1">
      <c r="A9" s="2463"/>
      <c r="B9" s="3458"/>
      <c r="C9" s="1810"/>
      <c r="D9" s="1807"/>
      <c r="E9" s="61" t="s">
        <v>638</v>
      </c>
      <c r="F9" s="785">
        <f ca="1">IF(INDIRECT("'数据-取费表'!ah"&amp;$G$1)="",INDIRECT("'数据-取费表'!k"&amp;$G$1),INDIRECT("'数据-取费表'!ah"&amp;$G$1))</f>
        <v>0</v>
      </c>
      <c r="G9" s="1577"/>
      <c r="H9" s="2452"/>
      <c r="I9" s="3458"/>
      <c r="J9" s="788"/>
      <c r="K9" s="789"/>
      <c r="L9" s="784" t="s">
        <v>1739</v>
      </c>
      <c r="M9" s="785">
        <f ca="1">F9</f>
        <v>0</v>
      </c>
    </row>
    <row r="10" spans="1:25" ht="18" customHeight="1">
      <c r="A10" s="2456"/>
      <c r="B10" s="3459"/>
      <c r="C10" s="1810"/>
      <c r="D10" s="1807"/>
      <c r="E10" s="61" t="s">
        <v>639</v>
      </c>
      <c r="F10" s="785">
        <f ca="1">INDIRECT("'数据-取费表'!ai"&amp;$G$1)</f>
        <v>0</v>
      </c>
      <c r="G10" s="1577"/>
      <c r="H10" s="2452"/>
      <c r="I10" s="3459"/>
      <c r="J10" s="788"/>
      <c r="K10" s="789"/>
      <c r="L10" s="784" t="s">
        <v>1740</v>
      </c>
      <c r="M10" s="785">
        <f ca="1">INDIRECT("'数据-取费表'!ai"&amp;$G$1)</f>
        <v>0</v>
      </c>
    </row>
    <row r="11" spans="1:25" ht="18" customHeight="1">
      <c r="A11" s="786"/>
      <c r="B11" s="3460"/>
      <c r="C11" s="1810"/>
      <c r="D11" s="1807"/>
      <c r="E11" s="61" t="s">
        <v>640</v>
      </c>
      <c r="F11" s="794">
        <f ca="1">INDIRECT("'数据-取费表'!w"&amp;$G$1)</f>
        <v>0</v>
      </c>
      <c r="G11" s="1577"/>
      <c r="H11" s="2468"/>
      <c r="I11" s="3459"/>
      <c r="J11" s="788"/>
      <c r="K11" s="789"/>
      <c r="L11" s="795" t="s">
        <v>1741</v>
      </c>
      <c r="M11" s="796">
        <f ca="1">INDIRECT("'数据-取费表'!ab"&amp;$G$1)</f>
        <v>0</v>
      </c>
    </row>
    <row r="12" spans="1:25" ht="18" customHeight="1">
      <c r="A12" s="1814" t="s">
        <v>1825</v>
      </c>
      <c r="B12" s="2457" t="s">
        <v>2459</v>
      </c>
      <c r="C12" s="799">
        <f ca="1">ROUND(IF(F12="押一",C8/12*F13,IF(F12="押二",C8/12*2*F13,IF(F12="押三",C8/12*3*F13,C13*F13))),0)</f>
        <v>0</v>
      </c>
      <c r="D12" s="2464" t="s">
        <v>2973</v>
      </c>
      <c r="E12" s="2461" t="s">
        <v>2464</v>
      </c>
      <c r="F12" s="2584"/>
      <c r="G12" s="1577"/>
      <c r="H12" s="2524" t="s">
        <v>1825</v>
      </c>
      <c r="I12" s="2529" t="s">
        <v>2459</v>
      </c>
      <c r="J12" s="783">
        <f ca="1">ROUND(IF(M12="押一",J8/12*M13,IF(M12="押二",J8/12*2*M13,IF(M12="押三",J8/12*3*M13,J13*M13))),0)</f>
        <v>0</v>
      </c>
      <c r="K12" s="2464" t="s">
        <v>2973</v>
      </c>
      <c r="L12" s="2461" t="s">
        <v>2464</v>
      </c>
      <c r="M12" s="2584"/>
    </row>
    <row r="13" spans="1:25" ht="18" customHeight="1">
      <c r="A13" s="790"/>
      <c r="B13" s="2458" t="s">
        <v>2571</v>
      </c>
      <c r="C13" s="2462"/>
      <c r="D13" s="789"/>
      <c r="E13" s="2461" t="s">
        <v>2456</v>
      </c>
      <c r="F13" s="796">
        <f ca="1">'数据-取费表'!B39</f>
        <v>1.4999999999999999E-2</v>
      </c>
      <c r="G13" s="1577"/>
      <c r="H13" s="2525"/>
      <c r="I13" s="2458" t="s">
        <v>2571</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2069</v>
      </c>
      <c r="I16" s="2215" t="s">
        <v>2823</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2069</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12</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2437</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3</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1.4E-3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2820</v>
      </c>
      <c r="J27" s="799">
        <f ca="1">J7-J18</f>
        <v>0</v>
      </c>
      <c r="K27" s="1963" t="s">
        <v>700</v>
      </c>
      <c r="L27" s="1965"/>
      <c r="M27" s="820"/>
    </row>
    <row r="28" spans="1:25" ht="18" customHeight="1">
      <c r="A28" s="803" t="s">
        <v>1875</v>
      </c>
      <c r="B28" s="784" t="s">
        <v>2438</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5.2400000000000002E-2</v>
      </c>
      <c r="D30" s="812" t="s">
        <v>709</v>
      </c>
      <c r="E30" s="784" t="s">
        <v>649</v>
      </c>
      <c r="F30" s="809">
        <f>'数据-取费表'!B41</f>
        <v>5.5000000000000007E-2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2821</v>
      </c>
      <c r="C31" s="2507">
        <f ca="1">ROUND((C21+C22+C25+C28)/(1-F23-C26-C29-C30),0)</f>
        <v>0</v>
      </c>
      <c r="D31" s="2508"/>
      <c r="E31" s="2509"/>
      <c r="F31" s="2510"/>
      <c r="G31" s="1578"/>
      <c r="H31" s="823" t="s">
        <v>1872</v>
      </c>
      <c r="I31" s="2963" t="s">
        <v>2822</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12</v>
      </c>
      <c r="G36" s="2046"/>
      <c r="H36" s="2049"/>
      <c r="I36" s="3456"/>
      <c r="J36" s="2063"/>
      <c r="K36" s="2064"/>
      <c r="L36" s="2063"/>
      <c r="M36" s="2063"/>
    </row>
    <row r="37" spans="1:18" ht="18" customHeight="1">
      <c r="A37" s="815"/>
      <c r="B37" s="793"/>
      <c r="C37" s="69"/>
      <c r="D37" s="816"/>
      <c r="E37" s="784" t="s">
        <v>674</v>
      </c>
      <c r="F37" s="785">
        <f ca="1">INDIRECT("'数据-取费表'!r"&amp;$G$1)</f>
        <v>0</v>
      </c>
      <c r="G37" s="2046"/>
      <c r="H37" s="2049"/>
      <c r="I37" s="3456"/>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3" t="s">
        <v>2961</v>
      </c>
      <c r="F43" s="3074">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9">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5" t="s">
        <v>2964</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7" t="str">
        <f ca="1">IF(M48="住宅",0,IF(L49&gt;J52,L61,J61))</f>
        <v>0</v>
      </c>
      <c r="O47" s="2357" t="s">
        <v>2410</v>
      </c>
      <c r="P47" s="1577"/>
      <c r="Q47" s="1588"/>
      <c r="R47" s="1577"/>
    </row>
    <row r="48" spans="1:18" s="2043" customFormat="1" ht="18" customHeight="1" thickBot="1">
      <c r="A48" s="2068"/>
      <c r="C48" s="2071"/>
      <c r="D48" s="2072"/>
      <c r="E48" s="2072"/>
      <c r="F48" s="2073"/>
      <c r="G48" s="2074"/>
      <c r="I48" s="3098" t="s">
        <v>2344</v>
      </c>
      <c r="J48" s="2344"/>
      <c r="K48" s="3104" t="s">
        <v>2349</v>
      </c>
      <c r="L48" s="3108">
        <f ca="1">INDIRECT("'数据-取费表'!d"&amp;$G$1)</f>
        <v>0</v>
      </c>
      <c r="M48" s="3072"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7" t="s">
        <v>2345</v>
      </c>
      <c r="J49" s="2345"/>
      <c r="K49" s="3105"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7" t="s">
        <v>2346</v>
      </c>
      <c r="J50" s="2346"/>
      <c r="K50" s="3106"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7" t="s">
        <v>2347</v>
      </c>
      <c r="J51" s="3102">
        <f>SUMPRODUCT((I64:I66=J48)*(J63:L63=J49)*(J64:L66))</f>
        <v>0</v>
      </c>
      <c r="K51" s="3106" t="s">
        <v>2353</v>
      </c>
      <c r="L51" s="2347"/>
      <c r="O51" s="2364" t="s">
        <v>2383</v>
      </c>
      <c r="P51" s="2362" t="s">
        <v>2407</v>
      </c>
      <c r="Q51" s="2363">
        <f ca="1">C31</f>
        <v>0</v>
      </c>
      <c r="R51" s="2362" t="s">
        <v>2380</v>
      </c>
    </row>
    <row r="52" spans="1:18" s="2043" customFormat="1" ht="18" customHeight="1" thickBot="1">
      <c r="A52" s="2080"/>
      <c r="F52" s="2069"/>
      <c r="I52" s="3099" t="s">
        <v>2348</v>
      </c>
      <c r="J52" s="3103">
        <f>IF(J50="",J51,J50+J51-YEAR('数据-取费表'!B3))</f>
        <v>0</v>
      </c>
      <c r="K52" s="3077" t="s">
        <v>2354</v>
      </c>
      <c r="L52" s="3109">
        <f ca="1">ROUND(-PV(INDIRECT("'数据-取费表'!h"&amp;$G$1),L49,(C40-C14*J36),0),0)</f>
        <v>0</v>
      </c>
      <c r="O52" s="2364" t="s">
        <v>2384</v>
      </c>
      <c r="P52" s="2362" t="s">
        <v>2385</v>
      </c>
      <c r="Q52" s="2365" t="e">
        <f ca="1">J59</f>
        <v>#VALUE!</v>
      </c>
      <c r="R52" s="2366"/>
    </row>
    <row r="53" spans="1:18" s="2043" customFormat="1" ht="18" customHeight="1" thickBot="1">
      <c r="A53" s="2080"/>
      <c r="F53" s="2069"/>
      <c r="I53" s="3100" t="s">
        <v>2421</v>
      </c>
      <c r="J53" s="2348"/>
      <c r="K53" s="3100" t="s">
        <v>2420</v>
      </c>
      <c r="L53" s="2348"/>
      <c r="O53" s="2364" t="s">
        <v>2386</v>
      </c>
      <c r="P53" s="2362" t="s">
        <v>2387</v>
      </c>
      <c r="Q53" s="2365">
        <f>J53</f>
        <v>0</v>
      </c>
      <c r="R53" s="2366"/>
    </row>
    <row r="54" spans="1:18" s="2043" customFormat="1" ht="29.25" thickBot="1">
      <c r="A54" s="2080"/>
      <c r="I54" s="3101" t="s">
        <v>2977</v>
      </c>
      <c r="J54" s="3180">
        <f ca="1">IF(M48="住宅",MAX(J52,L49-'数据-取费表'!B20),MIN(J52,L49-'数据-取费表'!B20))</f>
        <v>-3</v>
      </c>
      <c r="K54" s="3461"/>
      <c r="L54" s="3462"/>
      <c r="O54" s="2364" t="s">
        <v>2388</v>
      </c>
      <c r="P54" s="2362" t="s">
        <v>2389</v>
      </c>
      <c r="Q54" s="2363">
        <f ca="1">J54</f>
        <v>-3</v>
      </c>
      <c r="R54" s="2362" t="s">
        <v>2390</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2391</v>
      </c>
      <c r="P55" s="2362" t="s">
        <v>2408</v>
      </c>
      <c r="Q55" s="2363">
        <f ca="1">Q49+Q50</f>
        <v>0</v>
      </c>
      <c r="R55" s="2366" t="s">
        <v>2392</v>
      </c>
    </row>
    <row r="56" spans="1:18" s="2043" customFormat="1" ht="16.5" thickBot="1">
      <c r="A56" s="2080"/>
      <c r="B56" s="2081"/>
      <c r="C56" s="2081"/>
      <c r="I56" s="3112" t="s">
        <v>2355</v>
      </c>
      <c r="J56" s="3052" t="e">
        <f ca="1">ROUND(IF(J48="钢混",J58/J51,1-(1-2%)*(J51-J58)/J51),3)</f>
        <v>#VALUE!</v>
      </c>
      <c r="K56" s="3113" t="s">
        <v>2356</v>
      </c>
      <c r="L56" s="2349"/>
      <c r="O56" s="2367" t="s">
        <v>2411</v>
      </c>
      <c r="P56" s="1577"/>
      <c r="Q56" s="1588"/>
      <c r="R56" s="1577"/>
    </row>
    <row r="57" spans="1:18" s="2043" customFormat="1" ht="43.5" thickBot="1">
      <c r="A57" s="2080"/>
      <c r="B57" s="2081"/>
      <c r="C57" s="2081"/>
      <c r="I57" s="3114" t="s">
        <v>2357</v>
      </c>
      <c r="J57" s="3124" t="s">
        <v>1678</v>
      </c>
      <c r="K57" s="3077" t="s">
        <v>2362</v>
      </c>
      <c r="L57" s="1892">
        <f ca="1">IF(L49&lt;J52,"——",L49-J52)</f>
        <v>0</v>
      </c>
      <c r="O57" s="2358" t="s">
        <v>2375</v>
      </c>
      <c r="P57" s="2359" t="s">
        <v>2376</v>
      </c>
      <c r="Q57" s="2360" t="s">
        <v>2377</v>
      </c>
      <c r="R57" s="2359" t="s">
        <v>2378</v>
      </c>
    </row>
    <row r="58" spans="1:18" s="2043" customFormat="1" ht="29.25" thickBot="1">
      <c r="A58" s="2080"/>
      <c r="B58" s="2081"/>
      <c r="C58" s="2081"/>
      <c r="I58" s="3115" t="s">
        <v>2358</v>
      </c>
      <c r="J58" s="3116" t="str">
        <f ca="1">IF(OR(M48="住宅",J52&lt;L49,J57="是"),"——",J52-L49)</f>
        <v>——</v>
      </c>
      <c r="K58" s="3077"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5" t="s">
        <v>2359</v>
      </c>
      <c r="J59" s="3053" t="e">
        <f ca="1">IF(J56&lt;0.4,0.4,J56)</f>
        <v>#VALUE!</v>
      </c>
      <c r="K59" s="3077"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5" t="s">
        <v>2360</v>
      </c>
      <c r="J60" s="3116" t="str">
        <f ca="1">IF(OR(M48="住宅",J52&lt;L49,J57="是"),"——",ROUND(C30*J59,0))</f>
        <v>——</v>
      </c>
      <c r="K60" s="3077"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7" t="s">
        <v>2361</v>
      </c>
      <c r="J61" s="3118" t="str">
        <f ca="1">IF(OR(M48="住宅",J52&lt;L49,J57="是"),"0",ROUND(J60/(1+J53)^J54,0))</f>
        <v>0</v>
      </c>
      <c r="K61" s="3119" t="s">
        <v>2366</v>
      </c>
      <c r="L61" s="3118"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20" t="s">
        <v>2367</v>
      </c>
      <c r="J63" s="3121" t="s">
        <v>2368</v>
      </c>
      <c r="K63" s="3121" t="s">
        <v>2369</v>
      </c>
      <c r="L63" s="3121" t="s">
        <v>2350</v>
      </c>
      <c r="M63" s="3122" t="s">
        <v>2942</v>
      </c>
      <c r="O63" s="2364" t="s">
        <v>2388</v>
      </c>
      <c r="P63" s="2362" t="s">
        <v>2396</v>
      </c>
      <c r="Q63" s="2363">
        <f ca="1">L60</f>
        <v>0</v>
      </c>
      <c r="R63" s="2366" t="s">
        <v>2397</v>
      </c>
    </row>
    <row r="64" spans="1:18" s="2043" customFormat="1" ht="15.75" thickBot="1">
      <c r="A64" s="2080"/>
      <c r="B64" s="2081"/>
      <c r="C64" s="2081"/>
      <c r="I64" s="3120" t="s">
        <v>2370</v>
      </c>
      <c r="J64" s="3121">
        <v>70</v>
      </c>
      <c r="K64" s="3121">
        <v>50</v>
      </c>
      <c r="L64" s="3121">
        <v>80</v>
      </c>
      <c r="M64" s="3123">
        <v>0.02</v>
      </c>
      <c r="O64" s="2361" t="s">
        <v>2391</v>
      </c>
      <c r="P64" s="2362" t="s">
        <v>2408</v>
      </c>
      <c r="Q64" s="2363" t="e">
        <f ca="1">Q58+Q59</f>
        <v>#DIV/0!</v>
      </c>
      <c r="R64" s="2366" t="s">
        <v>2392</v>
      </c>
    </row>
    <row r="65" spans="1:18" s="2043" customFormat="1" ht="16.5" thickBot="1">
      <c r="A65" s="2080"/>
      <c r="B65" s="2081"/>
      <c r="C65" s="2081"/>
      <c r="I65" s="3120" t="s">
        <v>2371</v>
      </c>
      <c r="J65" s="3121">
        <v>50</v>
      </c>
      <c r="K65" s="3121">
        <v>35</v>
      </c>
      <c r="L65" s="3121">
        <v>60</v>
      </c>
      <c r="M65" s="846">
        <v>0</v>
      </c>
      <c r="O65" s="2367" t="s">
        <v>2415</v>
      </c>
      <c r="P65" s="1577"/>
      <c r="Q65" s="1588"/>
      <c r="R65" s="1577"/>
    </row>
    <row r="66" spans="1:18" s="2043" customFormat="1" ht="15.75" thickBot="1">
      <c r="A66" s="2080"/>
      <c r="B66" s="2081"/>
      <c r="C66" s="2081"/>
      <c r="I66" s="3120" t="s">
        <v>2372</v>
      </c>
      <c r="J66" s="3121">
        <v>40</v>
      </c>
      <c r="K66" s="3121">
        <v>30</v>
      </c>
      <c r="L66" s="3121">
        <v>50</v>
      </c>
      <c r="M66" s="3123">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111025.1平方米。根据《建设工程规划许可证》[]、《出让合同》[]，估价对象规划建筑面积为248359.16平方米。</v>
      </c>
    </row>
    <row r="7" spans="1:4" ht="56.25">
      <c r="A7" s="1779" t="s">
        <v>2745</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2019年12月11日（评估专业人员勘察现场之日）</v>
      </c>
    </row>
    <row r="12" spans="1:4" ht="18.75">
      <c r="A12" s="1781" t="s">
        <v>2025</v>
      </c>
    </row>
    <row r="13" spans="1:4" ht="18.75">
      <c r="A13" s="1775" t="s">
        <v>2941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根据《国有土地使用证》[]，估价对象（分摊）出让国有建设用地使用权面积为111025.1平方米。根据《建设工程规划许可证》[]、《出让合同》[]，估价对象规划建筑面积为248359.16平方米。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7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76"/>
  <sheetViews>
    <sheetView topLeftCell="A331" workbookViewId="0">
      <selection activeCell="I27" sqref="I27"/>
    </sheetView>
  </sheetViews>
  <sheetFormatPr defaultColWidth="9" defaultRowHeight="12.75"/>
  <cols>
    <col min="1" max="1" width="49.625" style="3181" customWidth="1"/>
    <col min="2" max="2" width="6.25" style="3181" customWidth="1"/>
    <col min="3" max="3" width="7.875" style="3181" customWidth="1"/>
    <col min="4" max="5" width="13.875" style="3181" customWidth="1"/>
    <col min="6" max="6" width="10.5" style="3181" customWidth="1"/>
    <col min="7" max="7" width="7.875" style="3181" customWidth="1"/>
    <col min="8" max="8" width="9" style="3181" customWidth="1"/>
    <col min="9" max="10" width="10.625" style="3181" customWidth="1"/>
    <col min="11" max="11" width="14.375" style="3181" customWidth="1"/>
    <col min="12" max="12" width="6.25" style="3181" customWidth="1"/>
    <col min="13" max="13" width="39.25" style="3181" customWidth="1"/>
    <col min="14" max="14" width="7.875" style="3181" customWidth="1"/>
    <col min="15" max="16384" width="9" style="3181"/>
  </cols>
  <sheetData>
    <row r="1" spans="1:14">
      <c r="A1" s="3181" t="s">
        <v>3094</v>
      </c>
      <c r="B1" s="3181" t="s">
        <v>3093</v>
      </c>
      <c r="C1" s="3181" t="s">
        <v>3092</v>
      </c>
      <c r="D1" s="3181" t="s">
        <v>3091</v>
      </c>
      <c r="E1" s="3181" t="s">
        <v>3090</v>
      </c>
      <c r="F1" s="3181" t="s">
        <v>2032</v>
      </c>
      <c r="G1" s="3181" t="s">
        <v>3089</v>
      </c>
      <c r="H1" s="3181" t="s">
        <v>3088</v>
      </c>
      <c r="I1" s="3181" t="s">
        <v>3087</v>
      </c>
      <c r="J1" s="3181" t="s">
        <v>3086</v>
      </c>
      <c r="K1" s="3181" t="s">
        <v>3085</v>
      </c>
      <c r="L1" s="3181" t="s">
        <v>3084</v>
      </c>
      <c r="M1" s="3181" t="s">
        <v>3083</v>
      </c>
      <c r="N1" s="3181" t="s">
        <v>3082</v>
      </c>
    </row>
    <row r="2" spans="1:14" s="3188" customFormat="1">
      <c r="A2" s="3188" t="s">
        <v>3131</v>
      </c>
      <c r="B2" s="3188" t="s">
        <v>3006</v>
      </c>
      <c r="C2" s="3188" t="s">
        <v>3005</v>
      </c>
      <c r="D2" s="3188">
        <v>72582.62</v>
      </c>
      <c r="E2" s="3188">
        <v>108873.9</v>
      </c>
      <c r="F2" s="3188" t="s">
        <v>3072</v>
      </c>
      <c r="G2" s="3188" t="s">
        <v>3003</v>
      </c>
      <c r="H2" s="3188" t="s">
        <v>3081</v>
      </c>
      <c r="I2" s="3188">
        <v>3593</v>
      </c>
      <c r="J2" s="3188">
        <v>3593</v>
      </c>
      <c r="K2" s="3188">
        <v>330</v>
      </c>
      <c r="L2" s="3188">
        <v>0</v>
      </c>
      <c r="M2" s="3188" t="s">
        <v>3080</v>
      </c>
      <c r="N2" s="3188" t="s">
        <v>3000</v>
      </c>
    </row>
    <row r="3" spans="1:14">
      <c r="A3" s="3181" t="s">
        <v>3079</v>
      </c>
      <c r="B3" s="3181" t="s">
        <v>3006</v>
      </c>
      <c r="C3" s="3181" t="s">
        <v>3005</v>
      </c>
      <c r="D3" s="3181">
        <v>5328.32</v>
      </c>
      <c r="E3" s="3181">
        <v>2664.16</v>
      </c>
      <c r="F3" s="3181" t="s">
        <v>3069</v>
      </c>
      <c r="G3" s="3181" t="s">
        <v>3003</v>
      </c>
      <c r="H3" s="3181" t="s">
        <v>3074</v>
      </c>
      <c r="I3" s="3181" t="s">
        <v>2816</v>
      </c>
      <c r="J3" s="3181">
        <v>770</v>
      </c>
      <c r="K3" s="3181">
        <v>2890.21</v>
      </c>
      <c r="L3" s="3181" t="s">
        <v>2816</v>
      </c>
      <c r="M3" s="3181" t="s">
        <v>3067</v>
      </c>
      <c r="N3" s="3181" t="s">
        <v>3000</v>
      </c>
    </row>
    <row r="4" spans="1:14">
      <c r="A4" s="3181" t="s">
        <v>3078</v>
      </c>
      <c r="B4" s="3181" t="s">
        <v>3006</v>
      </c>
      <c r="C4" s="3181" t="s">
        <v>3005</v>
      </c>
      <c r="D4" s="3181">
        <v>5217.24</v>
      </c>
      <c r="E4" s="3181">
        <v>9391.0300000000007</v>
      </c>
      <c r="F4" s="3181" t="s">
        <v>3077</v>
      </c>
      <c r="G4" s="3181" t="s">
        <v>3003</v>
      </c>
      <c r="H4" s="3181" t="s">
        <v>3074</v>
      </c>
      <c r="I4" s="3181">
        <v>456</v>
      </c>
      <c r="J4" s="3181">
        <v>456</v>
      </c>
      <c r="K4" s="3181">
        <v>485.56</v>
      </c>
      <c r="L4" s="3181">
        <v>0</v>
      </c>
      <c r="M4" s="3181" t="s">
        <v>3076</v>
      </c>
      <c r="N4" s="3181" t="s">
        <v>3000</v>
      </c>
    </row>
    <row r="5" spans="1:14">
      <c r="A5" s="3181" t="s">
        <v>3075</v>
      </c>
      <c r="B5" s="3181" t="s">
        <v>3006</v>
      </c>
      <c r="C5" s="3181" t="s">
        <v>3005</v>
      </c>
      <c r="D5" s="3181">
        <v>26949</v>
      </c>
      <c r="E5" s="3181">
        <v>40423.5</v>
      </c>
      <c r="F5" s="3181" t="s">
        <v>3072</v>
      </c>
      <c r="G5" s="3181" t="s">
        <v>3003</v>
      </c>
      <c r="H5" s="3181" t="s">
        <v>3074</v>
      </c>
      <c r="I5" s="3181" t="s">
        <v>2816</v>
      </c>
      <c r="J5" s="3181">
        <v>1140</v>
      </c>
      <c r="K5" s="3181">
        <v>282</v>
      </c>
      <c r="L5" s="3181" t="s">
        <v>2816</v>
      </c>
      <c r="M5" s="3181" t="s">
        <v>3073</v>
      </c>
      <c r="N5" s="3181" t="s">
        <v>3000</v>
      </c>
    </row>
    <row r="6" spans="1:14" s="3183" customFormat="1">
      <c r="A6" s="3193" t="s">
        <v>3132</v>
      </c>
      <c r="B6" s="3183" t="s">
        <v>3006</v>
      </c>
      <c r="C6" s="3183" t="s">
        <v>3005</v>
      </c>
      <c r="D6" s="3183">
        <v>86897.24</v>
      </c>
      <c r="E6" s="3183">
        <v>130345.9</v>
      </c>
      <c r="F6" s="3183" t="s">
        <v>3072</v>
      </c>
      <c r="G6" s="3183" t="s">
        <v>3003</v>
      </c>
      <c r="H6" s="3183" t="s">
        <v>3068</v>
      </c>
      <c r="I6" s="3183" t="s">
        <v>2816</v>
      </c>
      <c r="J6" s="3183">
        <v>6520</v>
      </c>
      <c r="K6" s="3183">
        <v>500.2</v>
      </c>
      <c r="L6" s="3183" t="s">
        <v>2816</v>
      </c>
      <c r="M6" s="3183" t="s">
        <v>3071</v>
      </c>
      <c r="N6" s="3183" t="s">
        <v>3000</v>
      </c>
    </row>
    <row r="7" spans="1:14">
      <c r="A7" s="3181" t="s">
        <v>3070</v>
      </c>
      <c r="B7" s="3181" t="s">
        <v>3006</v>
      </c>
      <c r="C7" s="3181" t="s">
        <v>3005</v>
      </c>
      <c r="D7" s="3181">
        <v>4400.87</v>
      </c>
      <c r="E7" s="3181">
        <v>2200.4299999999998</v>
      </c>
      <c r="F7" s="3181" t="s">
        <v>3069</v>
      </c>
      <c r="G7" s="3181" t="s">
        <v>3003</v>
      </c>
      <c r="H7" s="3181" t="s">
        <v>3068</v>
      </c>
      <c r="I7" s="3181" t="s">
        <v>2816</v>
      </c>
      <c r="J7" s="3181">
        <v>200</v>
      </c>
      <c r="K7" s="3181">
        <v>908.9</v>
      </c>
      <c r="L7" s="3181" t="s">
        <v>2816</v>
      </c>
      <c r="M7" s="3181" t="s">
        <v>3067</v>
      </c>
      <c r="N7" s="3181" t="s">
        <v>3000</v>
      </c>
    </row>
    <row r="8" spans="1:14">
      <c r="A8" s="3181" t="s">
        <v>3063</v>
      </c>
      <c r="B8" s="3181" t="s">
        <v>3006</v>
      </c>
      <c r="C8" s="3181" t="s">
        <v>3005</v>
      </c>
      <c r="D8" s="3181">
        <v>48232.82</v>
      </c>
      <c r="E8" s="3181">
        <v>57879.38</v>
      </c>
      <c r="F8" s="3181" t="s">
        <v>3062</v>
      </c>
      <c r="G8" s="3181" t="s">
        <v>3048</v>
      </c>
      <c r="H8" s="3181" t="s">
        <v>3061</v>
      </c>
      <c r="I8" s="3181" t="s">
        <v>2816</v>
      </c>
      <c r="J8" s="3181">
        <v>5250</v>
      </c>
      <c r="K8" s="3181">
        <v>907.05</v>
      </c>
      <c r="L8" s="3181" t="s">
        <v>2816</v>
      </c>
      <c r="M8" s="3181" t="s">
        <v>3060</v>
      </c>
      <c r="N8" s="3181" t="s">
        <v>3000</v>
      </c>
    </row>
    <row r="9" spans="1:14">
      <c r="A9" s="3181" t="s">
        <v>3066</v>
      </c>
      <c r="B9" s="3181" t="s">
        <v>3006</v>
      </c>
      <c r="C9" s="3181" t="s">
        <v>3005</v>
      </c>
      <c r="D9" s="3181">
        <v>8871.0499999999993</v>
      </c>
      <c r="E9" s="3181">
        <v>9758.16</v>
      </c>
      <c r="F9" s="3181" t="s">
        <v>3065</v>
      </c>
      <c r="G9" s="3181" t="s">
        <v>3048</v>
      </c>
      <c r="H9" s="3181" t="s">
        <v>3061</v>
      </c>
      <c r="I9" s="3181" t="s">
        <v>2816</v>
      </c>
      <c r="J9" s="3181">
        <v>990</v>
      </c>
      <c r="K9" s="3181">
        <v>1014.53</v>
      </c>
      <c r="L9" s="3181" t="s">
        <v>2816</v>
      </c>
      <c r="M9" s="3181" t="s">
        <v>3064</v>
      </c>
      <c r="N9" s="3181" t="s">
        <v>3000</v>
      </c>
    </row>
    <row r="10" spans="1:14">
      <c r="A10" s="3181" t="s">
        <v>3063</v>
      </c>
      <c r="B10" s="3181" t="s">
        <v>3006</v>
      </c>
      <c r="C10" s="3181" t="s">
        <v>3005</v>
      </c>
      <c r="D10" s="3181">
        <v>6618.37</v>
      </c>
      <c r="E10" s="3181">
        <v>7942.04</v>
      </c>
      <c r="F10" s="3181" t="s">
        <v>3062</v>
      </c>
      <c r="G10" s="3181" t="s">
        <v>3048</v>
      </c>
      <c r="H10" s="3181" t="s">
        <v>3061</v>
      </c>
      <c r="I10" s="3181" t="s">
        <v>2816</v>
      </c>
      <c r="J10" s="3181">
        <v>720</v>
      </c>
      <c r="K10" s="3181">
        <v>906.57</v>
      </c>
      <c r="L10" s="3181" t="s">
        <v>2816</v>
      </c>
      <c r="M10" s="3181" t="s">
        <v>3060</v>
      </c>
      <c r="N10" s="3181" t="s">
        <v>3000</v>
      </c>
    </row>
    <row r="11" spans="1:14">
      <c r="A11" s="3181" t="s">
        <v>3059</v>
      </c>
      <c r="B11" s="3181" t="s">
        <v>3006</v>
      </c>
      <c r="C11" s="3181" t="s">
        <v>3005</v>
      </c>
      <c r="D11" s="3181">
        <v>30444</v>
      </c>
      <c r="E11" s="3181">
        <v>30444</v>
      </c>
      <c r="F11" s="3181" t="s">
        <v>3058</v>
      </c>
      <c r="G11" s="3181" t="s">
        <v>3003</v>
      </c>
      <c r="H11" s="3181" t="s">
        <v>3057</v>
      </c>
      <c r="I11" s="3181">
        <v>3426</v>
      </c>
      <c r="J11" s="3181">
        <v>3426</v>
      </c>
      <c r="K11" s="3181">
        <v>1125.33</v>
      </c>
      <c r="L11" s="3181">
        <v>0</v>
      </c>
      <c r="M11" s="3181" t="s">
        <v>3056</v>
      </c>
      <c r="N11" s="3181" t="s">
        <v>3000</v>
      </c>
    </row>
    <row r="12" spans="1:14">
      <c r="A12" s="3181" t="s">
        <v>3055</v>
      </c>
      <c r="B12" s="3181" t="s">
        <v>3006</v>
      </c>
      <c r="C12" s="3181" t="s">
        <v>3005</v>
      </c>
      <c r="D12" s="3181">
        <v>52808.49</v>
      </c>
      <c r="E12" s="3181">
        <v>52.81</v>
      </c>
      <c r="F12" s="3181" t="s">
        <v>3054</v>
      </c>
      <c r="G12" s="3181" t="s">
        <v>3003</v>
      </c>
      <c r="H12" s="3181" t="s">
        <v>3053</v>
      </c>
      <c r="I12" s="3181">
        <v>1521</v>
      </c>
      <c r="J12" s="3181">
        <v>1521</v>
      </c>
      <c r="K12" s="3181">
        <v>288013.63</v>
      </c>
      <c r="L12" s="3181">
        <v>0</v>
      </c>
      <c r="M12" s="3181" t="s">
        <v>3052</v>
      </c>
      <c r="N12" s="3181" t="s">
        <v>3051</v>
      </c>
    </row>
    <row r="13" spans="1:14">
      <c r="A13" s="3181" t="s">
        <v>3050</v>
      </c>
      <c r="B13" s="3181" t="s">
        <v>3006</v>
      </c>
      <c r="C13" s="3181" t="s">
        <v>3005</v>
      </c>
      <c r="D13" s="3181">
        <v>70209.179999999993</v>
      </c>
      <c r="E13" s="3181">
        <v>179735.5</v>
      </c>
      <c r="F13" s="3181" t="s">
        <v>3049</v>
      </c>
      <c r="G13" s="3181" t="s">
        <v>3048</v>
      </c>
      <c r="H13" s="3181" t="s">
        <v>3047</v>
      </c>
      <c r="I13" s="3181">
        <v>18910</v>
      </c>
      <c r="J13" s="3181">
        <v>18910</v>
      </c>
      <c r="K13" s="3181">
        <v>1052.0899999999999</v>
      </c>
      <c r="L13" s="3181">
        <v>0</v>
      </c>
      <c r="M13" s="3181" t="s">
        <v>3046</v>
      </c>
      <c r="N13" s="3181" t="s">
        <v>3045</v>
      </c>
    </row>
    <row r="14" spans="1:14">
      <c r="A14" s="3181" t="s">
        <v>3044</v>
      </c>
      <c r="B14" s="3181" t="s">
        <v>3006</v>
      </c>
      <c r="C14" s="3181" t="s">
        <v>3005</v>
      </c>
      <c r="D14" s="3181">
        <v>72828.100000000006</v>
      </c>
      <c r="E14" s="3181">
        <v>109242.1</v>
      </c>
      <c r="F14" s="3181" t="s">
        <v>3043</v>
      </c>
      <c r="G14" s="3181" t="s">
        <v>3003</v>
      </c>
      <c r="H14" s="3181" t="s">
        <v>3042</v>
      </c>
      <c r="I14" s="3181">
        <v>4698</v>
      </c>
      <c r="J14" s="3181">
        <v>4698</v>
      </c>
      <c r="K14" s="3181">
        <v>430.05</v>
      </c>
      <c r="L14" s="3181">
        <v>0</v>
      </c>
      <c r="M14" s="3181" t="s">
        <v>3041</v>
      </c>
      <c r="N14" s="3181" t="s">
        <v>3040</v>
      </c>
    </row>
    <row r="15" spans="1:14" s="3183" customFormat="1">
      <c r="A15" s="3183" t="s">
        <v>3039</v>
      </c>
      <c r="B15" s="3183" t="s">
        <v>3006</v>
      </c>
      <c r="C15" s="3183" t="s">
        <v>3005</v>
      </c>
      <c r="D15" s="3183">
        <v>101316.2</v>
      </c>
      <c r="E15" s="3183">
        <v>182369.2</v>
      </c>
      <c r="F15" s="3183" t="s">
        <v>3037</v>
      </c>
      <c r="G15" s="3183" t="s">
        <v>3003</v>
      </c>
      <c r="H15" s="3183" t="s">
        <v>3036</v>
      </c>
      <c r="I15" s="3183">
        <v>7599</v>
      </c>
      <c r="J15" s="3183">
        <v>7599</v>
      </c>
      <c r="K15" s="3183">
        <v>416.68</v>
      </c>
      <c r="L15" s="3183">
        <v>0</v>
      </c>
      <c r="M15" s="3183" t="s">
        <v>3035</v>
      </c>
      <c r="N15" s="3183" t="s">
        <v>3034</v>
      </c>
    </row>
    <row r="16" spans="1:14" s="3183" customFormat="1">
      <c r="A16" s="3183" t="s">
        <v>3038</v>
      </c>
      <c r="B16" s="3183" t="s">
        <v>3006</v>
      </c>
      <c r="C16" s="3183" t="s">
        <v>3005</v>
      </c>
      <c r="D16" s="3183">
        <v>28661.8</v>
      </c>
      <c r="E16" s="3183">
        <v>51591.24</v>
      </c>
      <c r="F16" s="3183" t="s">
        <v>3037</v>
      </c>
      <c r="G16" s="3183" t="s">
        <v>3003</v>
      </c>
      <c r="H16" s="3183" t="s">
        <v>3036</v>
      </c>
      <c r="I16" s="3183">
        <v>2150</v>
      </c>
      <c r="J16" s="3183">
        <v>2150</v>
      </c>
      <c r="K16" s="3183">
        <v>416.74</v>
      </c>
      <c r="L16" s="3183">
        <v>0</v>
      </c>
      <c r="M16" s="3183" t="s">
        <v>3035</v>
      </c>
      <c r="N16" s="3183" t="s">
        <v>3034</v>
      </c>
    </row>
    <row r="17" spans="1:14">
      <c r="A17" s="3181" t="s">
        <v>3033</v>
      </c>
      <c r="B17" s="3181" t="s">
        <v>3006</v>
      </c>
      <c r="C17" s="3181" t="s">
        <v>3005</v>
      </c>
      <c r="D17" s="3181">
        <v>109585.60000000001</v>
      </c>
      <c r="E17" s="3181">
        <v>175337</v>
      </c>
      <c r="F17" s="3181" t="s">
        <v>3032</v>
      </c>
      <c r="G17" s="3181" t="s">
        <v>3003</v>
      </c>
      <c r="H17" s="3181" t="s">
        <v>3031</v>
      </c>
      <c r="I17" s="3181">
        <v>9206</v>
      </c>
      <c r="J17" s="3181">
        <v>9206</v>
      </c>
      <c r="K17" s="3181">
        <v>525.04</v>
      </c>
      <c r="L17" s="3181">
        <v>0</v>
      </c>
      <c r="M17" s="3181" t="s">
        <v>3030</v>
      </c>
      <c r="N17" s="3181" t="s">
        <v>3000</v>
      </c>
    </row>
    <row r="18" spans="1:14">
      <c r="A18" s="3181" t="s">
        <v>3029</v>
      </c>
      <c r="B18" s="3181" t="s">
        <v>3006</v>
      </c>
      <c r="C18" s="3181" t="s">
        <v>3005</v>
      </c>
      <c r="D18" s="3181">
        <v>60979.87</v>
      </c>
      <c r="E18" s="3181">
        <v>73175.839999999997</v>
      </c>
      <c r="F18" s="3181" t="s">
        <v>3028</v>
      </c>
      <c r="G18" s="3181" t="s">
        <v>3003</v>
      </c>
      <c r="H18" s="3181" t="s">
        <v>3027</v>
      </c>
      <c r="I18" s="3181">
        <v>5660</v>
      </c>
      <c r="J18" s="3181">
        <v>11260</v>
      </c>
      <c r="K18" s="3181">
        <v>1538.75</v>
      </c>
      <c r="L18" s="3181">
        <v>98.94</v>
      </c>
      <c r="M18" s="3181" t="s">
        <v>3026</v>
      </c>
      <c r="N18" s="3181" t="s">
        <v>3000</v>
      </c>
    </row>
    <row r="19" spans="1:14">
      <c r="A19" s="3181" t="s">
        <v>3025</v>
      </c>
      <c r="B19" s="3181" t="s">
        <v>3006</v>
      </c>
      <c r="C19" s="3181" t="s">
        <v>3005</v>
      </c>
      <c r="D19" s="3181">
        <v>14209.45</v>
      </c>
      <c r="E19" s="3181">
        <v>35523.629999999997</v>
      </c>
      <c r="F19" s="3181" t="s">
        <v>3024</v>
      </c>
      <c r="G19" s="3181" t="s">
        <v>3003</v>
      </c>
      <c r="H19" s="3181" t="s">
        <v>3023</v>
      </c>
      <c r="I19" s="3181" t="s">
        <v>2816</v>
      </c>
      <c r="J19" s="3181">
        <v>950</v>
      </c>
      <c r="K19" s="3181">
        <v>267.43</v>
      </c>
      <c r="L19" s="3181" t="s">
        <v>2816</v>
      </c>
      <c r="M19" s="3181" t="s">
        <v>3022</v>
      </c>
      <c r="N19" s="3181" t="s">
        <v>3000</v>
      </c>
    </row>
    <row r="20" spans="1:14">
      <c r="A20" s="3181" t="s">
        <v>3021</v>
      </c>
      <c r="B20" s="3181" t="s">
        <v>3006</v>
      </c>
      <c r="C20" s="3181" t="s">
        <v>3005</v>
      </c>
      <c r="D20" s="3181">
        <v>33520.019999999997</v>
      </c>
      <c r="E20" s="3181">
        <v>100560.1</v>
      </c>
      <c r="F20" s="3181" t="s">
        <v>3010</v>
      </c>
      <c r="G20" s="3181" t="s">
        <v>3003</v>
      </c>
      <c r="H20" s="3181" t="s">
        <v>3020</v>
      </c>
      <c r="I20" s="3181" t="s">
        <v>2816</v>
      </c>
      <c r="J20" s="3181">
        <v>2300</v>
      </c>
      <c r="K20" s="3181">
        <v>228.71</v>
      </c>
      <c r="L20" s="3181" t="s">
        <v>2816</v>
      </c>
      <c r="M20" s="3181" t="s">
        <v>3019</v>
      </c>
      <c r="N20" s="3181" t="s">
        <v>3000</v>
      </c>
    </row>
    <row r="21" spans="1:14">
      <c r="A21" s="3181" t="s">
        <v>3018</v>
      </c>
      <c r="B21" s="3181" t="s">
        <v>3006</v>
      </c>
      <c r="C21" s="3181" t="s">
        <v>3005</v>
      </c>
      <c r="D21" s="3181">
        <v>67979.89</v>
      </c>
      <c r="E21" s="3181">
        <v>54383.91</v>
      </c>
      <c r="F21" s="3181" t="s">
        <v>3017</v>
      </c>
      <c r="G21" s="3181" t="s">
        <v>3003</v>
      </c>
      <c r="H21" s="3181" t="s">
        <v>3016</v>
      </c>
      <c r="I21" s="3181" t="s">
        <v>2816</v>
      </c>
      <c r="J21" s="3181">
        <v>4120</v>
      </c>
      <c r="K21" s="3181">
        <v>757.58</v>
      </c>
      <c r="L21" s="3181" t="s">
        <v>2816</v>
      </c>
      <c r="M21" s="3181" t="s">
        <v>3015</v>
      </c>
      <c r="N21" s="3181" t="s">
        <v>3000</v>
      </c>
    </row>
    <row r="22" spans="1:14">
      <c r="A22" s="3181" t="s">
        <v>3014</v>
      </c>
      <c r="B22" s="3181" t="s">
        <v>3006</v>
      </c>
      <c r="C22" s="3181" t="s">
        <v>3005</v>
      </c>
      <c r="D22" s="3181">
        <v>6191.64</v>
      </c>
      <c r="E22" s="3181">
        <v>9287.4599999999991</v>
      </c>
      <c r="F22" s="3181" t="s">
        <v>3013</v>
      </c>
      <c r="G22" s="3181" t="s">
        <v>3003</v>
      </c>
      <c r="H22" s="3181" t="s">
        <v>3009</v>
      </c>
      <c r="I22" s="3181" t="s">
        <v>2816</v>
      </c>
      <c r="J22" s="3181">
        <v>302</v>
      </c>
      <c r="K22" s="3181">
        <v>325.17</v>
      </c>
      <c r="L22" s="3181" t="s">
        <v>2816</v>
      </c>
      <c r="M22" s="3181" t="s">
        <v>3012</v>
      </c>
      <c r="N22" s="3181" t="s">
        <v>3000</v>
      </c>
    </row>
    <row r="23" spans="1:14">
      <c r="A23" s="3181" t="s">
        <v>3011</v>
      </c>
      <c r="B23" s="3181" t="s">
        <v>3006</v>
      </c>
      <c r="C23" s="3181" t="s">
        <v>3005</v>
      </c>
      <c r="D23" s="3181">
        <v>22911.63</v>
      </c>
      <c r="E23" s="3181">
        <v>68734.89</v>
      </c>
      <c r="F23" s="3181" t="s">
        <v>3010</v>
      </c>
      <c r="G23" s="3181" t="s">
        <v>3003</v>
      </c>
      <c r="H23" s="3181" t="s">
        <v>3009</v>
      </c>
      <c r="I23" s="3181" t="s">
        <v>2816</v>
      </c>
      <c r="J23" s="3181">
        <v>1560</v>
      </c>
      <c r="K23" s="3181">
        <v>226.96</v>
      </c>
      <c r="L23" s="3181" t="s">
        <v>2816</v>
      </c>
      <c r="M23" s="3181" t="s">
        <v>3008</v>
      </c>
      <c r="N23" s="3181" t="s">
        <v>3000</v>
      </c>
    </row>
    <row r="24" spans="1:14">
      <c r="A24" s="3181" t="s">
        <v>3007</v>
      </c>
      <c r="B24" s="3181" t="s">
        <v>3006</v>
      </c>
      <c r="C24" s="3181" t="s">
        <v>3005</v>
      </c>
      <c r="D24" s="3181">
        <v>112217.4</v>
      </c>
      <c r="E24" s="3181">
        <v>224434.8</v>
      </c>
      <c r="F24" s="3181" t="s">
        <v>3004</v>
      </c>
      <c r="G24" s="3181" t="s">
        <v>3003</v>
      </c>
      <c r="H24" s="3181" t="s">
        <v>3002</v>
      </c>
      <c r="I24" s="3181" t="s">
        <v>2816</v>
      </c>
      <c r="J24" s="3181">
        <v>6610</v>
      </c>
      <c r="K24" s="3181">
        <v>294.51</v>
      </c>
      <c r="L24" s="3181" t="s">
        <v>2816</v>
      </c>
      <c r="M24" s="3181" t="s">
        <v>3001</v>
      </c>
      <c r="N24" s="3181" t="s">
        <v>3000</v>
      </c>
    </row>
    <row r="32" spans="1:14" ht="22.5">
      <c r="A32" s="3182" t="s">
        <v>2999</v>
      </c>
    </row>
    <row r="176" spans="1:1" ht="22.5">
      <c r="A176" s="3182" t="s">
        <v>2999</v>
      </c>
    </row>
  </sheetData>
  <phoneticPr fontId="228" type="noConversion"/>
  <pageMargins left="0.75" right="0.75" top="1" bottom="1" header="0.5" footer="0.5"/>
  <pageSetup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14" sqref="J14"/>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3102</v>
      </c>
      <c r="D1" s="3076" t="s">
        <v>3126</v>
      </c>
      <c r="E1" s="2350" t="s">
        <v>2374</v>
      </c>
      <c r="F1" s="2351">
        <f ca="1">J53</f>
        <v>42.62</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260420</v>
      </c>
      <c r="C2" s="2041"/>
      <c r="D2" s="2039"/>
      <c r="E2" s="2040"/>
      <c r="F2" s="2040"/>
      <c r="G2" s="1575"/>
      <c r="H2" s="2041"/>
      <c r="I2" s="2041"/>
      <c r="J2" s="2041"/>
      <c r="K2" s="2042"/>
      <c r="L2" s="2041"/>
      <c r="M2" s="2041"/>
    </row>
    <row r="3" spans="1:33" ht="18" customHeight="1" thickBot="1">
      <c r="A3" s="833" t="s">
        <v>1727</v>
      </c>
      <c r="B3" s="834">
        <f ca="1">IF(ISERROR(B2*10000/F43),0,ROUND(B2*10000/F43,0))</f>
        <v>10486</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12000</v>
      </c>
      <c r="D5" s="2459" t="s">
        <v>2461</v>
      </c>
      <c r="E5" s="2453"/>
      <c r="F5" s="2454"/>
      <c r="G5" s="1577"/>
      <c r="H5" s="781">
        <v>1</v>
      </c>
      <c r="I5" s="782" t="s">
        <v>2458</v>
      </c>
      <c r="J5" s="55">
        <f ca="1">J6+J10+J12</f>
        <v>18000</v>
      </c>
      <c r="K5" s="2459" t="s">
        <v>2461</v>
      </c>
      <c r="L5" s="2453"/>
      <c r="M5" s="2454"/>
    </row>
    <row r="6" spans="1:33" ht="18" customHeight="1">
      <c r="A6" s="1814" t="s">
        <v>1824</v>
      </c>
      <c r="B6" s="3457" t="s">
        <v>2463</v>
      </c>
      <c r="C6" s="783">
        <f ca="1">ROUND(F6*F8*F7*(1-F9)/10000,0)</f>
        <v>12000</v>
      </c>
      <c r="D6" s="2460" t="s">
        <v>2462</v>
      </c>
      <c r="E6" s="784" t="s">
        <v>1738</v>
      </c>
      <c r="F6" s="785">
        <f ca="1">INDIRECT("'数据-取费表'!u"&amp;$G$1)</f>
        <v>120000000</v>
      </c>
      <c r="G6" s="1577"/>
      <c r="H6" s="2467" t="s">
        <v>2468</v>
      </c>
      <c r="I6" s="3457" t="s">
        <v>2463</v>
      </c>
      <c r="J6" s="783">
        <f ca="1">ROUND(M6*M8*M7*(1-M9)/10000,0)</f>
        <v>18000</v>
      </c>
      <c r="K6" s="341" t="s">
        <v>1737</v>
      </c>
      <c r="L6" s="784" t="s">
        <v>1738</v>
      </c>
      <c r="M6" s="785">
        <f ca="1">INDIRECT("'数据-取费表'!z"&amp;$G$1)</f>
        <v>180000000</v>
      </c>
    </row>
    <row r="7" spans="1:33" ht="18" customHeight="1">
      <c r="A7" s="2463"/>
      <c r="B7" s="3458"/>
      <c r="C7" s="788"/>
      <c r="D7" s="789"/>
      <c r="E7" s="784" t="s">
        <v>1739</v>
      </c>
      <c r="F7" s="785">
        <f ca="1">IF(INDIRECT("'数据-取费表'!ah"&amp;$G$1)="",INDIRECT("'数据-取费表'!k"&amp;$G$1),INDIRECT("'数据-取费表'!ah"&amp;$G$1))</f>
        <v>1</v>
      </c>
      <c r="G7" s="1577"/>
      <c r="H7" s="2452"/>
      <c r="I7" s="3458"/>
      <c r="J7" s="788"/>
      <c r="K7" s="789"/>
      <c r="L7" s="784" t="s">
        <v>1739</v>
      </c>
      <c r="M7" s="785">
        <f ca="1">F7</f>
        <v>1</v>
      </c>
    </row>
    <row r="8" spans="1:33" ht="18" customHeight="1">
      <c r="A8" s="2456"/>
      <c r="B8" s="3459"/>
      <c r="C8" s="788"/>
      <c r="D8" s="789"/>
      <c r="E8" s="784" t="s">
        <v>1740</v>
      </c>
      <c r="F8" s="785">
        <f ca="1">INDIRECT("'数据-取费表'!ai"&amp;$G$1)</f>
        <v>1</v>
      </c>
      <c r="G8" s="1577"/>
      <c r="H8" s="2452"/>
      <c r="I8" s="3459"/>
      <c r="J8" s="788"/>
      <c r="K8" s="789"/>
      <c r="L8" s="784" t="s">
        <v>1740</v>
      </c>
      <c r="M8" s="785">
        <f ca="1">INDIRECT("'数据-取费表'!ai"&amp;$G$1)</f>
        <v>1</v>
      </c>
    </row>
    <row r="9" spans="1:33" ht="18" customHeight="1">
      <c r="A9" s="786"/>
      <c r="B9" s="3460"/>
      <c r="C9" s="788"/>
      <c r="D9" s="789"/>
      <c r="E9" s="784" t="s">
        <v>1741</v>
      </c>
      <c r="F9" s="794">
        <f ca="1">INDIRECT("'数据-取费表'!w"&amp;$G$1)</f>
        <v>0</v>
      </c>
      <c r="G9" s="1577"/>
      <c r="H9" s="2468"/>
      <c r="I9" s="3459"/>
      <c r="J9" s="788"/>
      <c r="K9" s="789"/>
      <c r="L9" s="795" t="s">
        <v>1741</v>
      </c>
      <c r="M9" s="796">
        <f ca="1">INDIRECT("'数据-取费表'!ab"&amp;$G$1)</f>
        <v>0</v>
      </c>
    </row>
    <row r="10" spans="1:33" ht="18" customHeight="1">
      <c r="A10" s="1814" t="s">
        <v>2466</v>
      </c>
      <c r="B10" s="2457" t="s">
        <v>2459</v>
      </c>
      <c r="C10" s="799">
        <f ca="1">ROUND(IF(F10="押一",C6/12*F11,IF(F10="押二",C6/12*2*F11,IF(F10="押三",C6/12*3*F11,C11*F11))),0)</f>
        <v>0</v>
      </c>
      <c r="D10" s="2464" t="s">
        <v>2973</v>
      </c>
      <c r="E10" s="2461" t="s">
        <v>2464</v>
      </c>
      <c r="F10" s="2584"/>
      <c r="G10" s="1577"/>
      <c r="H10" s="2524" t="s">
        <v>2469</v>
      </c>
      <c r="I10" s="2529" t="s">
        <v>2459</v>
      </c>
      <c r="J10" s="783">
        <f ca="1">ROUND(IF(M10="押一",J6/12*M11,IF(M10="押二",J6/12*2*M11,IF(M10="押三",J6/12*3*M11,J11*M11))),0)</f>
        <v>0</v>
      </c>
      <c r="K10" s="2464" t="s">
        <v>2973</v>
      </c>
      <c r="L10" s="2461" t="s">
        <v>2464</v>
      </c>
      <c r="M10" s="2584"/>
    </row>
    <row r="11" spans="1:33" ht="18" customHeight="1">
      <c r="A11" s="790"/>
      <c r="B11" s="2458" t="s">
        <v>2571</v>
      </c>
      <c r="C11" s="2462"/>
      <c r="D11" s="789"/>
      <c r="E11" s="2461" t="s">
        <v>2465</v>
      </c>
      <c r="F11" s="796">
        <f ca="1">'数据-取费表'!B39</f>
        <v>1.4999999999999999E-2</v>
      </c>
      <c r="G11" s="1577"/>
      <c r="H11" s="2525"/>
      <c r="I11" s="2458" t="s">
        <v>2571</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2">
        <f ca="1">ROUND(C29*F13,0)</f>
        <v>87903</v>
      </c>
      <c r="D13" s="1818" t="s">
        <v>2297</v>
      </c>
      <c r="E13" s="1818" t="s">
        <v>1744</v>
      </c>
      <c r="F13" s="2499">
        <f ca="1">INDIRECT("'数据-取费表'!y"&amp;$G$1)</f>
        <v>1</v>
      </c>
      <c r="G13" s="1577"/>
      <c r="H13" s="1813">
        <v>2</v>
      </c>
      <c r="I13" s="1811" t="s">
        <v>1742</v>
      </c>
      <c r="J13" s="3200">
        <f ca="1">ROUND(J14*J15,0)</f>
        <v>86145</v>
      </c>
      <c r="K13" s="1805" t="s">
        <v>1743</v>
      </c>
      <c r="L13" s="2515"/>
      <c r="M13" s="2516"/>
    </row>
    <row r="14" spans="1:33" ht="18" customHeight="1">
      <c r="A14" s="1632" t="s">
        <v>1884</v>
      </c>
      <c r="B14" s="784" t="s">
        <v>645</v>
      </c>
      <c r="C14" s="3192">
        <f>95500.32*'数据-取费表'!L6/10000</f>
        <v>53480.179200000006</v>
      </c>
      <c r="D14" s="1963" t="s">
        <v>1745</v>
      </c>
      <c r="E14" s="1964"/>
      <c r="F14" s="805"/>
      <c r="G14" s="1577"/>
      <c r="H14" s="1633" t="s">
        <v>1830</v>
      </c>
      <c r="I14" s="2215" t="s">
        <v>2824</v>
      </c>
      <c r="J14" s="3199">
        <f ca="1">C29</f>
        <v>87903</v>
      </c>
      <c r="K14" s="26"/>
      <c r="L14" s="801"/>
      <c r="M14" s="802"/>
    </row>
    <row r="15" spans="1:33" s="2048" customFormat="1" ht="18" customHeight="1" thickBot="1">
      <c r="A15" s="1632" t="s">
        <v>1885</v>
      </c>
      <c r="B15" s="784" t="s">
        <v>647</v>
      </c>
      <c r="C15" s="53">
        <f>ROUND(C14*F15,0)</f>
        <v>1604</v>
      </c>
      <c r="D15" s="806" t="s">
        <v>1746</v>
      </c>
      <c r="E15" s="806" t="s">
        <v>1747</v>
      </c>
      <c r="F15" s="807">
        <f>'数据-取费表'!B33</f>
        <v>0.03</v>
      </c>
      <c r="G15" s="1578"/>
      <c r="H15" s="2514" t="s">
        <v>1889</v>
      </c>
      <c r="I15" s="2509" t="s">
        <v>1744</v>
      </c>
      <c r="J15" s="2518">
        <f ca="1">INDIRECT("'数据-取费表'!ad"&amp;$G$1)</f>
        <v>0.98</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3575</v>
      </c>
      <c r="K16" s="1805" t="s">
        <v>1750</v>
      </c>
      <c r="L16" s="2449"/>
      <c r="M16" s="2454"/>
    </row>
    <row r="17" spans="1:33" s="2048" customFormat="1" ht="18" customHeight="1">
      <c r="A17" s="1632" t="s">
        <v>1887</v>
      </c>
      <c r="B17" s="784" t="s">
        <v>653</v>
      </c>
      <c r="C17" s="3199">
        <f>ROUND(F17*95500.32/10000,0)</f>
        <v>1910</v>
      </c>
      <c r="D17" s="784" t="s">
        <v>1751</v>
      </c>
      <c r="E17" s="784" t="s">
        <v>1752</v>
      </c>
      <c r="F17" s="56">
        <f>'数据-取费表'!B35</f>
        <v>200</v>
      </c>
      <c r="G17" s="1578"/>
      <c r="H17" s="1633" t="s">
        <v>1830</v>
      </c>
      <c r="I17" s="784" t="s">
        <v>656</v>
      </c>
      <c r="J17" s="53">
        <f ca="1">ROUND(IF(项目基本情况!B11="自然人",J6*M17/(1+'数据-取费表'!C42),J18+J19+J20),0)</f>
        <v>1814</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ROUND(C14*F18,0)</f>
        <v>802</v>
      </c>
      <c r="D18" s="784" t="s">
        <v>1746</v>
      </c>
      <c r="E18" s="784" t="s">
        <v>1747</v>
      </c>
      <c r="F18" s="809">
        <f>'数据-取费表'!B36</f>
        <v>1.4999999999999999E-2</v>
      </c>
      <c r="G18" s="1578"/>
      <c r="H18" s="1632" t="s">
        <v>1884</v>
      </c>
      <c r="I18" s="784" t="s">
        <v>1755</v>
      </c>
      <c r="J18" s="53">
        <f ca="1">ROUND(J6*M18/(1+'数据-取费表'!C42),1)</f>
        <v>942.9</v>
      </c>
      <c r="K18" s="2447" t="s">
        <v>1756</v>
      </c>
      <c r="L18" s="784" t="s">
        <v>1747</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57796.179200000006</v>
      </c>
      <c r="D19" s="261" t="s">
        <v>1757</v>
      </c>
      <c r="E19" s="1966"/>
      <c r="F19" s="56"/>
      <c r="G19" s="1577"/>
      <c r="H19" s="1632" t="s">
        <v>1885</v>
      </c>
      <c r="I19" s="784" t="s">
        <v>1758</v>
      </c>
      <c r="J19" s="53">
        <f ca="1">IF(K19="按租金收入计税",ROUND(J6*M19/(1+'数据-取费表'!C42),1),ROUND(C29*F33*0.7,1))</f>
        <v>738.4</v>
      </c>
      <c r="K19" s="811" t="s">
        <v>665</v>
      </c>
      <c r="L19" s="784" t="s">
        <v>1747</v>
      </c>
      <c r="M19" s="809">
        <f>IF(K19="按租金收入计税",'数据-取费表'!B51,'数据-取费表'!B50)</f>
        <v>1.2E-2</v>
      </c>
    </row>
    <row r="20" spans="1:33" s="2048" customFormat="1" ht="18" customHeight="1">
      <c r="A20" s="1633" t="s">
        <v>1889</v>
      </c>
      <c r="B20" s="784" t="s">
        <v>666</v>
      </c>
      <c r="C20" s="53">
        <f ca="1">ROUND(C19*F20,0)</f>
        <v>1156</v>
      </c>
      <c r="D20" s="812" t="s">
        <v>1759</v>
      </c>
      <c r="E20" s="784" t="s">
        <v>1747</v>
      </c>
      <c r="F20" s="809">
        <f>'数据-取费表'!B37</f>
        <v>0.02</v>
      </c>
      <c r="G20" s="1578"/>
      <c r="H20" s="1635" t="s">
        <v>1880</v>
      </c>
      <c r="I20" s="341" t="s">
        <v>1760</v>
      </c>
      <c r="J20" s="54">
        <f ca="1">ROUND(M20*M21/10000,0)</f>
        <v>133</v>
      </c>
      <c r="K20" s="814" t="s">
        <v>1761</v>
      </c>
      <c r="L20" s="784" t="s">
        <v>1762</v>
      </c>
      <c r="M20" s="640">
        <f>'数据-取费表'!B52</f>
        <v>12</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0.02</v>
      </c>
      <c r="G21" s="1578"/>
      <c r="H21" s="2469"/>
      <c r="I21" s="793"/>
      <c r="J21" s="69"/>
      <c r="K21" s="816"/>
      <c r="L21" s="784" t="s">
        <v>1766</v>
      </c>
      <c r="M21" s="785">
        <f ca="1">INDIRECT("'数据-取费表'!r"&amp;$G$1)</f>
        <v>111025.1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1319</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4250</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172</v>
      </c>
      <c r="K23" s="2447" t="s">
        <v>1771</v>
      </c>
      <c r="L23" s="784" t="s">
        <v>1747</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270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2820</v>
      </c>
      <c r="J25" s="792">
        <f ca="1">J5-J16</f>
        <v>14425</v>
      </c>
      <c r="K25" s="2511" t="s">
        <v>1777</v>
      </c>
      <c r="L25" s="2512"/>
      <c r="M25" s="2513"/>
    </row>
    <row r="26" spans="1:33" ht="18" customHeight="1">
      <c r="A26" s="1632" t="s">
        <v>1831</v>
      </c>
      <c r="B26" s="784" t="s">
        <v>2438</v>
      </c>
      <c r="C26" s="53">
        <f ca="1">ROUND((C19+C20)*F26,0)</f>
        <v>17686</v>
      </c>
      <c r="D26" s="812" t="s">
        <v>1778</v>
      </c>
      <c r="E26" s="795" t="s">
        <v>1779</v>
      </c>
      <c r="F26" s="794">
        <f ca="1">INDIRECT("'数据-取费表'!q"&amp;$G$1)</f>
        <v>0.3</v>
      </c>
      <c r="G26" s="1577"/>
      <c r="H26" s="2465" t="s">
        <v>1780</v>
      </c>
      <c r="I26" s="2216" t="s">
        <v>2825</v>
      </c>
      <c r="J26" s="783">
        <f ca="1">IF(J5&lt;&gt;0,ROUND(J25*(1-((1+M28)/(1+M26))^M27)/(M26-M28),0),0)</f>
        <v>282070</v>
      </c>
      <c r="K26" s="814" t="s">
        <v>1781</v>
      </c>
      <c r="L26" s="784" t="s">
        <v>2419</v>
      </c>
      <c r="M26" s="794">
        <f ca="1">INDIRECT("'数据-取费表'!I"&amp;$G$1)</f>
        <v>0.06</v>
      </c>
    </row>
    <row r="27" spans="1:33" ht="18" customHeight="1">
      <c r="A27" s="1632" t="s">
        <v>1832</v>
      </c>
      <c r="B27" s="784" t="s">
        <v>686</v>
      </c>
      <c r="C27" s="53">
        <f ca="1">ROUND(F21*F26,4)</f>
        <v>6.0000000000000001E-3</v>
      </c>
      <c r="D27" s="812" t="s">
        <v>1782</v>
      </c>
      <c r="E27" s="806"/>
      <c r="F27" s="807"/>
      <c r="G27" s="1577"/>
      <c r="H27" s="2466"/>
      <c r="I27" s="787"/>
      <c r="J27" s="788"/>
      <c r="K27" s="821" t="s">
        <v>1783</v>
      </c>
      <c r="L27" s="784" t="s">
        <v>1784</v>
      </c>
      <c r="M27" s="822">
        <f ca="1">INDIRECT("'数据-取费表'!ag"&amp;$G$1)</f>
        <v>39.619999999999997</v>
      </c>
    </row>
    <row r="28" spans="1:33" s="2048" customFormat="1" ht="18" customHeight="1">
      <c r="A28" s="1634" t="s">
        <v>1841</v>
      </c>
      <c r="B28" s="784" t="s">
        <v>687</v>
      </c>
      <c r="C28" s="53">
        <f>ROUND(F28/(1+'数据-取费表'!C42),4)</f>
        <v>5.2400000000000002E-2</v>
      </c>
      <c r="D28" s="812" t="s">
        <v>2299</v>
      </c>
      <c r="E28" s="784" t="s">
        <v>1785</v>
      </c>
      <c r="F28" s="809">
        <f>'数据-取费表'!B41</f>
        <v>5.5000000000000007E-2</v>
      </c>
      <c r="G28" s="1578"/>
      <c r="H28" s="1813"/>
      <c r="I28" s="791"/>
      <c r="J28" s="792"/>
      <c r="K28" s="816"/>
      <c r="L28" s="784" t="s">
        <v>1786</v>
      </c>
      <c r="M28" s="794">
        <f ca="1">INDIRECT("'数据-取费表'!aa"&amp;$G$1)</f>
        <v>0.02</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87903</v>
      </c>
      <c r="D29" s="2508"/>
      <c r="E29" s="2509"/>
      <c r="F29" s="2510"/>
      <c r="G29" s="1578"/>
      <c r="H29" s="823" t="s">
        <v>1787</v>
      </c>
      <c r="I29" s="824" t="s">
        <v>1788</v>
      </c>
      <c r="J29" s="825">
        <f ca="1">ROUND(J26/(1+F40)^F41,0)</f>
        <v>236831</v>
      </c>
      <c r="K29" s="826" t="s">
        <v>1789</v>
      </c>
      <c r="L29" s="827"/>
      <c r="M29" s="828">
        <f ca="1">INDIRECT("'数据-取费表'!k"&amp;$G$1)</f>
        <v>248359.16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3175</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1500.2</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628.6</v>
      </c>
      <c r="D32" s="1961" t="s">
        <v>1795</v>
      </c>
      <c r="E32" s="784" t="s">
        <v>1796</v>
      </c>
      <c r="F32" s="809">
        <f>'数据-取费表'!B41</f>
        <v>5.5000000000000007E-2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738.4</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5" t="s">
        <v>1833</v>
      </c>
      <c r="B34" s="341" t="s">
        <v>1798</v>
      </c>
      <c r="C34" s="54">
        <f ca="1">ROUND(F34*F35/10000,1)</f>
        <v>133.19999999999999</v>
      </c>
      <c r="D34" s="814" t="s">
        <v>1799</v>
      </c>
      <c r="E34" s="784" t="s">
        <v>1800</v>
      </c>
      <c r="F34" s="640">
        <f>'数据-取费表'!B52</f>
        <v>12</v>
      </c>
      <c r="G34" s="2046"/>
      <c r="H34" s="2049"/>
      <c r="I34" s="835" t="s">
        <v>1813</v>
      </c>
      <c r="J34" s="836"/>
      <c r="K34" s="2064"/>
      <c r="L34" s="2063"/>
      <c r="M34" s="2063"/>
    </row>
    <row r="35" spans="1:18" ht="18" customHeight="1">
      <c r="A35" s="815"/>
      <c r="B35" s="793"/>
      <c r="C35" s="69"/>
      <c r="D35" s="816"/>
      <c r="E35" s="784" t="s">
        <v>1801</v>
      </c>
      <c r="F35" s="785">
        <f ca="1">INDIRECT("'数据-取费表'!r"&amp;$G$1)</f>
        <v>111025.1</v>
      </c>
      <c r="G35" s="2046"/>
      <c r="H35" s="2049"/>
      <c r="I35" s="837" t="s">
        <v>1814</v>
      </c>
      <c r="J35" s="838">
        <f ca="1">ROUND(C13*J36,0)</f>
        <v>7032</v>
      </c>
      <c r="K35" s="2062"/>
      <c r="L35" s="2061"/>
      <c r="M35" s="2061"/>
    </row>
    <row r="36" spans="1:18" ht="18" customHeight="1">
      <c r="A36" s="1633" t="s">
        <v>1889</v>
      </c>
      <c r="B36" s="784" t="s">
        <v>1802</v>
      </c>
      <c r="C36" s="53">
        <f ca="1">ROUND(C29*F36,1)</f>
        <v>1318.5</v>
      </c>
      <c r="D36" s="1961" t="s">
        <v>1803</v>
      </c>
      <c r="E36" s="784" t="s">
        <v>1796</v>
      </c>
      <c r="F36" s="817">
        <f ca="1">INDIRECT("'数据-取费表'!Ak"&amp;$G$1)</f>
        <v>1.4999999999999999E-2</v>
      </c>
      <c r="G36" s="2046"/>
      <c r="H36" s="2061"/>
      <c r="I36" s="839" t="s">
        <v>1815</v>
      </c>
      <c r="J36" s="840">
        <f ca="1">INDIRECT("'数据-取费表'!j"&amp;$G$1)</f>
        <v>0.08</v>
      </c>
      <c r="K36" s="2066"/>
      <c r="L36" s="2061"/>
      <c r="M36" s="2061"/>
    </row>
    <row r="37" spans="1:18" ht="18" customHeight="1">
      <c r="A37" s="1633" t="s">
        <v>1890</v>
      </c>
      <c r="B37" s="784" t="s">
        <v>679</v>
      </c>
      <c r="C37" s="53">
        <f ca="1">ROUND(C13*F37,1)</f>
        <v>175.8</v>
      </c>
      <c r="D37" s="1961" t="s">
        <v>1804</v>
      </c>
      <c r="E37" s="784" t="s">
        <v>1796</v>
      </c>
      <c r="F37" s="818">
        <f ca="1">INDIRECT("'数据-取费表'!Al"&amp;$G$1)</f>
        <v>2E-3</v>
      </c>
      <c r="G37" s="2046"/>
      <c r="H37" s="2061"/>
      <c r="I37" s="841" t="s">
        <v>1816</v>
      </c>
      <c r="J37" s="842"/>
      <c r="K37" s="2066"/>
      <c r="L37" s="2061"/>
      <c r="M37" s="2061"/>
    </row>
    <row r="38" spans="1:18" ht="18" customHeight="1" thickBot="1">
      <c r="A38" s="2514" t="s">
        <v>1891</v>
      </c>
      <c r="B38" s="2509" t="s">
        <v>666</v>
      </c>
      <c r="C38" s="2507">
        <f ca="1">ROUND(C5*F38,1)</f>
        <v>180</v>
      </c>
      <c r="D38" s="2508" t="s">
        <v>1805</v>
      </c>
      <c r="E38" s="2509" t="s">
        <v>1796</v>
      </c>
      <c r="F38" s="2505">
        <f ca="1">INDIRECT("'数据-取费表'!Am"&amp;$G$1)</f>
        <v>1.4999999999999999E-2</v>
      </c>
      <c r="G38" s="2046"/>
      <c r="H38" s="2061"/>
      <c r="I38" s="843" t="s">
        <v>1817</v>
      </c>
      <c r="J38" s="844"/>
      <c r="K38" s="2067"/>
      <c r="L38" s="2061"/>
      <c r="M38" s="2061"/>
    </row>
    <row r="39" spans="1:18" ht="24.6" customHeight="1" thickTop="1">
      <c r="A39" s="1813" t="s">
        <v>1894</v>
      </c>
      <c r="B39" s="2961" t="s">
        <v>2820</v>
      </c>
      <c r="C39" s="792">
        <f ca="1">C5-C30</f>
        <v>8825</v>
      </c>
      <c r="D39" s="2511" t="s">
        <v>1806</v>
      </c>
      <c r="E39" s="2512"/>
      <c r="F39" s="2513"/>
      <c r="G39" s="2046"/>
      <c r="H39" s="2061"/>
      <c r="I39" s="837" t="s">
        <v>1818</v>
      </c>
      <c r="J39" s="845">
        <f ca="1">ROUND(J35/C39,3)</f>
        <v>0.79700000000000004</v>
      </c>
      <c r="K39" s="2067"/>
      <c r="L39" s="2061"/>
      <c r="M39" s="2061"/>
    </row>
    <row r="40" spans="1:18" ht="18" customHeight="1">
      <c r="A40" s="781" t="s">
        <v>1895</v>
      </c>
      <c r="B40" s="2216" t="s">
        <v>2301</v>
      </c>
      <c r="C40" s="783">
        <f ca="1">ROUND(C39*(1-((1+F42)/(1+F40))^F41)/(F40-F42),0)</f>
        <v>23589</v>
      </c>
      <c r="D40" s="814" t="s">
        <v>1807</v>
      </c>
      <c r="E40" s="784" t="s">
        <v>2419</v>
      </c>
      <c r="F40" s="794">
        <f ca="1">INDIRECT("'数据-取费表'!I"&amp;$G$1)</f>
        <v>0.06</v>
      </c>
      <c r="G40" s="2046"/>
      <c r="H40" s="2046"/>
      <c r="I40" s="837" t="s">
        <v>1819</v>
      </c>
      <c r="J40" s="845">
        <f ca="1">1-J39</f>
        <v>0.20299999999999996</v>
      </c>
      <c r="K40" s="2067"/>
      <c r="L40" s="2046"/>
      <c r="M40" s="2046"/>
    </row>
    <row r="41" spans="1:18" ht="18" customHeight="1">
      <c r="A41" s="786"/>
      <c r="B41" s="787"/>
      <c r="C41" s="788"/>
      <c r="D41" s="821" t="s">
        <v>1808</v>
      </c>
      <c r="E41" s="784" t="s">
        <v>2963</v>
      </c>
      <c r="F41" s="822">
        <f ca="1">IF(INDIRECT("'数据-取费表'!af"&amp;$G$1)=0,INDIRECT("'数据-取费表'!ae"&amp;$G$1),INDIRECT("'数据-取费表'!af"&amp;$G$1))</f>
        <v>3</v>
      </c>
      <c r="G41" s="2046"/>
      <c r="H41" s="1972"/>
      <c r="I41" s="843" t="s">
        <v>1820</v>
      </c>
      <c r="J41" s="846"/>
      <c r="K41" s="2066"/>
      <c r="L41" s="1972"/>
      <c r="M41" s="1972"/>
    </row>
    <row r="42" spans="1:18" ht="18" customHeight="1">
      <c r="A42" s="790"/>
      <c r="B42" s="791"/>
      <c r="C42" s="792"/>
      <c r="D42" s="816"/>
      <c r="E42" s="784" t="s">
        <v>1809</v>
      </c>
      <c r="F42" s="794">
        <f ca="1">INDIRECT("'数据-取费表'!v"&amp;$G$1)</f>
        <v>0</v>
      </c>
      <c r="G42" s="2046"/>
      <c r="H42" s="1972"/>
      <c r="I42" s="847" t="s">
        <v>1821</v>
      </c>
      <c r="J42" s="845">
        <f ca="1">ROUND(C13/C40,3)</f>
        <v>3.726</v>
      </c>
      <c r="K42" s="2066"/>
      <c r="L42" s="1972"/>
      <c r="M42" s="1972"/>
    </row>
    <row r="43" spans="1:18" ht="18" customHeight="1" thickBot="1">
      <c r="A43" s="823" t="s">
        <v>1787</v>
      </c>
      <c r="B43" s="824" t="s">
        <v>1810</v>
      </c>
      <c r="C43" s="825">
        <f ca="1">ROUND(C40*10000/F43,0)</f>
        <v>950</v>
      </c>
      <c r="D43" s="826" t="s">
        <v>1811</v>
      </c>
      <c r="E43" s="827" t="s">
        <v>1812</v>
      </c>
      <c r="F43" s="828">
        <f ca="1">INDIRECT("'数据-取费表'!k"&amp;$G$1)</f>
        <v>248359.16</v>
      </c>
      <c r="G43" s="2046"/>
      <c r="H43" s="1972"/>
      <c r="I43" s="847" t="s">
        <v>1822</v>
      </c>
      <c r="J43" s="848">
        <f ca="1">1-J42</f>
        <v>-2.726</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-29913</v>
      </c>
      <c r="D46" s="2069"/>
      <c r="E46" s="2069"/>
      <c r="F46" s="2069"/>
      <c r="I46" s="2341" t="s">
        <v>2343</v>
      </c>
      <c r="J46" s="2342"/>
      <c r="K46" s="2343"/>
      <c r="L46" s="3107">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8" t="s">
        <v>2344</v>
      </c>
      <c r="J47" s="2344" t="s">
        <v>3104</v>
      </c>
      <c r="K47" s="3104" t="s">
        <v>2349</v>
      </c>
      <c r="L47" s="3108">
        <f ca="1">INDIRECT("'数据-取费表'!d"&amp;$G$1)</f>
        <v>50</v>
      </c>
      <c r="M47" s="1588" t="str">
        <f>IF(ISNUMBER(FIND("住宅",C1)),"住宅","非住宅")</f>
        <v>非住宅</v>
      </c>
      <c r="O47" s="2358" t="s">
        <v>2375</v>
      </c>
      <c r="P47" s="2359" t="s">
        <v>2376</v>
      </c>
      <c r="Q47" s="2360" t="s">
        <v>2377</v>
      </c>
      <c r="R47" s="2359" t="s">
        <v>2378</v>
      </c>
    </row>
    <row r="48" spans="1:18" s="2043" customFormat="1" ht="18" customHeight="1" thickBot="1">
      <c r="A48" s="2605" t="s">
        <v>2535</v>
      </c>
      <c r="B48" s="2606" t="s">
        <v>2536</v>
      </c>
      <c r="C48" s="2337">
        <f ca="1">ROUND(F48*F50*F49*(1-F51)/10000,0)</f>
        <v>0</v>
      </c>
      <c r="D48" s="2338" t="s">
        <v>636</v>
      </c>
      <c r="E48" s="2339" t="s">
        <v>2296</v>
      </c>
      <c r="F48" s="2340"/>
      <c r="G48" s="2074"/>
      <c r="I48" s="3077" t="s">
        <v>2345</v>
      </c>
      <c r="J48" s="2345" t="s">
        <v>2350</v>
      </c>
      <c r="K48" s="3105" t="s">
        <v>2351</v>
      </c>
      <c r="L48" s="1892">
        <f ca="1">INDIRECT("'数据-取费表'!f"&amp;$G$1)</f>
        <v>45.62</v>
      </c>
      <c r="O48" s="2361" t="s">
        <v>2379</v>
      </c>
      <c r="P48" s="2362" t="s">
        <v>2405</v>
      </c>
      <c r="Q48" s="2363">
        <f ca="1">C40+J29</f>
        <v>260420</v>
      </c>
      <c r="R48" s="2362" t="s">
        <v>2380</v>
      </c>
    </row>
    <row r="49" spans="1:18" s="2043" customFormat="1" ht="18" customHeight="1" thickBot="1">
      <c r="A49" s="786"/>
      <c r="B49" s="787"/>
      <c r="C49" s="788"/>
      <c r="D49" s="789"/>
      <c r="E49" s="784" t="s">
        <v>1739</v>
      </c>
      <c r="F49" s="785">
        <f ca="1">F7</f>
        <v>1</v>
      </c>
      <c r="G49" s="2074"/>
      <c r="H49" s="2077"/>
      <c r="I49" s="3077" t="s">
        <v>2346</v>
      </c>
      <c r="J49" s="2346">
        <v>2022</v>
      </c>
      <c r="K49" s="3106" t="s">
        <v>2352</v>
      </c>
      <c r="L49" s="2347"/>
      <c r="O49" s="2361" t="s">
        <v>2381</v>
      </c>
      <c r="P49" s="2362" t="s">
        <v>2406</v>
      </c>
      <c r="Q49" s="2363">
        <f ca="1">J60</f>
        <v>1087</v>
      </c>
      <c r="R49" s="2362" t="s">
        <v>2382</v>
      </c>
    </row>
    <row r="50" spans="1:18" s="2043" customFormat="1" ht="18" customHeight="1" thickBot="1">
      <c r="A50" s="786"/>
      <c r="B50" s="787"/>
      <c r="C50" s="788"/>
      <c r="D50" s="789"/>
      <c r="E50" s="784" t="s">
        <v>1740</v>
      </c>
      <c r="F50" s="785">
        <f ca="1">F8</f>
        <v>1</v>
      </c>
      <c r="G50" s="2079"/>
      <c r="H50" s="2077"/>
      <c r="I50" s="3077" t="s">
        <v>2347</v>
      </c>
      <c r="J50" s="3102">
        <f>SUMPRODUCT((I63:I65=J47)*(J62:L62=J48)*(J63:L65))</f>
        <v>60</v>
      </c>
      <c r="K50" s="3106" t="s">
        <v>2353</v>
      </c>
      <c r="L50" s="2347"/>
      <c r="O50" s="2364" t="s">
        <v>2383</v>
      </c>
      <c r="P50" s="2362" t="s">
        <v>2407</v>
      </c>
      <c r="Q50" s="2363">
        <f ca="1">C29</f>
        <v>87903</v>
      </c>
      <c r="R50" s="2362" t="s">
        <v>2380</v>
      </c>
    </row>
    <row r="51" spans="1:18" s="2043" customFormat="1" ht="18" customHeight="1" thickBot="1">
      <c r="A51" s="786"/>
      <c r="B51" s="787"/>
      <c r="C51" s="788"/>
      <c r="D51" s="789"/>
      <c r="E51" s="784" t="s">
        <v>640</v>
      </c>
      <c r="F51" s="2334"/>
      <c r="H51" s="2077"/>
      <c r="I51" s="3099" t="s">
        <v>2348</v>
      </c>
      <c r="J51" s="3103">
        <f>IF(J49="",J50,J49+J50-YEAR('数据-取费表'!B2))</f>
        <v>63</v>
      </c>
      <c r="K51" s="3077" t="s">
        <v>2354</v>
      </c>
      <c r="L51" s="3109">
        <f ca="1">ROUND(-PV(INDIRECT("'数据-取费表'!h"&amp;$G$1),L48,(C39-C13*J36),0),0)</f>
        <v>29762</v>
      </c>
      <c r="O51" s="2364" t="s">
        <v>2384</v>
      </c>
      <c r="P51" s="2362" t="s">
        <v>2385</v>
      </c>
      <c r="Q51" s="2365">
        <f ca="1">J58</f>
        <v>0.4</v>
      </c>
      <c r="R51" s="2366"/>
    </row>
    <row r="52" spans="1:18" s="2043" customFormat="1" ht="18" customHeight="1" thickBot="1">
      <c r="A52" s="781" t="s">
        <v>2534</v>
      </c>
      <c r="B52" s="2457" t="s">
        <v>2459</v>
      </c>
      <c r="C52" s="799">
        <f ca="1">ROUND(IF(F52="押一",C48/12*F11,IF(F52="押二",C48/12*2*F11,IF(F52="押三",C48/12*3*F11,C53*F11))),0)</f>
        <v>0</v>
      </c>
      <c r="D52" s="2464" t="s">
        <v>2974</v>
      </c>
      <c r="E52" s="2461" t="s">
        <v>2464</v>
      </c>
      <c r="F52" s="2584"/>
      <c r="I52" s="3100" t="s">
        <v>2421</v>
      </c>
      <c r="J52" s="2348">
        <v>8.5000000000000006E-2</v>
      </c>
      <c r="K52" s="3100" t="s">
        <v>2420</v>
      </c>
      <c r="L52" s="2348"/>
      <c r="O52" s="2364" t="s">
        <v>2386</v>
      </c>
      <c r="P52" s="2362" t="s">
        <v>2387</v>
      </c>
      <c r="Q52" s="2365">
        <f>J52</f>
        <v>8.5000000000000006E-2</v>
      </c>
      <c r="R52" s="2366"/>
    </row>
    <row r="53" spans="1:18" s="2043" customFormat="1" ht="39.75" customHeight="1" thickBot="1">
      <c r="A53" s="786"/>
      <c r="B53" s="2458" t="s">
        <v>2571</v>
      </c>
      <c r="C53" s="2462"/>
      <c r="D53" s="2464"/>
      <c r="E53" s="2461"/>
      <c r="F53" s="800"/>
      <c r="I53" s="3101" t="s">
        <v>2977</v>
      </c>
      <c r="J53" s="3180">
        <f ca="1">IF(M47="住宅",IF(D1="——",MAX(J51,L48),MAX(J51,L48-'数据-取费表'!B20)),IF(D1="——",MIN(J51,L48),MIN(J51,L48-'数据-取费表'!B20)))</f>
        <v>42.62</v>
      </c>
      <c r="K53" s="3463" t="s">
        <v>2965</v>
      </c>
      <c r="L53" s="3464"/>
      <c r="O53" s="2364" t="s">
        <v>2388</v>
      </c>
      <c r="P53" s="2362" t="s">
        <v>2389</v>
      </c>
      <c r="Q53" s="2363">
        <f ca="1">J53</f>
        <v>42.62</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261507</v>
      </c>
      <c r="R54" s="2366" t="s">
        <v>2392</v>
      </c>
    </row>
    <row r="55" spans="1:18" s="2043" customFormat="1" ht="18" customHeight="1" thickTop="1" thickBot="1">
      <c r="A55" s="797">
        <v>2</v>
      </c>
      <c r="B55" s="798" t="s">
        <v>644</v>
      </c>
      <c r="C55" s="799">
        <f ca="1">C13</f>
        <v>87903</v>
      </c>
      <c r="D55" s="795"/>
      <c r="E55" s="795"/>
      <c r="F55" s="800"/>
      <c r="I55" s="3112" t="s">
        <v>2355</v>
      </c>
      <c r="J55" s="3052">
        <f ca="1">ROUND(IF(J47="钢混",J57/J50,1-(1-2%)*(J50-J57)/J50),3)</f>
        <v>0.28999999999999998</v>
      </c>
      <c r="K55" s="3113" t="s">
        <v>2356</v>
      </c>
      <c r="L55" s="2349"/>
      <c r="O55" s="2367" t="s">
        <v>2411</v>
      </c>
      <c r="P55" s="1577"/>
      <c r="Q55" s="1588"/>
      <c r="R55" s="1577"/>
    </row>
    <row r="56" spans="1:18" s="2043" customFormat="1" ht="42.75" customHeight="1" thickBot="1">
      <c r="A56" s="1634"/>
      <c r="B56" s="2215" t="s">
        <v>2302</v>
      </c>
      <c r="C56" s="53">
        <f ca="1">C29</f>
        <v>87903</v>
      </c>
      <c r="D56" s="2602"/>
      <c r="E56" s="784"/>
      <c r="F56" s="809"/>
      <c r="I56" s="3114" t="s">
        <v>2357</v>
      </c>
      <c r="J56" s="3124" t="s">
        <v>3105</v>
      </c>
      <c r="K56" s="3077" t="s">
        <v>2362</v>
      </c>
      <c r="L56" s="1892" t="str">
        <f ca="1">IF(L48&lt;J51,"——",L48-J51)</f>
        <v>——</v>
      </c>
      <c r="O56" s="2358" t="s">
        <v>2375</v>
      </c>
      <c r="P56" s="2359" t="s">
        <v>2376</v>
      </c>
      <c r="Q56" s="2360" t="s">
        <v>2377</v>
      </c>
      <c r="R56" s="2359" t="s">
        <v>2378</v>
      </c>
    </row>
    <row r="57" spans="1:18" s="2043" customFormat="1" ht="28.5" customHeight="1" thickBot="1">
      <c r="A57" s="797" t="s">
        <v>1748</v>
      </c>
      <c r="B57" s="798" t="s">
        <v>651</v>
      </c>
      <c r="C57" s="799">
        <f ca="1">ROUND(C58+C63+C64+C65,0)</f>
        <v>2366</v>
      </c>
      <c r="D57" s="26" t="s">
        <v>1750</v>
      </c>
      <c r="E57" s="2603"/>
      <c r="F57" s="56"/>
      <c r="I57" s="3115" t="s">
        <v>2358</v>
      </c>
      <c r="J57" s="3116">
        <f ca="1">IF(OR(M47="住宅",J51&lt;L48,J56="是"),"——",J51-L48)</f>
        <v>17.380000000000003</v>
      </c>
      <c r="K57" s="3077" t="s">
        <v>2363</v>
      </c>
      <c r="L57" s="1892" t="str">
        <f ca="1">IF(L48&lt;J51,"——",IF(L55="比较法",L49,IF(L55="基准地价",L50,L51)))</f>
        <v>——</v>
      </c>
      <c r="O57" s="2361" t="s">
        <v>2379</v>
      </c>
      <c r="P57" s="2362" t="s">
        <v>2409</v>
      </c>
      <c r="Q57" s="2363">
        <f ca="1">C40+J29</f>
        <v>260420</v>
      </c>
      <c r="R57" s="2362" t="s">
        <v>2380</v>
      </c>
    </row>
    <row r="58" spans="1:18" s="2043" customFormat="1" ht="28.5" customHeight="1" thickBot="1">
      <c r="A58" s="1633" t="s">
        <v>1824</v>
      </c>
      <c r="B58" s="784" t="s">
        <v>656</v>
      </c>
      <c r="C58" s="53">
        <f ca="1">ROUND(IF(项目基本情况!B11="自然人",C47*F58,C59+C60+C61),1)</f>
        <v>871.6</v>
      </c>
      <c r="D58" s="2601" t="s">
        <v>657</v>
      </c>
      <c r="E58" s="2602" t="s">
        <v>690</v>
      </c>
      <c r="F58" s="810" t="str">
        <f ca="1">IF(项目基本情况!B11="企业","",IF(INDIRECT("'数据-取费表'!c"&amp;$G$1)="住宅",5%,IF(F48*F49*F50/12/(1+'数据-取费表'!C42)&gt;20000,12%,7%)))</f>
        <v/>
      </c>
      <c r="I58" s="3115" t="s">
        <v>2359</v>
      </c>
      <c r="J58" s="3053">
        <f ca="1">IF(J55&lt;0.4,0.4,J55)</f>
        <v>0.4</v>
      </c>
      <c r="K58" s="3077"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4" t="s">
        <v>660</v>
      </c>
      <c r="C59" s="53">
        <f ca="1">ROUND(C47*F59/1.05,1)</f>
        <v>0</v>
      </c>
      <c r="D59" s="2602" t="s">
        <v>1756</v>
      </c>
      <c r="E59" s="784" t="s">
        <v>1747</v>
      </c>
      <c r="F59" s="809">
        <f t="shared" ref="F59:F65" si="0">F32</f>
        <v>5.5000000000000007E-2</v>
      </c>
      <c r="I59" s="3115" t="s">
        <v>2360</v>
      </c>
      <c r="J59" s="3116">
        <f ca="1">IF(OR(M47="住宅",J51&lt;L48,J56="是"),"——",ROUND(C29*J58,0))</f>
        <v>35161</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738.4</v>
      </c>
      <c r="D60" s="2602" t="str">
        <f>D33</f>
        <v>按房产原值计税</v>
      </c>
      <c r="E60" s="784" t="s">
        <v>1747</v>
      </c>
      <c r="F60" s="809">
        <f t="shared" si="0"/>
        <v>1.2E-2</v>
      </c>
      <c r="I60" s="3117" t="s">
        <v>2361</v>
      </c>
      <c r="J60" s="3118">
        <f ca="1">IF(OR(M47="住宅",J51&lt;L48,J56="是"),"0",ROUND(J59/(1+J52)^J53,0))</f>
        <v>1087</v>
      </c>
      <c r="K60" s="3119" t="s">
        <v>2366</v>
      </c>
      <c r="L60" s="3118">
        <f ca="1">IF(OR(M47="住宅",L48&lt;J51),0,ROUND(L57*(L58/L59-1),0))</f>
        <v>0</v>
      </c>
      <c r="O60" s="2364" t="s">
        <v>2384</v>
      </c>
      <c r="P60" s="2362" t="s">
        <v>2393</v>
      </c>
      <c r="Q60" s="2365">
        <f>L52</f>
        <v>0</v>
      </c>
      <c r="R60" s="2366"/>
    </row>
    <row r="61" spans="1:18" s="2043" customFormat="1" ht="18" customHeight="1" thickBot="1">
      <c r="A61" s="1635" t="s">
        <v>1833</v>
      </c>
      <c r="B61" s="341" t="s">
        <v>668</v>
      </c>
      <c r="C61" s="54">
        <f ca="1">ROUND(F61*F62/10000,1)</f>
        <v>133.19999999999999</v>
      </c>
      <c r="D61" s="814" t="s">
        <v>669</v>
      </c>
      <c r="E61" s="784" t="s">
        <v>670</v>
      </c>
      <c r="F61" s="640">
        <f t="shared" si="0"/>
        <v>12</v>
      </c>
      <c r="K61" s="2070"/>
      <c r="O61" s="2364" t="s">
        <v>2386</v>
      </c>
      <c r="P61" s="2362" t="s">
        <v>2394</v>
      </c>
      <c r="Q61" s="2363" t="e">
        <f ca="1">L58</f>
        <v>#DIV/0!</v>
      </c>
      <c r="R61" s="2366" t="s">
        <v>2395</v>
      </c>
    </row>
    <row r="62" spans="1:18" s="2043" customFormat="1" ht="15.75" thickBot="1">
      <c r="A62" s="815"/>
      <c r="B62" s="793"/>
      <c r="C62" s="69"/>
      <c r="D62" s="816"/>
      <c r="E62" s="784" t="s">
        <v>674</v>
      </c>
      <c r="F62" s="785">
        <f t="shared" ca="1" si="0"/>
        <v>111025.1</v>
      </c>
      <c r="I62" s="3120" t="s">
        <v>2367</v>
      </c>
      <c r="J62" s="3121" t="s">
        <v>2368</v>
      </c>
      <c r="K62" s="3121" t="s">
        <v>2369</v>
      </c>
      <c r="L62" s="3121" t="s">
        <v>2350</v>
      </c>
      <c r="M62" s="3122" t="s">
        <v>2942</v>
      </c>
      <c r="O62" s="2364" t="s">
        <v>2388</v>
      </c>
      <c r="P62" s="2362" t="str">
        <f>K59</f>
        <v>建设期及建筑物耐用年限下的土地年期修正系数Kn</v>
      </c>
      <c r="Q62" s="2363" t="e">
        <f ca="1">L59</f>
        <v>#DIV/0!</v>
      </c>
      <c r="R62" s="2366" t="s">
        <v>2397</v>
      </c>
    </row>
    <row r="63" spans="1:18" s="2043" customFormat="1" ht="15.75" thickBot="1">
      <c r="A63" s="1633" t="s">
        <v>1889</v>
      </c>
      <c r="B63" s="784" t="s">
        <v>676</v>
      </c>
      <c r="C63" s="53">
        <f ca="1">ROUND(C56*F63,1)</f>
        <v>1318.5</v>
      </c>
      <c r="D63" s="2602" t="s">
        <v>1803</v>
      </c>
      <c r="E63" s="784" t="s">
        <v>1747</v>
      </c>
      <c r="F63" s="817">
        <f t="shared" ca="1" si="0"/>
        <v>1.4999999999999999E-2</v>
      </c>
      <c r="I63" s="3120" t="s">
        <v>2370</v>
      </c>
      <c r="J63" s="3121">
        <v>70</v>
      </c>
      <c r="K63" s="3121">
        <v>50</v>
      </c>
      <c r="L63" s="3121">
        <v>80</v>
      </c>
      <c r="M63" s="3123">
        <v>0.02</v>
      </c>
      <c r="O63" s="2361" t="s">
        <v>2391</v>
      </c>
      <c r="P63" s="2362" t="s">
        <v>2408</v>
      </c>
      <c r="Q63" s="2363">
        <f ca="1">Q57+Q58</f>
        <v>260420</v>
      </c>
      <c r="R63" s="2366" t="s">
        <v>2392</v>
      </c>
    </row>
    <row r="64" spans="1:18" s="2043" customFormat="1" ht="16.5" thickBot="1">
      <c r="A64" s="1633" t="s">
        <v>1890</v>
      </c>
      <c r="B64" s="784" t="s">
        <v>679</v>
      </c>
      <c r="C64" s="53">
        <f ca="1">ROUND(C55*F64,1)</f>
        <v>175.8</v>
      </c>
      <c r="D64" s="2602" t="s">
        <v>680</v>
      </c>
      <c r="E64" s="784" t="s">
        <v>1747</v>
      </c>
      <c r="F64" s="818">
        <f t="shared" ca="1" si="0"/>
        <v>2E-3</v>
      </c>
      <c r="I64" s="3120" t="s">
        <v>2371</v>
      </c>
      <c r="J64" s="3121">
        <v>50</v>
      </c>
      <c r="K64" s="3121">
        <v>35</v>
      </c>
      <c r="L64" s="3121">
        <v>60</v>
      </c>
      <c r="M64" s="846">
        <v>0</v>
      </c>
      <c r="O64" s="2367" t="s">
        <v>2415</v>
      </c>
      <c r="P64" s="1577"/>
      <c r="Q64" s="1588"/>
      <c r="R64" s="1577"/>
    </row>
    <row r="65" spans="1:18" s="2043" customFormat="1" ht="15.75" thickBot="1">
      <c r="A65" s="1633" t="s">
        <v>1891</v>
      </c>
      <c r="B65" s="784" t="s">
        <v>666</v>
      </c>
      <c r="C65" s="53">
        <f ca="1">ROUND(C47*F65,1)</f>
        <v>0</v>
      </c>
      <c r="D65" s="2602" t="s">
        <v>683</v>
      </c>
      <c r="E65" s="784" t="s">
        <v>1747</v>
      </c>
      <c r="F65" s="794">
        <f t="shared" ca="1" si="0"/>
        <v>1.4999999999999999E-2</v>
      </c>
      <c r="I65" s="3120" t="s">
        <v>2372</v>
      </c>
      <c r="J65" s="3121">
        <v>40</v>
      </c>
      <c r="K65" s="3121">
        <v>30</v>
      </c>
      <c r="L65" s="3121">
        <v>50</v>
      </c>
      <c r="M65" s="3123">
        <v>0.02</v>
      </c>
      <c r="O65" s="2358" t="s">
        <v>2375</v>
      </c>
      <c r="P65" s="2359" t="s">
        <v>2376</v>
      </c>
      <c r="Q65" s="2360" t="s">
        <v>2377</v>
      </c>
      <c r="R65" s="2359" t="s">
        <v>2378</v>
      </c>
    </row>
    <row r="66" spans="1:18" s="2043" customFormat="1" ht="24.75" thickBot="1">
      <c r="A66" s="797" t="s">
        <v>1776</v>
      </c>
      <c r="B66" s="2962" t="s">
        <v>2820</v>
      </c>
      <c r="C66" s="799">
        <f ca="1">C47-C57</f>
        <v>-2366</v>
      </c>
      <c r="D66" s="2601" t="s">
        <v>700</v>
      </c>
      <c r="E66" s="2600"/>
      <c r="F66" s="820"/>
      <c r="K66" s="2070"/>
      <c r="O66" s="2361" t="s">
        <v>2379</v>
      </c>
      <c r="P66" s="2362" t="s">
        <v>2409</v>
      </c>
      <c r="Q66" s="2363">
        <f ca="1">C40+J29</f>
        <v>260420</v>
      </c>
      <c r="R66" s="2362" t="s">
        <v>2380</v>
      </c>
    </row>
    <row r="67" spans="1:18" s="2043" customFormat="1" ht="20.25" thickBot="1">
      <c r="A67" s="781" t="s">
        <v>1780</v>
      </c>
      <c r="B67" s="2216" t="s">
        <v>2301</v>
      </c>
      <c r="C67" s="783">
        <f ca="1">ROUND(C66*(1-((1+F69)/(1+F67))^F68)/(F67-F69),0)</f>
        <v>-6324</v>
      </c>
      <c r="D67" s="814" t="s">
        <v>704</v>
      </c>
      <c r="E67" s="784" t="s">
        <v>705</v>
      </c>
      <c r="F67" s="794">
        <f ca="1">F40</f>
        <v>0.06</v>
      </c>
      <c r="K67" s="2070"/>
      <c r="O67" s="2361" t="s">
        <v>2381</v>
      </c>
      <c r="P67" s="2362" t="s">
        <v>2412</v>
      </c>
      <c r="Q67" s="2363">
        <f ca="1">L60</f>
        <v>0</v>
      </c>
      <c r="R67" s="2366" t="s">
        <v>2414</v>
      </c>
    </row>
    <row r="68" spans="1:18" ht="21.75" thickBot="1">
      <c r="A68" s="786"/>
      <c r="B68" s="787"/>
      <c r="C68" s="788"/>
      <c r="D68" s="821" t="s">
        <v>1808</v>
      </c>
      <c r="E68" s="784" t="s">
        <v>1784</v>
      </c>
      <c r="F68" s="822">
        <f ca="1">F41</f>
        <v>3</v>
      </c>
      <c r="O68" s="2364" t="s">
        <v>2383</v>
      </c>
      <c r="P68" s="2362" t="s">
        <v>2413</v>
      </c>
      <c r="Q68" s="2368">
        <f ca="1">L51</f>
        <v>29762</v>
      </c>
      <c r="R68" s="2369" t="s">
        <v>2416</v>
      </c>
    </row>
    <row r="69" spans="1:18" ht="20.25" thickBot="1">
      <c r="A69" s="790"/>
      <c r="B69" s="791"/>
      <c r="C69" s="792"/>
      <c r="D69" s="816"/>
      <c r="E69" s="784" t="s">
        <v>710</v>
      </c>
      <c r="F69" s="2334"/>
      <c r="O69" s="2364" t="s">
        <v>2384</v>
      </c>
      <c r="P69" s="2370" t="s">
        <v>2398</v>
      </c>
      <c r="Q69" s="2363">
        <f ca="1">ROUND(Q70-Q71*Q72,0)</f>
        <v>1793</v>
      </c>
      <c r="R69" s="2366"/>
    </row>
    <row r="70" spans="1:18" ht="15.75" thickBot="1">
      <c r="A70" s="823" t="s">
        <v>1787</v>
      </c>
      <c r="B70" s="824" t="s">
        <v>1810</v>
      </c>
      <c r="C70" s="825">
        <f ca="1">ROUND(C67*10000/F70,0)</f>
        <v>-255</v>
      </c>
      <c r="D70" s="826" t="s">
        <v>1811</v>
      </c>
      <c r="E70" s="827" t="s">
        <v>1812</v>
      </c>
      <c r="F70" s="828">
        <f ca="1">F43</f>
        <v>248359.16</v>
      </c>
      <c r="O70" s="2364" t="s">
        <v>2399</v>
      </c>
      <c r="P70" s="2370" t="s">
        <v>2400</v>
      </c>
      <c r="Q70" s="2363">
        <f ca="1">C39</f>
        <v>8825</v>
      </c>
      <c r="R70" s="2362" t="s">
        <v>2380</v>
      </c>
    </row>
    <row r="71" spans="1:18" ht="15.75" thickBot="1">
      <c r="O71" s="2364" t="s">
        <v>2401</v>
      </c>
      <c r="P71" s="2370" t="s">
        <v>2402</v>
      </c>
      <c r="Q71" s="2363">
        <f ca="1">C13</f>
        <v>87903</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260420</v>
      </c>
      <c r="R76" s="2366" t="s">
        <v>2392</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4" workbookViewId="0">
      <selection activeCell="D41" sqref="D41"/>
    </sheetView>
  </sheetViews>
  <sheetFormatPr defaultRowHeight="13.5"/>
  <cols>
    <col min="1" max="1" width="10.5" customWidth="1"/>
    <col min="2" max="2" width="12.875" customWidth="1"/>
    <col min="3" max="3" width="8.75" customWidth="1"/>
  </cols>
  <sheetData>
    <row r="1" spans="1:13" ht="14.25">
      <c r="A1" s="3465" t="s">
        <v>2471</v>
      </c>
      <c r="B1" s="3466"/>
      <c r="C1" s="3467"/>
      <c r="D1" s="3468">
        <f>SUM(I10,I15,I20,I21,I23)</f>
        <v>0</v>
      </c>
      <c r="E1" s="3468"/>
      <c r="F1" s="3468"/>
      <c r="G1" s="3468"/>
      <c r="H1" s="3468"/>
      <c r="I1" s="3469"/>
    </row>
    <row r="2" spans="1:13">
      <c r="A2" s="3470" t="s">
        <v>2472</v>
      </c>
      <c r="B2" s="3471" t="s">
        <v>2473</v>
      </c>
      <c r="C2" s="3471"/>
      <c r="D2" s="2470" t="s">
        <v>2474</v>
      </c>
      <c r="E2" s="2470" t="s">
        <v>2475</v>
      </c>
      <c r="F2" s="2470" t="s">
        <v>2476</v>
      </c>
      <c r="G2" s="2470" t="s">
        <v>2477</v>
      </c>
      <c r="H2" s="2470" t="s">
        <v>2478</v>
      </c>
      <c r="I2" s="2471" t="s">
        <v>2479</v>
      </c>
    </row>
    <row r="3" spans="1:13">
      <c r="A3" s="3470"/>
      <c r="B3" s="3471" t="s">
        <v>2480</v>
      </c>
      <c r="C3" s="3471"/>
      <c r="D3" s="2472"/>
      <c r="E3" s="2470"/>
      <c r="F3" s="2473"/>
      <c r="G3" s="2473"/>
      <c r="H3" s="2474"/>
      <c r="I3" s="2475">
        <f>ROUND(D3*E3*F3*G3*H3/10000,0)</f>
        <v>0</v>
      </c>
    </row>
    <row r="4" spans="1:13">
      <c r="A4" s="3470"/>
      <c r="B4" s="3471" t="s">
        <v>2481</v>
      </c>
      <c r="C4" s="3471"/>
      <c r="D4" s="2472"/>
      <c r="E4" s="2470"/>
      <c r="F4" s="2473"/>
      <c r="G4" s="2473"/>
      <c r="H4" s="2474"/>
      <c r="I4" s="2475">
        <f t="shared" ref="I4:I9" si="0">ROUND(D4*E4*F4*G4*H4/10000,0)</f>
        <v>0</v>
      </c>
    </row>
    <row r="5" spans="1:13">
      <c r="A5" s="3470"/>
      <c r="B5" s="3471" t="s">
        <v>2482</v>
      </c>
      <c r="C5" s="3471"/>
      <c r="D5" s="2472"/>
      <c r="E5" s="2470"/>
      <c r="F5" s="2473"/>
      <c r="G5" s="2473"/>
      <c r="H5" s="2474"/>
      <c r="I5" s="2475">
        <f t="shared" si="0"/>
        <v>0</v>
      </c>
      <c r="K5">
        <v>40</v>
      </c>
      <c r="L5">
        <v>772</v>
      </c>
      <c r="M5">
        <f>K5*L5</f>
        <v>30880</v>
      </c>
    </row>
    <row r="6" spans="1:13">
      <c r="A6" s="3470"/>
      <c r="B6" s="3471" t="s">
        <v>2483</v>
      </c>
      <c r="C6" s="3471"/>
      <c r="D6" s="2472"/>
      <c r="E6" s="2470"/>
      <c r="F6" s="2473"/>
      <c r="G6" s="2473"/>
      <c r="H6" s="2474"/>
      <c r="I6" s="2475">
        <f t="shared" si="0"/>
        <v>0</v>
      </c>
      <c r="K6">
        <v>80</v>
      </c>
      <c r="L6">
        <v>360</v>
      </c>
      <c r="M6">
        <f>K6*L6</f>
        <v>28800</v>
      </c>
    </row>
    <row r="7" spans="1:13">
      <c r="A7" s="3470"/>
      <c r="B7" s="3471" t="s">
        <v>2484</v>
      </c>
      <c r="C7" s="3471"/>
      <c r="D7" s="2472"/>
      <c r="E7" s="2470"/>
      <c r="F7" s="2473"/>
      <c r="G7" s="2473"/>
      <c r="H7" s="2474"/>
      <c r="I7" s="2475">
        <f t="shared" si="0"/>
        <v>0</v>
      </c>
    </row>
    <row r="8" spans="1:13">
      <c r="A8" s="3470"/>
      <c r="B8" s="3471" t="s">
        <v>2485</v>
      </c>
      <c r="C8" s="3471"/>
      <c r="D8" s="2472"/>
      <c r="E8" s="2470"/>
      <c r="F8" s="2473"/>
      <c r="G8" s="2473"/>
      <c r="H8" s="2474"/>
      <c r="I8" s="2475">
        <f t="shared" si="0"/>
        <v>0</v>
      </c>
    </row>
    <row r="9" spans="1:13">
      <c r="A9" s="3470"/>
      <c r="B9" s="3471" t="s">
        <v>2486</v>
      </c>
      <c r="C9" s="3471"/>
      <c r="D9" s="2472"/>
      <c r="E9" s="2470"/>
      <c r="F9" s="2473"/>
      <c r="G9" s="2473"/>
      <c r="H9" s="2474"/>
      <c r="I9" s="2475">
        <f t="shared" si="0"/>
        <v>0</v>
      </c>
    </row>
    <row r="10" spans="1:13">
      <c r="A10" s="3470"/>
      <c r="B10" s="3472" t="s">
        <v>2487</v>
      </c>
      <c r="C10" s="3472"/>
      <c r="D10" s="2476">
        <v>527</v>
      </c>
      <c r="E10" s="2476" t="e">
        <f>ROUND(D1*10000/D10/H9,0)</f>
        <v>#DIV/0!</v>
      </c>
      <c r="F10" s="2477"/>
      <c r="G10" s="2477"/>
      <c r="H10" s="2478"/>
      <c r="I10" s="2479">
        <f>SUM(I3:I9)</f>
        <v>0</v>
      </c>
    </row>
    <row r="11" spans="1:13" ht="14.25">
      <c r="A11" s="3470" t="s">
        <v>2488</v>
      </c>
      <c r="B11" s="3471" t="s">
        <v>2489</v>
      </c>
      <c r="C11" s="3471"/>
      <c r="D11" s="2472" t="s">
        <v>2490</v>
      </c>
      <c r="E11" s="2472" t="s">
        <v>2491</v>
      </c>
      <c r="F11" s="2473" t="s">
        <v>2492</v>
      </c>
      <c r="G11" s="2473" t="s">
        <v>2493</v>
      </c>
      <c r="H11" s="2480" t="s">
        <v>2494</v>
      </c>
      <c r="I11" s="2471" t="s">
        <v>2495</v>
      </c>
    </row>
    <row r="12" spans="1:13">
      <c r="A12" s="3470"/>
      <c r="B12" s="3471" t="s">
        <v>2496</v>
      </c>
      <c r="C12" s="3471"/>
      <c r="D12" s="2472"/>
      <c r="E12" s="2472"/>
      <c r="F12" s="2473"/>
      <c r="G12" s="2474"/>
      <c r="H12" s="2481"/>
      <c r="I12" s="2471">
        <f>ROUND(D12*E12*F12*G12/10000,0)</f>
        <v>0</v>
      </c>
    </row>
    <row r="13" spans="1:13">
      <c r="A13" s="3470"/>
      <c r="B13" s="3471" t="s">
        <v>2497</v>
      </c>
      <c r="C13" s="3471"/>
      <c r="D13" s="2472"/>
      <c r="E13" s="2472"/>
      <c r="F13" s="2473"/>
      <c r="G13" s="2474"/>
      <c r="H13" s="2481"/>
      <c r="I13" s="2471">
        <f>ROUND(D13*E13*F13*G13/10000,0)</f>
        <v>0</v>
      </c>
    </row>
    <row r="14" spans="1:13">
      <c r="A14" s="3470"/>
      <c r="B14" s="3471" t="s">
        <v>2498</v>
      </c>
      <c r="C14" s="3471"/>
      <c r="D14" s="2472"/>
      <c r="E14" s="2472"/>
      <c r="F14" s="2473"/>
      <c r="G14" s="2474"/>
      <c r="H14" s="2481"/>
      <c r="I14" s="2471">
        <f>ROUND(D14*E14*F14*G14/10000,0)</f>
        <v>0</v>
      </c>
    </row>
    <row r="15" spans="1:13">
      <c r="A15" s="3470"/>
      <c r="B15" s="3472" t="s">
        <v>2487</v>
      </c>
      <c r="C15" s="3472"/>
      <c r="D15" s="2476"/>
      <c r="E15" s="2476">
        <f>SUM(E12:E14)</f>
        <v>0</v>
      </c>
      <c r="F15" s="2477"/>
      <c r="G15" s="2474"/>
      <c r="H15" s="2481"/>
      <c r="I15" s="2482">
        <f>SUM(I12:I14)</f>
        <v>0</v>
      </c>
    </row>
    <row r="16" spans="1:13" ht="24">
      <c r="A16" s="3470" t="s">
        <v>2499</v>
      </c>
      <c r="B16" s="3471" t="s">
        <v>2500</v>
      </c>
      <c r="C16" s="3471"/>
      <c r="D16" s="2472" t="s">
        <v>2501</v>
      </c>
      <c r="E16" s="2483" t="s">
        <v>2502</v>
      </c>
      <c r="F16" s="2473" t="s">
        <v>2503</v>
      </c>
      <c r="G16" s="2474" t="s">
        <v>2493</v>
      </c>
      <c r="H16" s="2480" t="s">
        <v>2494</v>
      </c>
      <c r="I16" s="2471" t="s">
        <v>2495</v>
      </c>
    </row>
    <row r="17" spans="1:9" ht="14.25">
      <c r="A17" s="3470"/>
      <c r="B17" s="3471" t="s">
        <v>2504</v>
      </c>
      <c r="C17" s="3471"/>
      <c r="D17" s="2472"/>
      <c r="E17" s="2472"/>
      <c r="F17" s="2473"/>
      <c r="G17" s="2474"/>
      <c r="H17" s="2484"/>
      <c r="I17" s="2485">
        <f>ROUND(D17*E17*F17*G17/10000,0)</f>
        <v>0</v>
      </c>
    </row>
    <row r="18" spans="1:9" ht="14.25">
      <c r="A18" s="3470"/>
      <c r="B18" s="3471" t="s">
        <v>2505</v>
      </c>
      <c r="C18" s="3471"/>
      <c r="D18" s="2472"/>
      <c r="E18" s="2472"/>
      <c r="F18" s="2473"/>
      <c r="G18" s="2474"/>
      <c r="H18" s="2484"/>
      <c r="I18" s="2485">
        <f>ROUND(D18*E18*F18*G18/10000,0)</f>
        <v>0</v>
      </c>
    </row>
    <row r="19" spans="1:9" ht="14.25">
      <c r="A19" s="3470"/>
      <c r="B19" s="3471" t="s">
        <v>2506</v>
      </c>
      <c r="C19" s="3471"/>
      <c r="D19" s="2472"/>
      <c r="E19" s="2472"/>
      <c r="F19" s="2473"/>
      <c r="G19" s="2474"/>
      <c r="H19" s="2484"/>
      <c r="I19" s="2485">
        <f>ROUND(D19*E19*F19*G19/10000,0)</f>
        <v>0</v>
      </c>
    </row>
    <row r="20" spans="1:9">
      <c r="A20" s="3470"/>
      <c r="B20" s="3472" t="s">
        <v>2487</v>
      </c>
      <c r="C20" s="3472"/>
      <c r="D20" s="2476">
        <f>SUM(D17:D19)</f>
        <v>0</v>
      </c>
      <c r="E20" s="2476"/>
      <c r="F20" s="2477"/>
      <c r="G20" s="2474"/>
      <c r="H20" s="2481"/>
      <c r="I20" s="2482">
        <f>SUM(I17:I19)</f>
        <v>0</v>
      </c>
    </row>
    <row r="21" spans="1:9">
      <c r="A21" s="3470" t="s">
        <v>2507</v>
      </c>
      <c r="B21" s="3474"/>
      <c r="C21" s="3474"/>
      <c r="D21" s="3474"/>
      <c r="E21" s="3474"/>
      <c r="F21" s="3474"/>
      <c r="G21" s="3474"/>
      <c r="H21" s="2486">
        <v>0.1</v>
      </c>
      <c r="I21" s="2479">
        <f>ROUND(I10*H21,0)</f>
        <v>0</v>
      </c>
    </row>
    <row r="22" spans="1:9" ht="14.25">
      <c r="A22" s="3475" t="s">
        <v>2508</v>
      </c>
      <c r="B22" s="3476"/>
      <c r="C22" s="3477"/>
      <c r="D22" s="2487" t="s">
        <v>2509</v>
      </c>
      <c r="E22" s="2487" t="s">
        <v>2510</v>
      </c>
      <c r="F22" s="2488" t="s">
        <v>2511</v>
      </c>
      <c r="G22" s="2488" t="s">
        <v>2512</v>
      </c>
      <c r="H22" s="2480" t="s">
        <v>2513</v>
      </c>
      <c r="I22" s="2471" t="s">
        <v>2514</v>
      </c>
    </row>
    <row r="23" spans="1:9" ht="14.25" thickBot="1">
      <c r="A23" s="3478"/>
      <c r="B23" s="3479"/>
      <c r="C23" s="3480"/>
      <c r="D23" s="2489"/>
      <c r="E23" s="2489"/>
      <c r="F23" s="2489"/>
      <c r="G23" s="2490"/>
      <c r="H23" s="2491"/>
      <c r="I23" s="2492">
        <f>ROUND(E23*D23*F23*(1-G23)/10000,0)</f>
        <v>0</v>
      </c>
    </row>
    <row r="26" spans="1:9">
      <c r="A26" s="2493" t="s">
        <v>2515</v>
      </c>
      <c r="B26" s="2493"/>
      <c r="C26" s="2493"/>
      <c r="D26" s="2493"/>
      <c r="E26" s="3481">
        <f>C27-C30-C31-C32</f>
        <v>12000</v>
      </c>
      <c r="F26" s="3481"/>
      <c r="G26" s="3481"/>
      <c r="H26" s="2994" t="s">
        <v>2841</v>
      </c>
    </row>
    <row r="27" spans="1:9">
      <c r="A27" s="2494">
        <v>1</v>
      </c>
      <c r="B27" s="2495" t="s">
        <v>2516</v>
      </c>
      <c r="C27" s="2495">
        <f>C28+C29</f>
        <v>60000</v>
      </c>
      <c r="D27" s="2495"/>
      <c r="E27" s="3482"/>
      <c r="F27" s="3482"/>
      <c r="G27" s="3482"/>
    </row>
    <row r="28" spans="1:9">
      <c r="A28" s="2496" t="s">
        <v>2517</v>
      </c>
      <c r="B28" s="2495" t="s">
        <v>3127</v>
      </c>
      <c r="C28" s="2495">
        <f>80000*0.75</f>
        <v>60000</v>
      </c>
      <c r="D28" s="2495"/>
      <c r="E28" s="3482"/>
      <c r="F28" s="3482"/>
      <c r="G28" s="3482"/>
    </row>
    <row r="29" spans="1:9">
      <c r="A29" s="2496" t="s">
        <v>2519</v>
      </c>
      <c r="B29" s="2495" t="s">
        <v>3128</v>
      </c>
      <c r="C29" s="2495">
        <v>0</v>
      </c>
      <c r="D29" s="2495"/>
      <c r="E29" s="2495" t="s">
        <v>2520</v>
      </c>
      <c r="F29" s="2495"/>
      <c r="G29" s="2495"/>
    </row>
    <row r="30" spans="1:9">
      <c r="A30" s="2494">
        <v>2</v>
      </c>
      <c r="B30" s="2495" t="s">
        <v>3129</v>
      </c>
      <c r="C30" s="2495">
        <f>C28*D30</f>
        <v>42000</v>
      </c>
      <c r="D30" s="2497">
        <v>0.7</v>
      </c>
      <c r="E30" s="2495" t="s">
        <v>2521</v>
      </c>
      <c r="F30" s="2495"/>
      <c r="G30" s="2495"/>
    </row>
    <row r="31" spans="1:9">
      <c r="A31" s="2494">
        <v>3</v>
      </c>
      <c r="B31" s="2495" t="s">
        <v>3130</v>
      </c>
      <c r="C31" s="2495">
        <f>C29*D31</f>
        <v>0</v>
      </c>
      <c r="D31" s="2497">
        <v>0.5</v>
      </c>
      <c r="E31" s="2495" t="s">
        <v>2522</v>
      </c>
      <c r="F31" s="2495"/>
      <c r="G31" s="2495"/>
    </row>
    <row r="32" spans="1:9">
      <c r="A32" s="2494">
        <v>4</v>
      </c>
      <c r="B32" s="2495" t="s">
        <v>2523</v>
      </c>
      <c r="C32" s="2495">
        <f>C27*D32</f>
        <v>6000</v>
      </c>
      <c r="D32" s="2497">
        <v>0.1</v>
      </c>
      <c r="E32" s="3473"/>
      <c r="F32" s="3473"/>
      <c r="G32" s="3473"/>
    </row>
    <row r="33" spans="1:7" hidden="1">
      <c r="A33" s="3483" t="s">
        <v>2524</v>
      </c>
      <c r="B33" s="3484"/>
      <c r="C33" s="3484"/>
      <c r="D33" s="3485"/>
      <c r="E33" s="3481"/>
      <c r="F33" s="3481"/>
      <c r="G33" s="3481"/>
    </row>
    <row r="34" spans="1:7" hidden="1">
      <c r="A34" s="2498">
        <v>1</v>
      </c>
      <c r="B34" s="2495" t="s">
        <v>2525</v>
      </c>
      <c r="C34" s="2495"/>
      <c r="D34" s="2495"/>
      <c r="E34" s="3482"/>
      <c r="F34" s="3482"/>
      <c r="G34" s="3482"/>
    </row>
    <row r="35" spans="1:7" hidden="1">
      <c r="A35" s="2498">
        <v>2</v>
      </c>
      <c r="B35" s="2495" t="s">
        <v>2526</v>
      </c>
      <c r="C35" s="2495"/>
      <c r="D35" s="2495"/>
      <c r="E35" s="3482"/>
      <c r="F35" s="3482"/>
      <c r="G35" s="3482"/>
    </row>
    <row r="36" spans="1:7" hidden="1">
      <c r="A36" s="2498">
        <v>3</v>
      </c>
      <c r="B36" s="2495" t="s">
        <v>2527</v>
      </c>
      <c r="C36" s="2495"/>
      <c r="D36" s="2495"/>
      <c r="E36" s="3482"/>
      <c r="F36" s="3482"/>
      <c r="G36" s="3482"/>
    </row>
    <row r="37" spans="1:7" hidden="1">
      <c r="A37" s="2498">
        <v>4</v>
      </c>
      <c r="B37" s="2495" t="s">
        <v>2528</v>
      </c>
      <c r="C37" s="2495"/>
      <c r="D37" s="2495"/>
      <c r="E37" s="3482"/>
      <c r="F37" s="3482"/>
      <c r="G37" s="3482"/>
    </row>
    <row r="38" spans="1:7" hidden="1">
      <c r="A38" s="3483" t="s">
        <v>2529</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2440</v>
      </c>
      <c r="B8" s="2435" t="s">
        <v>2442</v>
      </c>
      <c r="C8" s="2436"/>
      <c r="D8" s="749"/>
      <c r="E8" s="750"/>
      <c r="F8" s="750"/>
      <c r="G8" s="751"/>
    </row>
    <row r="9" spans="1:25" s="2167" customFormat="1" ht="13.5" customHeight="1">
      <c r="A9" s="2432" t="s">
        <v>2441</v>
      </c>
      <c r="B9" s="2435" t="s">
        <v>2443</v>
      </c>
      <c r="C9" s="2436"/>
      <c r="D9" s="749"/>
      <c r="E9" s="750"/>
      <c r="F9" s="750"/>
      <c r="G9" s="751"/>
    </row>
    <row r="10" spans="1:25" s="2167" customFormat="1" ht="36">
      <c r="A10" s="2432">
        <v>2</v>
      </c>
      <c r="B10" s="748" t="s">
        <v>613</v>
      </c>
      <c r="C10" s="749">
        <f>C11+C14+C15</f>
        <v>0</v>
      </c>
      <c r="D10" s="760">
        <f>'数据-汇总表'!E3</f>
        <v>248359.16</v>
      </c>
      <c r="E10" s="749">
        <f>'数据-取费表'!B31</f>
        <v>240</v>
      </c>
      <c r="F10" s="761"/>
      <c r="G10" s="759" t="s">
        <v>614</v>
      </c>
    </row>
    <row r="11" spans="1:25" s="2167" customFormat="1" ht="13.5" customHeight="1">
      <c r="A11" s="2432" t="s">
        <v>2440</v>
      </c>
      <c r="B11" s="752" t="s">
        <v>610</v>
      </c>
      <c r="C11" s="753">
        <f>'数据-取费表'!B29</f>
        <v>0</v>
      </c>
      <c r="D11" s="754"/>
      <c r="E11" s="753"/>
      <c r="F11" s="755"/>
      <c r="G11" s="2441" t="s">
        <v>2451</v>
      </c>
    </row>
    <row r="12" spans="1:25" s="2167" customFormat="1" ht="13.5" customHeight="1">
      <c r="A12" s="2439" t="s">
        <v>2448</v>
      </c>
      <c r="B12" s="756" t="s">
        <v>611</v>
      </c>
      <c r="C12" s="757">
        <f>ROUND(D12*E12/10000,0)</f>
        <v>0</v>
      </c>
      <c r="D12" s="758">
        <f>'数据-汇总表'!E5</f>
        <v>0</v>
      </c>
      <c r="E12" s="757">
        <f>'数据-取费表'!B27</f>
        <v>240</v>
      </c>
      <c r="F12" s="755"/>
      <c r="G12" s="759"/>
    </row>
    <row r="13" spans="1:25" s="2167" customFormat="1" ht="13.5" customHeight="1">
      <c r="A13" s="2439" t="s">
        <v>2447</v>
      </c>
      <c r="B13" s="756" t="s">
        <v>612</v>
      </c>
      <c r="C13" s="757">
        <f>ROUND(D13*E13/10000,0)</f>
        <v>5961</v>
      </c>
      <c r="D13" s="758">
        <f>'数据-汇总表'!E6</f>
        <v>248359.16</v>
      </c>
      <c r="E13" s="757">
        <f>'数据-取费表'!B28</f>
        <v>240</v>
      </c>
      <c r="F13" s="755"/>
      <c r="G13" s="759"/>
    </row>
    <row r="14" spans="1:25" s="2167" customFormat="1" ht="13.5" customHeight="1">
      <c r="A14" s="2432" t="s">
        <v>2441</v>
      </c>
      <c r="B14" s="2438" t="s">
        <v>2444</v>
      </c>
      <c r="C14" s="2436"/>
      <c r="D14" s="758"/>
      <c r="E14" s="757"/>
      <c r="F14" s="2437"/>
      <c r="G14" s="2440" t="s">
        <v>2449</v>
      </c>
    </row>
    <row r="15" spans="1:25" s="2167" customFormat="1" ht="13.5" customHeight="1">
      <c r="A15" s="2432" t="s">
        <v>2446</v>
      </c>
      <c r="B15" s="2438" t="s">
        <v>2445</v>
      </c>
      <c r="C15" s="2436"/>
      <c r="D15" s="758"/>
      <c r="E15" s="757"/>
      <c r="F15" s="2437"/>
      <c r="G15" s="2440" t="s">
        <v>2450</v>
      </c>
    </row>
    <row r="16" spans="1:25" s="2168" customFormat="1" ht="48">
      <c r="A16" s="2432">
        <v>3</v>
      </c>
      <c r="B16" s="748" t="s">
        <v>615</v>
      </c>
      <c r="C16" s="2436"/>
      <c r="D16" s="760"/>
      <c r="E16" s="749"/>
      <c r="F16" s="761"/>
      <c r="G16" s="759"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0.3</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0.91300000000000003</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376" t="s">
        <v>522</v>
      </c>
      <c r="D4" s="3377"/>
      <c r="E4" s="3410" t="s">
        <v>523</v>
      </c>
      <c r="F4" s="3411"/>
      <c r="G4" s="3376" t="s">
        <v>524</v>
      </c>
      <c r="H4" s="3377"/>
      <c r="I4" s="3376" t="s">
        <v>525</v>
      </c>
      <c r="J4" s="3377"/>
      <c r="K4" s="853" t="s">
        <v>526</v>
      </c>
      <c r="L4" s="2117"/>
      <c r="M4" s="2118"/>
      <c r="N4" s="2118"/>
      <c r="O4" s="2118"/>
      <c r="P4" s="3378" t="s">
        <v>527</v>
      </c>
      <c r="Q4" s="3379"/>
      <c r="R4" s="3384" t="s">
        <v>523</v>
      </c>
      <c r="S4" s="3385"/>
      <c r="T4" s="3384" t="s">
        <v>524</v>
      </c>
      <c r="U4" s="3385"/>
      <c r="V4" s="3371" t="s">
        <v>525</v>
      </c>
      <c r="W4" s="3371"/>
      <c r="X4" s="1552"/>
      <c r="Y4" s="3384" t="s">
        <v>527</v>
      </c>
      <c r="Z4" s="3385"/>
      <c r="AA4" s="3373" t="s">
        <v>523</v>
      </c>
      <c r="AB4" s="3373" t="s">
        <v>524</v>
      </c>
      <c r="AC4" s="3373" t="s">
        <v>525</v>
      </c>
    </row>
    <row r="5" spans="1:29" ht="15">
      <c r="A5" s="515"/>
      <c r="B5" s="516"/>
      <c r="C5" s="3392" t="s">
        <v>2929</v>
      </c>
      <c r="D5" s="3393"/>
      <c r="E5" s="3412" t="s">
        <v>2930</v>
      </c>
      <c r="F5" s="3413"/>
      <c r="G5" s="3392" t="s">
        <v>2931</v>
      </c>
      <c r="H5" s="3393"/>
      <c r="I5" s="3392" t="s">
        <v>2932</v>
      </c>
      <c r="J5" s="3393"/>
      <c r="K5" s="854"/>
      <c r="L5" s="2117"/>
      <c r="M5" s="2118"/>
      <c r="N5" s="2118"/>
      <c r="O5" s="2118"/>
      <c r="P5" s="3380"/>
      <c r="Q5" s="3381"/>
      <c r="R5" s="3386"/>
      <c r="S5" s="3387"/>
      <c r="T5" s="3386"/>
      <c r="U5" s="3387"/>
      <c r="V5" s="3371"/>
      <c r="W5" s="3371"/>
      <c r="X5" s="1552"/>
      <c r="Y5" s="3386"/>
      <c r="Z5" s="3387"/>
      <c r="AA5" s="3374"/>
      <c r="AB5" s="3374"/>
      <c r="AC5" s="3374"/>
    </row>
    <row r="6" spans="1:29" ht="15.75" thickBot="1">
      <c r="A6" s="517"/>
      <c r="B6" s="518"/>
      <c r="C6" s="3390" t="s">
        <v>2933</v>
      </c>
      <c r="D6" s="3391"/>
      <c r="E6" s="3408" t="s">
        <v>2933</v>
      </c>
      <c r="F6" s="3409"/>
      <c r="G6" s="3390" t="s">
        <v>2933</v>
      </c>
      <c r="H6" s="3391"/>
      <c r="I6" s="3390" t="s">
        <v>2933</v>
      </c>
      <c r="J6" s="3391"/>
      <c r="K6" s="854" t="s">
        <v>528</v>
      </c>
      <c r="L6" s="2117"/>
      <c r="M6" s="2118"/>
      <c r="N6" s="2118"/>
      <c r="O6" s="2118"/>
      <c r="P6" s="3382"/>
      <c r="Q6" s="3383"/>
      <c r="R6" s="3386"/>
      <c r="S6" s="3387"/>
      <c r="T6" s="3388"/>
      <c r="U6" s="3389"/>
      <c r="V6" s="3371"/>
      <c r="W6" s="3371"/>
      <c r="X6" s="1552"/>
      <c r="Y6" s="3388"/>
      <c r="Z6" s="3389"/>
      <c r="AA6" s="3375"/>
      <c r="AB6" s="3375"/>
      <c r="AC6" s="3375"/>
    </row>
    <row r="7" spans="1:29" s="1215" customFormat="1" ht="15.75" thickBot="1">
      <c r="A7" s="2866"/>
      <c r="B7" s="2873" t="s">
        <v>529</v>
      </c>
      <c r="C7" s="519">
        <f>'数据-取费表'!B2</f>
        <v>43810</v>
      </c>
      <c r="D7" s="520">
        <v>100</v>
      </c>
      <c r="E7" s="521"/>
      <c r="F7" s="522">
        <f>SUMIF(58:58,YEAR(E7)&amp;"-"&amp;MONTH(E7),59:59)</f>
        <v>0</v>
      </c>
      <c r="G7" s="523"/>
      <c r="H7" s="520">
        <f>SUMIF(58:58,YEAR(G7)&amp;"-"&amp;MONTH(G7),59:59)</f>
        <v>0</v>
      </c>
      <c r="I7" s="523"/>
      <c r="J7" s="520">
        <f>SUMIF(58:58,YEAR(I7)&amp;"-"&amp;MONTH(I7),59:59)</f>
        <v>0</v>
      </c>
      <c r="K7" s="855"/>
      <c r="L7" s="2119"/>
      <c r="M7" s="2120"/>
      <c r="N7" s="2120"/>
      <c r="O7" s="2120"/>
      <c r="P7" s="3401" t="s">
        <v>530</v>
      </c>
      <c r="Q7" s="3403"/>
      <c r="R7" s="1553" t="s">
        <v>13</v>
      </c>
      <c r="S7" s="1554">
        <f t="shared" ref="S7:S15" si="0">F7</f>
        <v>0</v>
      </c>
      <c r="T7" s="1553" t="s">
        <v>13</v>
      </c>
      <c r="U7" s="1554">
        <f t="shared" ref="U7:U15" si="1">H7</f>
        <v>0</v>
      </c>
      <c r="V7" s="1553" t="s">
        <v>13</v>
      </c>
      <c r="W7" s="1554">
        <f t="shared" ref="W7:W15" si="2">J7</f>
        <v>0</v>
      </c>
      <c r="X7" s="1555"/>
      <c r="Y7" s="3401" t="s">
        <v>530</v>
      </c>
      <c r="Z7" s="3402"/>
      <c r="AA7" s="1556" t="e">
        <f>D7/F7</f>
        <v>#DIV/0!</v>
      </c>
      <c r="AB7" s="1556" t="e">
        <f>D7/H7</f>
        <v>#DIV/0!</v>
      </c>
      <c r="AC7" s="1556" t="e">
        <f>D7/J7</f>
        <v>#DIV/0!</v>
      </c>
    </row>
    <row r="8" spans="1:29" s="1215"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401" t="s">
        <v>533</v>
      </c>
      <c r="Q8" s="3402"/>
      <c r="R8" s="1553" t="s">
        <v>13</v>
      </c>
      <c r="S8" s="1554">
        <f t="shared" si="0"/>
        <v>0</v>
      </c>
      <c r="T8" s="1553" t="s">
        <v>13</v>
      </c>
      <c r="U8" s="1554">
        <f t="shared" si="1"/>
        <v>0</v>
      </c>
      <c r="V8" s="1553" t="s">
        <v>13</v>
      </c>
      <c r="W8" s="1554">
        <f t="shared" si="2"/>
        <v>0</v>
      </c>
      <c r="X8" s="1555"/>
      <c r="Y8" s="3401" t="s">
        <v>533</v>
      </c>
      <c r="Z8" s="3402"/>
      <c r="AA8" s="1556" t="e">
        <f t="shared" ref="AA8:AA46" si="3">D8/F8</f>
        <v>#DIV/0!</v>
      </c>
      <c r="AB8" s="1556" t="e">
        <f t="shared" ref="AB8:AB46" si="4">D8/H8</f>
        <v>#DIV/0!</v>
      </c>
      <c r="AC8" s="1556" t="e">
        <f t="shared" ref="AC8:AC46" si="5">D8/J8</f>
        <v>#DIV/0!</v>
      </c>
    </row>
    <row r="9" spans="1:29" s="1215" customFormat="1" ht="15">
      <c r="A9" s="2868"/>
      <c r="B9" s="2875" t="s">
        <v>2754</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70" t="s">
        <v>535</v>
      </c>
      <c r="Q9" s="1146" t="str">
        <f t="shared" ref="Q9:Q15" si="6">B9</f>
        <v>用途</v>
      </c>
      <c r="R9" s="1553" t="s">
        <v>8</v>
      </c>
      <c r="S9" s="1554">
        <f t="shared" si="0"/>
        <v>100</v>
      </c>
      <c r="T9" s="1553" t="s">
        <v>8</v>
      </c>
      <c r="U9" s="1554">
        <f t="shared" si="1"/>
        <v>100</v>
      </c>
      <c r="V9" s="1553" t="s">
        <v>8</v>
      </c>
      <c r="W9" s="1554">
        <f t="shared" si="2"/>
        <v>100</v>
      </c>
      <c r="X9" s="1555"/>
      <c r="Y9" s="3316"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70"/>
      <c r="Q10" s="1146" t="str">
        <f t="shared" si="6"/>
        <v>土地使用年限（年）</v>
      </c>
      <c r="R10" s="1553" t="s">
        <v>8</v>
      </c>
      <c r="S10" s="1554">
        <f t="shared" si="0"/>
        <v>100</v>
      </c>
      <c r="T10" s="1553" t="s">
        <v>8</v>
      </c>
      <c r="U10" s="1554">
        <f t="shared" si="1"/>
        <v>100</v>
      </c>
      <c r="V10" s="1553" t="s">
        <v>8</v>
      </c>
      <c r="W10" s="1554">
        <f t="shared" si="2"/>
        <v>100</v>
      </c>
      <c r="X10" s="1555"/>
      <c r="Y10" s="3316"/>
      <c r="Z10" s="1145" t="str">
        <f t="shared" si="7"/>
        <v>土地使用年限（年）</v>
      </c>
      <c r="AA10" s="1556">
        <f t="shared" si="3"/>
        <v>1</v>
      </c>
      <c r="AB10" s="1556">
        <f t="shared" si="4"/>
        <v>1</v>
      </c>
      <c r="AC10" s="1556">
        <f t="shared" si="5"/>
        <v>1</v>
      </c>
    </row>
    <row r="11" spans="1:29" ht="15">
      <c r="A11" s="2870"/>
      <c r="B11" s="2874" t="s">
        <v>2756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70"/>
      <c r="Q11" s="1146" t="str">
        <f t="shared" si="6"/>
        <v>容积率</v>
      </c>
      <c r="R11" s="1553" t="s">
        <v>11</v>
      </c>
      <c r="S11" s="1554" t="e">
        <f t="shared" si="0"/>
        <v>#N/A</v>
      </c>
      <c r="T11" s="1553" t="s">
        <v>11</v>
      </c>
      <c r="U11" s="1554" t="e">
        <f t="shared" si="1"/>
        <v>#N/A</v>
      </c>
      <c r="V11" s="1553" t="s">
        <v>11</v>
      </c>
      <c r="W11" s="1554" t="e">
        <f t="shared" si="2"/>
        <v>#N/A</v>
      </c>
      <c r="X11" s="1555"/>
      <c r="Y11" s="331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70"/>
      <c r="Q12" s="1146">
        <f t="shared" si="6"/>
        <v>111</v>
      </c>
      <c r="R12" s="1553" t="s">
        <v>11</v>
      </c>
      <c r="S12" s="1554">
        <f t="shared" si="0"/>
        <v>100</v>
      </c>
      <c r="T12" s="1553" t="s">
        <v>11</v>
      </c>
      <c r="U12" s="1554">
        <f t="shared" si="1"/>
        <v>100</v>
      </c>
      <c r="V12" s="1553" t="s">
        <v>11</v>
      </c>
      <c r="W12" s="1554">
        <f t="shared" si="2"/>
        <v>100</v>
      </c>
      <c r="X12" s="1555"/>
      <c r="Y12" s="3316"/>
      <c r="Z12" s="1145">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70"/>
      <c r="Q13" s="1146">
        <f t="shared" si="6"/>
        <v>111</v>
      </c>
      <c r="R13" s="1553" t="s">
        <v>11</v>
      </c>
      <c r="S13" s="1554">
        <f t="shared" si="0"/>
        <v>100</v>
      </c>
      <c r="T13" s="1553" t="s">
        <v>11</v>
      </c>
      <c r="U13" s="1554">
        <f t="shared" si="1"/>
        <v>100</v>
      </c>
      <c r="V13" s="1553" t="s">
        <v>11</v>
      </c>
      <c r="W13" s="1554">
        <f t="shared" si="2"/>
        <v>100</v>
      </c>
      <c r="X13" s="1555"/>
      <c r="Y13" s="3316"/>
      <c r="Z13" s="1145">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70"/>
      <c r="Q14" s="1146">
        <f t="shared" si="6"/>
        <v>111</v>
      </c>
      <c r="R14" s="1553" t="s">
        <v>11</v>
      </c>
      <c r="S14" s="1554">
        <f t="shared" si="0"/>
        <v>100</v>
      </c>
      <c r="T14" s="1553" t="s">
        <v>11</v>
      </c>
      <c r="U14" s="1554">
        <f t="shared" si="1"/>
        <v>100</v>
      </c>
      <c r="V14" s="1553" t="s">
        <v>11</v>
      </c>
      <c r="W14" s="1554">
        <f t="shared" si="2"/>
        <v>100</v>
      </c>
      <c r="X14" s="1555"/>
      <c r="Y14" s="3316"/>
      <c r="Z14" s="1145">
        <f t="shared" si="7"/>
        <v>111</v>
      </c>
      <c r="AA14" s="1556">
        <f t="shared" si="3"/>
        <v>1</v>
      </c>
      <c r="AB14" s="1556">
        <f t="shared" si="4"/>
        <v>1</v>
      </c>
      <c r="AC14" s="1556">
        <f t="shared" si="5"/>
        <v>1</v>
      </c>
    </row>
    <row r="15" spans="1:29" ht="99.75">
      <c r="A15" s="2864"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04" t="s">
        <v>540</v>
      </c>
      <c r="Q15" s="1557" t="str">
        <f t="shared" si="6"/>
        <v>居住社区成熟度</v>
      </c>
      <c r="R15" s="1558" t="s">
        <v>11</v>
      </c>
      <c r="S15" s="1559">
        <f t="shared" si="0"/>
        <v>100</v>
      </c>
      <c r="T15" s="1558" t="s">
        <v>11</v>
      </c>
      <c r="U15" s="1559">
        <f t="shared" si="1"/>
        <v>100</v>
      </c>
      <c r="V15" s="1558" t="s">
        <v>11</v>
      </c>
      <c r="W15" s="1559">
        <f t="shared" si="2"/>
        <v>100</v>
      </c>
      <c r="X15" s="1552"/>
      <c r="Y15" s="3404"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405"/>
      <c r="Q16" s="1557"/>
      <c r="R16" s="1558"/>
      <c r="S16" s="1559"/>
      <c r="T16" s="1558"/>
      <c r="U16" s="1559"/>
      <c r="V16" s="1558"/>
      <c r="W16" s="1559"/>
      <c r="X16" s="1552"/>
      <c r="Y16" s="3405"/>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05"/>
      <c r="Q17" s="1557" t="str">
        <f>B17</f>
        <v>交通便捷度</v>
      </c>
      <c r="R17" s="1558" t="s">
        <v>11</v>
      </c>
      <c r="S17" s="1559">
        <f>F17</f>
        <v>100</v>
      </c>
      <c r="T17" s="1558" t="s">
        <v>11</v>
      </c>
      <c r="U17" s="1559">
        <f>H17</f>
        <v>100</v>
      </c>
      <c r="V17" s="1558" t="s">
        <v>11</v>
      </c>
      <c r="W17" s="1559">
        <f>J17</f>
        <v>100</v>
      </c>
      <c r="X17" s="1552"/>
      <c r="Y17" s="340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2.75">
      <c r="A19" s="532"/>
      <c r="B19" s="2563"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05"/>
      <c r="Q19" s="1557" t="str">
        <f>B19</f>
        <v>公共配套设施</v>
      </c>
      <c r="R19" s="1558" t="s">
        <v>11</v>
      </c>
      <c r="S19" s="1559">
        <f>F19</f>
        <v>100</v>
      </c>
      <c r="T19" s="1558" t="s">
        <v>11</v>
      </c>
      <c r="U19" s="1559">
        <f>H19</f>
        <v>100</v>
      </c>
      <c r="V19" s="1558" t="s">
        <v>11</v>
      </c>
      <c r="W19" s="1559">
        <f>J19</f>
        <v>100</v>
      </c>
      <c r="X19" s="1552"/>
      <c r="Y19" s="3405"/>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5">
      <c r="A21" s="532"/>
      <c r="B21" s="2556"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05"/>
      <c r="Q21" s="2542" t="str">
        <f>B21</f>
        <v>基础设施水平</v>
      </c>
      <c r="R21" s="1558" t="s">
        <v>11</v>
      </c>
      <c r="S21" s="1559">
        <f>F21</f>
        <v>100</v>
      </c>
      <c r="T21" s="1558" t="s">
        <v>11</v>
      </c>
      <c r="U21" s="1559">
        <f>H21</f>
        <v>100</v>
      </c>
      <c r="V21" s="1558" t="s">
        <v>11</v>
      </c>
      <c r="W21" s="1559">
        <f>J21</f>
        <v>100</v>
      </c>
      <c r="X21" s="2544"/>
      <c r="Y21" s="3405"/>
      <c r="Z21" s="2543" t="str">
        <f>Q21</f>
        <v>基础设施水平</v>
      </c>
      <c r="AA21" s="1561">
        <f>D21/F21</f>
        <v>1</v>
      </c>
      <c r="AB21" s="1561">
        <f>D21/H21</f>
        <v>1</v>
      </c>
      <c r="AC21" s="1561">
        <f>D21/J21</f>
        <v>1</v>
      </c>
    </row>
    <row r="22" spans="1:29" ht="15">
      <c r="A22" s="532"/>
      <c r="B22" s="922"/>
      <c r="C22" s="873"/>
      <c r="D22" s="555"/>
      <c r="E22" s="576"/>
      <c r="F22" s="557"/>
      <c r="G22" s="576"/>
      <c r="H22" s="555"/>
      <c r="I22" s="576"/>
      <c r="J22" s="555"/>
      <c r="K22" s="2562"/>
      <c r="L22" s="2126"/>
      <c r="M22" s="2118"/>
      <c r="N22" s="2118"/>
      <c r="O22" s="2125"/>
      <c r="P22" s="3405"/>
      <c r="Q22" s="2542"/>
      <c r="R22" s="1558"/>
      <c r="S22" s="1559"/>
      <c r="T22" s="1558"/>
      <c r="U22" s="1559"/>
      <c r="V22" s="1558"/>
      <c r="W22" s="1559"/>
      <c r="X22" s="2544"/>
      <c r="Y22" s="3405"/>
      <c r="Z22" s="2543"/>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405"/>
      <c r="Q23" s="1557" t="str">
        <f>B23</f>
        <v>自然及人文环境</v>
      </c>
      <c r="R23" s="1558" t="s">
        <v>11</v>
      </c>
      <c r="S23" s="1559">
        <f>F23</f>
        <v>100</v>
      </c>
      <c r="T23" s="1558" t="s">
        <v>11</v>
      </c>
      <c r="U23" s="1559">
        <f>H23</f>
        <v>100</v>
      </c>
      <c r="V23" s="1558" t="s">
        <v>11</v>
      </c>
      <c r="W23" s="1559">
        <f>J23</f>
        <v>100</v>
      </c>
      <c r="X23" s="1552"/>
      <c r="Y23" s="3405"/>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05"/>
      <c r="Q25" s="1557" t="str">
        <f t="shared" ref="Q25:Q46" si="8">B25</f>
        <v>楼层-1</v>
      </c>
      <c r="R25" s="1558" t="s">
        <v>11</v>
      </c>
      <c r="S25" s="1559">
        <f>F25</f>
        <v>100</v>
      </c>
      <c r="T25" s="1558" t="s">
        <v>11</v>
      </c>
      <c r="U25" s="1559">
        <f>H25</f>
        <v>100</v>
      </c>
      <c r="V25" s="1558" t="s">
        <v>11</v>
      </c>
      <c r="W25" s="1559">
        <f>J25</f>
        <v>100</v>
      </c>
      <c r="X25" s="1552"/>
      <c r="Y25" s="3405"/>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05"/>
      <c r="Q26" s="1557" t="str">
        <f t="shared" si="8"/>
        <v>朝向</v>
      </c>
      <c r="R26" s="1558" t="s">
        <v>11</v>
      </c>
      <c r="S26" s="1559">
        <f>F26</f>
        <v>100</v>
      </c>
      <c r="T26" s="1558" t="s">
        <v>11</v>
      </c>
      <c r="U26" s="1559">
        <f>H26</f>
        <v>100</v>
      </c>
      <c r="V26" s="1558" t="s">
        <v>11</v>
      </c>
      <c r="W26" s="1559">
        <f>J26</f>
        <v>100</v>
      </c>
      <c r="X26" s="1552"/>
      <c r="Y26" s="3405"/>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05"/>
      <c r="Q27" s="1146" t="str">
        <f t="shared" si="8"/>
        <v>道路级别</v>
      </c>
      <c r="R27" s="1553" t="s">
        <v>11</v>
      </c>
      <c r="S27" s="1554">
        <f>F27</f>
        <v>100</v>
      </c>
      <c r="T27" s="1553" t="s">
        <v>11</v>
      </c>
      <c r="U27" s="1554">
        <f>H27</f>
        <v>100</v>
      </c>
      <c r="V27" s="1553" t="s">
        <v>11</v>
      </c>
      <c r="W27" s="1554">
        <f>J27</f>
        <v>100</v>
      </c>
      <c r="X27" s="1555"/>
      <c r="Y27" s="3405"/>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05"/>
      <c r="Q28" s="1557">
        <f t="shared" si="8"/>
        <v>111</v>
      </c>
      <c r="R28" s="1558" t="s">
        <v>11</v>
      </c>
      <c r="S28" s="1559">
        <f t="shared" ref="S28:S46" si="9">F28</f>
        <v>100</v>
      </c>
      <c r="T28" s="1558" t="s">
        <v>11</v>
      </c>
      <c r="U28" s="1559">
        <f t="shared" ref="U28:U46" si="10">H28</f>
        <v>100</v>
      </c>
      <c r="V28" s="1558" t="s">
        <v>11</v>
      </c>
      <c r="W28" s="1559">
        <f t="shared" ref="W28:W46" si="11">J28</f>
        <v>100</v>
      </c>
      <c r="X28" s="1552"/>
      <c r="Y28" s="3405"/>
      <c r="Z28" s="1560">
        <f t="shared" ref="Z28:Z46" si="12">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05"/>
      <c r="Q29" s="1557">
        <f t="shared" si="8"/>
        <v>111</v>
      </c>
      <c r="R29" s="1558" t="s">
        <v>11</v>
      </c>
      <c r="S29" s="1559">
        <f t="shared" si="9"/>
        <v>100</v>
      </c>
      <c r="T29" s="1558" t="s">
        <v>11</v>
      </c>
      <c r="U29" s="1559">
        <f t="shared" si="10"/>
        <v>100</v>
      </c>
      <c r="V29" s="1558" t="s">
        <v>11</v>
      </c>
      <c r="W29" s="1559">
        <f t="shared" si="11"/>
        <v>100</v>
      </c>
      <c r="X29" s="1552"/>
      <c r="Y29" s="3405"/>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05"/>
      <c r="Q30" s="1557">
        <f t="shared" si="8"/>
        <v>111</v>
      </c>
      <c r="R30" s="1558" t="s">
        <v>11</v>
      </c>
      <c r="S30" s="1559">
        <f t="shared" si="9"/>
        <v>100</v>
      </c>
      <c r="T30" s="1558" t="s">
        <v>11</v>
      </c>
      <c r="U30" s="1559">
        <f t="shared" si="10"/>
        <v>100</v>
      </c>
      <c r="V30" s="1558" t="s">
        <v>11</v>
      </c>
      <c r="W30" s="1559">
        <f t="shared" si="11"/>
        <v>100</v>
      </c>
      <c r="X30" s="1552"/>
      <c r="Y30" s="3405"/>
      <c r="Z30" s="1560">
        <f t="shared" si="12"/>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05"/>
      <c r="Q31" s="1557">
        <f t="shared" si="8"/>
        <v>111</v>
      </c>
      <c r="R31" s="1558" t="s">
        <v>11</v>
      </c>
      <c r="S31" s="1559">
        <f t="shared" si="9"/>
        <v>100</v>
      </c>
      <c r="T31" s="1558" t="s">
        <v>11</v>
      </c>
      <c r="U31" s="1559">
        <f t="shared" si="10"/>
        <v>100</v>
      </c>
      <c r="V31" s="1558" t="s">
        <v>11</v>
      </c>
      <c r="W31" s="1559">
        <f t="shared" si="11"/>
        <v>100</v>
      </c>
      <c r="X31" s="1552"/>
      <c r="Y31" s="3405"/>
      <c r="Z31" s="1560">
        <f t="shared" si="12"/>
        <v>111</v>
      </c>
      <c r="AA31" s="1561">
        <f t="shared" si="3"/>
        <v>1</v>
      </c>
      <c r="AB31" s="1561">
        <f t="shared" si="4"/>
        <v>1</v>
      </c>
      <c r="AC31" s="1561">
        <f t="shared" si="5"/>
        <v>1</v>
      </c>
    </row>
    <row r="32" spans="1:29" ht="15">
      <c r="A32" s="2861"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406" t="s">
        <v>550</v>
      </c>
      <c r="Q32" s="1557" t="str">
        <f t="shared" si="8"/>
        <v>建筑类型</v>
      </c>
      <c r="R32" s="1558" t="s">
        <v>11</v>
      </c>
      <c r="S32" s="1559">
        <f t="shared" si="9"/>
        <v>100</v>
      </c>
      <c r="T32" s="1558" t="s">
        <v>11</v>
      </c>
      <c r="U32" s="1559">
        <f t="shared" si="10"/>
        <v>100</v>
      </c>
      <c r="V32" s="1558" t="s">
        <v>11</v>
      </c>
      <c r="W32" s="1559">
        <f t="shared" si="11"/>
        <v>100</v>
      </c>
      <c r="X32" s="1552"/>
      <c r="Y32" s="3407" t="s">
        <v>550</v>
      </c>
      <c r="Z32" s="1560" t="str">
        <f t="shared" si="12"/>
        <v>建筑类型</v>
      </c>
      <c r="AA32" s="1561">
        <f t="shared" si="3"/>
        <v>1</v>
      </c>
      <c r="AB32" s="1561">
        <f t="shared" si="4"/>
        <v>1</v>
      </c>
      <c r="AC32" s="1561">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407"/>
      <c r="Q33" s="1589" t="str">
        <f t="shared" si="8"/>
        <v>项目建筑规模</v>
      </c>
      <c r="R33" s="1562" t="s">
        <v>11</v>
      </c>
      <c r="S33" s="1563" t="e">
        <f t="shared" si="9"/>
        <v>#N/A</v>
      </c>
      <c r="T33" s="1562" t="s">
        <v>11</v>
      </c>
      <c r="U33" s="1563" t="e">
        <f t="shared" si="10"/>
        <v>#N/A</v>
      </c>
      <c r="V33" s="1562" t="s">
        <v>11</v>
      </c>
      <c r="W33" s="1563" t="e">
        <f t="shared" si="11"/>
        <v>#N/A</v>
      </c>
      <c r="X33" s="1564"/>
      <c r="Y33" s="3407"/>
      <c r="Z33" s="1565" t="str">
        <f t="shared" si="12"/>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407"/>
      <c r="Q34" s="1557" t="str">
        <f t="shared" si="8"/>
        <v>建筑结构</v>
      </c>
      <c r="R34" s="1558" t="s">
        <v>11</v>
      </c>
      <c r="S34" s="1559">
        <f t="shared" si="9"/>
        <v>100</v>
      </c>
      <c r="T34" s="1558" t="s">
        <v>11</v>
      </c>
      <c r="U34" s="1559">
        <f t="shared" si="10"/>
        <v>100</v>
      </c>
      <c r="V34" s="1558" t="s">
        <v>11</v>
      </c>
      <c r="W34" s="1559">
        <f t="shared" si="11"/>
        <v>100</v>
      </c>
      <c r="X34" s="1552"/>
      <c r="Y34" s="3407"/>
      <c r="Z34" s="1560" t="str">
        <f t="shared" si="12"/>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407"/>
      <c r="Q35" s="1557" t="str">
        <f t="shared" si="8"/>
        <v>建筑品质</v>
      </c>
      <c r="R35" s="1558" t="s">
        <v>11</v>
      </c>
      <c r="S35" s="1559">
        <f t="shared" si="9"/>
        <v>100</v>
      </c>
      <c r="T35" s="1558" t="s">
        <v>11</v>
      </c>
      <c r="U35" s="1559">
        <f t="shared" si="10"/>
        <v>100</v>
      </c>
      <c r="V35" s="1558" t="s">
        <v>11</v>
      </c>
      <c r="W35" s="1559">
        <f t="shared" si="11"/>
        <v>100</v>
      </c>
      <c r="X35" s="1552"/>
      <c r="Y35" s="3407"/>
      <c r="Z35" s="1560" t="str">
        <f t="shared" si="12"/>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407"/>
      <c r="Q36" s="1557" t="str">
        <f t="shared" si="8"/>
        <v>公共部分装修</v>
      </c>
      <c r="R36" s="1558" t="s">
        <v>11</v>
      </c>
      <c r="S36" s="1559">
        <f t="shared" si="9"/>
        <v>100</v>
      </c>
      <c r="T36" s="1558" t="s">
        <v>11</v>
      </c>
      <c r="U36" s="1559">
        <f t="shared" si="10"/>
        <v>100</v>
      </c>
      <c r="V36" s="1558" t="s">
        <v>11</v>
      </c>
      <c r="W36" s="1559">
        <f t="shared" si="11"/>
        <v>100</v>
      </c>
      <c r="X36" s="1552"/>
      <c r="Y36" s="3407"/>
      <c r="Z36" s="1560" t="str">
        <f t="shared" si="12"/>
        <v>公共部分装修</v>
      </c>
      <c r="AA36" s="1561">
        <f t="shared" si="3"/>
        <v>1</v>
      </c>
      <c r="AB36" s="1561">
        <f t="shared" si="4"/>
        <v>1</v>
      </c>
      <c r="AC36" s="1561">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407"/>
      <c r="Q37" s="1146" t="str">
        <f t="shared" si="8"/>
        <v>成新度</v>
      </c>
      <c r="R37" s="1553" t="s">
        <v>11</v>
      </c>
      <c r="S37" s="1554" t="e">
        <f t="shared" si="9"/>
        <v>#N/A</v>
      </c>
      <c r="T37" s="1553" t="s">
        <v>11</v>
      </c>
      <c r="U37" s="1554" t="e">
        <f t="shared" si="10"/>
        <v>#N/A</v>
      </c>
      <c r="V37" s="1553" t="s">
        <v>11</v>
      </c>
      <c r="W37" s="1554" t="e">
        <f t="shared" si="11"/>
        <v>#N/A</v>
      </c>
      <c r="X37" s="1555"/>
      <c r="Y37" s="3407"/>
      <c r="Z37" s="1145" t="str">
        <f t="shared" si="12"/>
        <v>成新度</v>
      </c>
      <c r="AA37" s="1556" t="e">
        <f t="shared" si="3"/>
        <v>#N/A</v>
      </c>
      <c r="AB37" s="1556" t="e">
        <f t="shared" si="4"/>
        <v>#N/A</v>
      </c>
      <c r="AC37" s="1556"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407" t="s">
        <v>550</v>
      </c>
      <c r="Q38" s="1557" t="str">
        <f t="shared" si="8"/>
        <v>物业管理</v>
      </c>
      <c r="R38" s="1558" t="s">
        <v>11</v>
      </c>
      <c r="S38" s="1559">
        <f t="shared" si="9"/>
        <v>100</v>
      </c>
      <c r="T38" s="1558" t="s">
        <v>11</v>
      </c>
      <c r="U38" s="1559">
        <f t="shared" si="10"/>
        <v>100</v>
      </c>
      <c r="V38" s="1558" t="s">
        <v>11</v>
      </c>
      <c r="W38" s="1559">
        <f t="shared" si="11"/>
        <v>100</v>
      </c>
      <c r="X38" s="1552"/>
      <c r="Y38" s="3407" t="s">
        <v>550</v>
      </c>
      <c r="Z38" s="1560" t="str">
        <f t="shared" si="12"/>
        <v>物业管理</v>
      </c>
      <c r="AA38" s="1561">
        <f t="shared" si="3"/>
        <v>1</v>
      </c>
      <c r="AB38" s="1561">
        <f t="shared" si="4"/>
        <v>1</v>
      </c>
      <c r="AC38" s="1561">
        <f t="shared" si="5"/>
        <v>1</v>
      </c>
    </row>
    <row r="39" spans="1:29" ht="15">
      <c r="A39" s="594"/>
      <c r="B39" s="1879"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407"/>
      <c r="Q39" s="1557" t="str">
        <f t="shared" si="8"/>
        <v>市政基础设施</v>
      </c>
      <c r="R39" s="1558" t="s">
        <v>11</v>
      </c>
      <c r="S39" s="1559">
        <f t="shared" si="9"/>
        <v>100</v>
      </c>
      <c r="T39" s="1558" t="s">
        <v>11</v>
      </c>
      <c r="U39" s="1559">
        <f t="shared" si="10"/>
        <v>100</v>
      </c>
      <c r="V39" s="1558" t="s">
        <v>11</v>
      </c>
      <c r="W39" s="1559">
        <f t="shared" si="11"/>
        <v>100</v>
      </c>
      <c r="X39" s="1552"/>
      <c r="Y39" s="3407"/>
      <c r="Z39" s="1560" t="str">
        <f t="shared" si="12"/>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07"/>
      <c r="Q40" s="1557" t="str">
        <f t="shared" si="8"/>
        <v>房型</v>
      </c>
      <c r="R40" s="1558" t="s">
        <v>11</v>
      </c>
      <c r="S40" s="1559">
        <f t="shared" si="9"/>
        <v>100</v>
      </c>
      <c r="T40" s="1558" t="s">
        <v>11</v>
      </c>
      <c r="U40" s="1559">
        <f t="shared" si="10"/>
        <v>100</v>
      </c>
      <c r="V40" s="1558" t="s">
        <v>11</v>
      </c>
      <c r="W40" s="1559">
        <f t="shared" si="11"/>
        <v>100</v>
      </c>
      <c r="X40" s="1552"/>
      <c r="Y40" s="3407"/>
      <c r="Z40" s="1560" t="str">
        <f t="shared" si="12"/>
        <v>房型</v>
      </c>
      <c r="AA40" s="1561">
        <f t="shared" si="3"/>
        <v>1</v>
      </c>
      <c r="AB40" s="1561">
        <f t="shared" si="4"/>
        <v>1</v>
      </c>
      <c r="AC40" s="1561">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07"/>
      <c r="Q41" s="1589" t="str">
        <f t="shared" si="8"/>
        <v>单套/主力户型建筑面积</v>
      </c>
      <c r="R41" s="1562" t="s">
        <v>11</v>
      </c>
      <c r="S41" s="1563">
        <f t="shared" si="9"/>
        <v>100</v>
      </c>
      <c r="T41" s="1562" t="s">
        <v>11</v>
      </c>
      <c r="U41" s="1563">
        <f t="shared" si="10"/>
        <v>100</v>
      </c>
      <c r="V41" s="1562" t="s">
        <v>11</v>
      </c>
      <c r="W41" s="1563">
        <f t="shared" si="11"/>
        <v>100</v>
      </c>
      <c r="X41" s="1564"/>
      <c r="Y41" s="3407"/>
      <c r="Z41" s="1565" t="str">
        <f t="shared" si="12"/>
        <v>单套/主力户型建筑面积</v>
      </c>
      <c r="AA41" s="1561">
        <f t="shared" si="3"/>
        <v>1</v>
      </c>
      <c r="AB41" s="1561">
        <f t="shared" si="4"/>
        <v>1</v>
      </c>
      <c r="AC41" s="1561">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407"/>
      <c r="Q42" s="1557" t="str">
        <f t="shared" si="8"/>
        <v>内部装修</v>
      </c>
      <c r="R42" s="1558" t="s">
        <v>11</v>
      </c>
      <c r="S42" s="1559">
        <f t="shared" si="9"/>
        <v>100</v>
      </c>
      <c r="T42" s="1558" t="s">
        <v>11</v>
      </c>
      <c r="U42" s="1559">
        <f t="shared" si="10"/>
        <v>100</v>
      </c>
      <c r="V42" s="1558" t="s">
        <v>11</v>
      </c>
      <c r="W42" s="1559">
        <f t="shared" si="11"/>
        <v>100</v>
      </c>
      <c r="X42" s="1552"/>
      <c r="Y42" s="3407"/>
      <c r="Z42" s="1560" t="str">
        <f t="shared" si="12"/>
        <v>内部装修</v>
      </c>
      <c r="AA42" s="1561">
        <f t="shared" si="3"/>
        <v>1</v>
      </c>
      <c r="AB42" s="1561">
        <f t="shared" si="4"/>
        <v>1</v>
      </c>
      <c r="AC42" s="1561">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07"/>
      <c r="Q43" s="1557" t="str">
        <f t="shared" si="8"/>
        <v>内部装修维护情况</v>
      </c>
      <c r="R43" s="1558" t="s">
        <v>11</v>
      </c>
      <c r="S43" s="1559">
        <f t="shared" si="9"/>
        <v>100</v>
      </c>
      <c r="T43" s="1558" t="s">
        <v>11</v>
      </c>
      <c r="U43" s="1559">
        <f t="shared" si="10"/>
        <v>100</v>
      </c>
      <c r="V43" s="1558" t="s">
        <v>11</v>
      </c>
      <c r="W43" s="1559">
        <f t="shared" si="11"/>
        <v>100</v>
      </c>
      <c r="X43" s="1552"/>
      <c r="Y43" s="3407"/>
      <c r="Z43" s="1560" t="str">
        <f t="shared" si="12"/>
        <v>内部装修维护情况</v>
      </c>
      <c r="AA43" s="1561">
        <f t="shared" si="3"/>
        <v>1</v>
      </c>
      <c r="AB43" s="1561">
        <f t="shared" si="4"/>
        <v>1</v>
      </c>
      <c r="AC43" s="1561">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07"/>
      <c r="Q44" s="1146">
        <f t="shared" si="8"/>
        <v>111</v>
      </c>
      <c r="R44" s="1553" t="s">
        <v>11</v>
      </c>
      <c r="S44" s="1554">
        <f t="shared" si="9"/>
        <v>100</v>
      </c>
      <c r="T44" s="1553" t="s">
        <v>11</v>
      </c>
      <c r="U44" s="1554">
        <f t="shared" si="10"/>
        <v>100</v>
      </c>
      <c r="V44" s="1553" t="s">
        <v>11</v>
      </c>
      <c r="W44" s="1554">
        <f t="shared" si="11"/>
        <v>100</v>
      </c>
      <c r="X44" s="1555"/>
      <c r="Y44" s="3407"/>
      <c r="Z44" s="1145">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07"/>
      <c r="Q45" s="1557">
        <f t="shared" si="8"/>
        <v>111</v>
      </c>
      <c r="R45" s="1558" t="s">
        <v>11</v>
      </c>
      <c r="S45" s="1559">
        <f t="shared" si="9"/>
        <v>100</v>
      </c>
      <c r="T45" s="1558" t="s">
        <v>11</v>
      </c>
      <c r="U45" s="1559">
        <f t="shared" si="10"/>
        <v>100</v>
      </c>
      <c r="V45" s="1558" t="s">
        <v>11</v>
      </c>
      <c r="W45" s="1559">
        <f t="shared" si="11"/>
        <v>100</v>
      </c>
      <c r="X45" s="1552"/>
      <c r="Y45" s="3407"/>
      <c r="Z45" s="1560">
        <f t="shared" si="12"/>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8"/>
      <c r="Q46" s="1557">
        <f t="shared" si="8"/>
        <v>111</v>
      </c>
      <c r="R46" s="1558" t="s">
        <v>10</v>
      </c>
      <c r="S46" s="1559">
        <f t="shared" si="9"/>
        <v>100</v>
      </c>
      <c r="T46" s="1558" t="s">
        <v>10</v>
      </c>
      <c r="U46" s="1559">
        <f t="shared" si="10"/>
        <v>100</v>
      </c>
      <c r="V46" s="1558" t="s">
        <v>10</v>
      </c>
      <c r="W46" s="1559">
        <f t="shared" si="11"/>
        <v>100</v>
      </c>
      <c r="X46" s="1552"/>
      <c r="Y46" s="3488"/>
      <c r="Z46" s="1560">
        <f t="shared" si="12"/>
        <v>111</v>
      </c>
      <c r="AA46" s="1561">
        <f t="shared" si="3"/>
        <v>1</v>
      </c>
      <c r="AB46" s="1561">
        <f t="shared" si="4"/>
        <v>1</v>
      </c>
      <c r="AC46" s="1561">
        <f t="shared" si="5"/>
        <v>1</v>
      </c>
    </row>
    <row r="47" spans="1:29" ht="15">
      <c r="A47" s="607" t="s">
        <v>736</v>
      </c>
      <c r="B47" s="887"/>
      <c r="C47" s="2590" t="s">
        <v>9</v>
      </c>
      <c r="D47" s="2591"/>
      <c r="E47" s="2592"/>
      <c r="F47" s="2593"/>
      <c r="G47" s="2594"/>
      <c r="H47" s="2595"/>
      <c r="I47" s="2592"/>
      <c r="J47" s="2595"/>
      <c r="K47" s="1590"/>
      <c r="L47" s="2128"/>
      <c r="M47" s="2129"/>
      <c r="N47" s="2118"/>
      <c r="O47" s="2129"/>
      <c r="P47" s="3370" t="str">
        <f>A47</f>
        <v>成交单价（元/平方米）</v>
      </c>
      <c r="Q47" s="3370"/>
      <c r="R47" s="3487">
        <f>E47</f>
        <v>0</v>
      </c>
      <c r="S47" s="3487"/>
      <c r="T47" s="3487">
        <f>G47</f>
        <v>0</v>
      </c>
      <c r="U47" s="3487"/>
      <c r="V47" s="3487">
        <f>I47</f>
        <v>0</v>
      </c>
      <c r="W47" s="3487"/>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1"/>
      <c r="L48" s="2128"/>
      <c r="M48" s="2129"/>
      <c r="N48" s="2129"/>
      <c r="O48" s="2129"/>
      <c r="P48" s="3370" t="str">
        <f>A48</f>
        <v>比较价格（元/平方米）</v>
      </c>
      <c r="Q48" s="3370"/>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4"/>
      <c r="Y48" s="1544"/>
      <c r="Z48" s="1544"/>
      <c r="AA48" s="1544"/>
      <c r="AB48" s="1544"/>
      <c r="AC48" s="1544"/>
    </row>
    <row r="49" spans="1:29" ht="15.75" thickBot="1">
      <c r="A49" s="621" t="s">
        <v>2935</v>
      </c>
      <c r="B49" s="622"/>
      <c r="C49" s="2599" t="e">
        <f>R49</f>
        <v>#DIV/0!</v>
      </c>
      <c r="D49" s="2599"/>
      <c r="E49" s="2599"/>
      <c r="F49" s="2599"/>
      <c r="G49" s="2599"/>
      <c r="H49" s="2599"/>
      <c r="I49" s="2599"/>
      <c r="J49" s="2599"/>
      <c r="K49" s="1592"/>
      <c r="L49" s="2128"/>
      <c r="M49" s="2129"/>
      <c r="N49" s="2129"/>
      <c r="O49" s="2129"/>
      <c r="P49" s="3367" t="str">
        <f>A49</f>
        <v>估价对象XX用房的比较价格（楼面单价，元/平方米）</v>
      </c>
      <c r="Q49" s="3368"/>
      <c r="R49" s="3486" t="e">
        <f>IF(F1="售价",ROUND(AVERAGE(R48:V48),0),ROUND(AVERAGE(R48:V48),1))</f>
        <v>#DIV/0!</v>
      </c>
      <c r="S49" s="3486"/>
      <c r="T49" s="3486"/>
      <c r="U49" s="3486"/>
      <c r="V49" s="3486"/>
      <c r="W49" s="348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8" t="str">
        <f>YEAR(C7)&amp;"-"&amp;MONTH(C7)</f>
        <v>2019-12</v>
      </c>
      <c r="D58" s="2758">
        <f>EDATE(C58,-1)</f>
        <v>43770</v>
      </c>
      <c r="E58" s="2758">
        <f t="shared" ref="E58:O58" si="13">EDATE(D58,-1)</f>
        <v>43739</v>
      </c>
      <c r="F58" s="2758">
        <f t="shared" si="13"/>
        <v>43709</v>
      </c>
      <c r="G58" s="2758">
        <f t="shared" si="13"/>
        <v>43678</v>
      </c>
      <c r="H58" s="2758">
        <f t="shared" si="13"/>
        <v>43647</v>
      </c>
      <c r="I58" s="2758">
        <f t="shared" si="13"/>
        <v>43617</v>
      </c>
      <c r="J58" s="2758">
        <f t="shared" si="13"/>
        <v>43586</v>
      </c>
      <c r="K58" s="2758">
        <f t="shared" si="13"/>
        <v>43556</v>
      </c>
      <c r="L58" s="2758">
        <f t="shared" si="13"/>
        <v>43525</v>
      </c>
      <c r="M58" s="2758">
        <f t="shared" si="13"/>
        <v>43497</v>
      </c>
      <c r="N58" s="2758">
        <f t="shared" si="13"/>
        <v>43466</v>
      </c>
      <c r="O58" s="2758">
        <f t="shared" si="13"/>
        <v>43435</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1880" t="s">
        <v>2257</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376" t="s">
        <v>522</v>
      </c>
      <c r="D4" s="3377"/>
      <c r="E4" s="3410" t="s">
        <v>523</v>
      </c>
      <c r="F4" s="3411"/>
      <c r="G4" s="3376" t="s">
        <v>524</v>
      </c>
      <c r="H4" s="3377"/>
      <c r="I4" s="3376" t="s">
        <v>525</v>
      </c>
      <c r="J4" s="3377"/>
      <c r="K4" s="514" t="s">
        <v>526</v>
      </c>
      <c r="L4" s="2117"/>
      <c r="M4" s="2118"/>
      <c r="N4" s="2118"/>
      <c r="O4" s="2118"/>
      <c r="P4" s="3378" t="s">
        <v>527</v>
      </c>
      <c r="Q4" s="3379"/>
      <c r="R4" s="3384" t="s">
        <v>523</v>
      </c>
      <c r="S4" s="3385"/>
      <c r="T4" s="3384" t="s">
        <v>524</v>
      </c>
      <c r="U4" s="3385"/>
      <c r="V4" s="3371" t="s">
        <v>525</v>
      </c>
      <c r="W4" s="3371"/>
      <c r="X4" s="1552"/>
      <c r="Y4" s="3384" t="s">
        <v>527</v>
      </c>
      <c r="Z4" s="3385"/>
      <c r="AA4" s="3373" t="s">
        <v>523</v>
      </c>
      <c r="AB4" s="3371" t="s">
        <v>524</v>
      </c>
      <c r="AC4" s="3373" t="s">
        <v>525</v>
      </c>
    </row>
    <row r="5" spans="1:29" ht="15">
      <c r="A5" s="515"/>
      <c r="B5" s="516"/>
      <c r="C5" s="3392" t="s">
        <v>2929</v>
      </c>
      <c r="D5" s="3393"/>
      <c r="E5" s="3412" t="s">
        <v>2930</v>
      </c>
      <c r="F5" s="3413"/>
      <c r="G5" s="3392" t="s">
        <v>2931</v>
      </c>
      <c r="H5" s="3393"/>
      <c r="I5" s="3392" t="s">
        <v>2932</v>
      </c>
      <c r="J5" s="3393"/>
      <c r="K5" s="514"/>
      <c r="L5" s="2117"/>
      <c r="M5" s="2118"/>
      <c r="N5" s="2118"/>
      <c r="O5" s="2118"/>
      <c r="P5" s="3380"/>
      <c r="Q5" s="3381"/>
      <c r="R5" s="3386"/>
      <c r="S5" s="3387"/>
      <c r="T5" s="3386"/>
      <c r="U5" s="3387"/>
      <c r="V5" s="3371"/>
      <c r="W5" s="3371"/>
      <c r="X5" s="1552"/>
      <c r="Y5" s="3386"/>
      <c r="Z5" s="3387"/>
      <c r="AA5" s="3374"/>
      <c r="AB5" s="3371"/>
      <c r="AC5" s="3374"/>
    </row>
    <row r="6" spans="1:29" ht="15.75" thickBot="1">
      <c r="A6" s="517"/>
      <c r="B6" s="518"/>
      <c r="C6" s="3390" t="s">
        <v>2933</v>
      </c>
      <c r="D6" s="3391"/>
      <c r="E6" s="3408" t="s">
        <v>2933</v>
      </c>
      <c r="F6" s="3409"/>
      <c r="G6" s="3390" t="s">
        <v>2933</v>
      </c>
      <c r="H6" s="3391"/>
      <c r="I6" s="3390" t="s">
        <v>2933</v>
      </c>
      <c r="J6" s="3391"/>
      <c r="K6" s="514" t="s">
        <v>528</v>
      </c>
      <c r="L6" s="2117"/>
      <c r="M6" s="2118"/>
      <c r="N6" s="2118"/>
      <c r="O6" s="2118"/>
      <c r="P6" s="3382"/>
      <c r="Q6" s="3383"/>
      <c r="R6" s="3386"/>
      <c r="S6" s="3387"/>
      <c r="T6" s="3388"/>
      <c r="U6" s="3389"/>
      <c r="V6" s="3371"/>
      <c r="W6" s="3371"/>
      <c r="X6" s="1552"/>
      <c r="Y6" s="3388"/>
      <c r="Z6" s="3389"/>
      <c r="AA6" s="3375"/>
      <c r="AB6" s="3371"/>
      <c r="AC6" s="3375"/>
    </row>
    <row r="7" spans="1:29" s="1215" customFormat="1" ht="15.75" thickBot="1">
      <c r="A7" s="2866"/>
      <c r="B7" s="2873" t="s">
        <v>529</v>
      </c>
      <c r="C7" s="519">
        <f>'数据-取费表'!B2</f>
        <v>43810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1" t="s">
        <v>530</v>
      </c>
      <c r="Q7" s="3403"/>
      <c r="R7" s="1553" t="s">
        <v>8</v>
      </c>
      <c r="S7" s="1554">
        <f t="shared" ref="S7:S15" si="0">F7</f>
        <v>0</v>
      </c>
      <c r="T7" s="1553" t="s">
        <v>8</v>
      </c>
      <c r="U7" s="1554">
        <f t="shared" ref="U7:U15" si="1">H7</f>
        <v>0</v>
      </c>
      <c r="V7" s="1553" t="s">
        <v>8</v>
      </c>
      <c r="W7" s="1554">
        <f t="shared" ref="W7:W15" si="2">J7</f>
        <v>0</v>
      </c>
      <c r="X7" s="1555"/>
      <c r="Y7" s="3401" t="s">
        <v>530</v>
      </c>
      <c r="Z7" s="3402"/>
      <c r="AA7" s="1556" t="e">
        <f>D7/F7</f>
        <v>#DIV/0!</v>
      </c>
      <c r="AB7" s="1556" t="e">
        <f>D7/H7</f>
        <v>#DIV/0!</v>
      </c>
      <c r="AC7" s="1556"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46" si="3">D8/F8</f>
        <v>#DIV/0!</v>
      </c>
      <c r="AB8" s="1556" t="e">
        <f t="shared" ref="AB8:AB46" si="4">D8/H8</f>
        <v>#DIV/0!</v>
      </c>
      <c r="AC8" s="1556" t="e">
        <f t="shared" ref="AC8:AC46" si="5">D8/J8</f>
        <v>#DIV/0!</v>
      </c>
    </row>
    <row r="9" spans="1:29" s="1215"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70" t="s">
        <v>535</v>
      </c>
      <c r="Q9" s="1146" t="str">
        <f t="shared" ref="Q9:Q15" si="6">B9</f>
        <v>用途</v>
      </c>
      <c r="R9" s="1553" t="s">
        <v>8</v>
      </c>
      <c r="S9" s="1554">
        <f t="shared" si="0"/>
        <v>100</v>
      </c>
      <c r="T9" s="1553" t="s">
        <v>8</v>
      </c>
      <c r="U9" s="1554">
        <f t="shared" si="1"/>
        <v>100</v>
      </c>
      <c r="V9" s="1553" t="s">
        <v>8</v>
      </c>
      <c r="W9" s="1554">
        <f t="shared" si="2"/>
        <v>100</v>
      </c>
      <c r="X9" s="1555"/>
      <c r="Y9" s="3316"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70"/>
      <c r="Q10" s="1146" t="str">
        <f t="shared" si="6"/>
        <v>土地使用年限（年）</v>
      </c>
      <c r="R10" s="1553" t="s">
        <v>8</v>
      </c>
      <c r="S10" s="1554">
        <f t="shared" si="0"/>
        <v>100</v>
      </c>
      <c r="T10" s="1553" t="s">
        <v>8</v>
      </c>
      <c r="U10" s="1554">
        <f t="shared" si="1"/>
        <v>100</v>
      </c>
      <c r="V10" s="1553" t="s">
        <v>8</v>
      </c>
      <c r="W10" s="1554">
        <f t="shared" si="2"/>
        <v>100</v>
      </c>
      <c r="X10" s="1555"/>
      <c r="Y10" s="3316"/>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70"/>
      <c r="Q11" s="1146" t="str">
        <f t="shared" si="6"/>
        <v>容积率</v>
      </c>
      <c r="R11" s="1553" t="s">
        <v>8</v>
      </c>
      <c r="S11" s="1554" t="e">
        <f t="shared" si="0"/>
        <v>#N/A</v>
      </c>
      <c r="T11" s="1553" t="s">
        <v>8</v>
      </c>
      <c r="U11" s="1554" t="e">
        <f t="shared" si="1"/>
        <v>#N/A</v>
      </c>
      <c r="V11" s="1553" t="s">
        <v>8</v>
      </c>
      <c r="W11" s="1554" t="e">
        <f t="shared" si="2"/>
        <v>#N/A</v>
      </c>
      <c r="X11" s="1555"/>
      <c r="Y11" s="331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70"/>
      <c r="Q12" s="1146">
        <f t="shared" si="6"/>
        <v>111</v>
      </c>
      <c r="R12" s="1553" t="s">
        <v>8</v>
      </c>
      <c r="S12" s="1554">
        <f t="shared" si="0"/>
        <v>100</v>
      </c>
      <c r="T12" s="1553" t="s">
        <v>8</v>
      </c>
      <c r="U12" s="1554">
        <f t="shared" si="1"/>
        <v>100</v>
      </c>
      <c r="V12" s="1553" t="s">
        <v>8</v>
      </c>
      <c r="W12" s="1554">
        <f t="shared" si="2"/>
        <v>100</v>
      </c>
      <c r="X12" s="1555"/>
      <c r="Y12" s="3316"/>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70"/>
      <c r="Q13" s="1146">
        <f t="shared" si="6"/>
        <v>111</v>
      </c>
      <c r="R13" s="1553" t="s">
        <v>8</v>
      </c>
      <c r="S13" s="1554">
        <f t="shared" si="0"/>
        <v>100</v>
      </c>
      <c r="T13" s="1553" t="s">
        <v>8</v>
      </c>
      <c r="U13" s="1554">
        <f t="shared" si="1"/>
        <v>100</v>
      </c>
      <c r="V13" s="1553" t="s">
        <v>8</v>
      </c>
      <c r="W13" s="1554">
        <f t="shared" si="2"/>
        <v>100</v>
      </c>
      <c r="X13" s="1555"/>
      <c r="Y13" s="3316"/>
      <c r="Z13" s="1145">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70"/>
      <c r="Q14" s="1146">
        <f t="shared" si="6"/>
        <v>111</v>
      </c>
      <c r="R14" s="1553" t="s">
        <v>8</v>
      </c>
      <c r="S14" s="1554">
        <f t="shared" si="0"/>
        <v>100</v>
      </c>
      <c r="T14" s="1553" t="s">
        <v>8</v>
      </c>
      <c r="U14" s="1554">
        <f t="shared" si="1"/>
        <v>100</v>
      </c>
      <c r="V14" s="1553" t="s">
        <v>8</v>
      </c>
      <c r="W14" s="1554">
        <f t="shared" si="2"/>
        <v>100</v>
      </c>
      <c r="X14" s="1555"/>
      <c r="Y14" s="3316"/>
      <c r="Z14" s="1145">
        <f t="shared" si="7"/>
        <v>111</v>
      </c>
      <c r="AA14" s="1556">
        <f t="shared" si="3"/>
        <v>1</v>
      </c>
      <c r="AB14" s="1556">
        <f t="shared" si="4"/>
        <v>1</v>
      </c>
      <c r="AC14" s="1556">
        <f t="shared" si="5"/>
        <v>1</v>
      </c>
    </row>
    <row r="15" spans="1:29" ht="71.25">
      <c r="A15" s="2864"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04" t="s">
        <v>540</v>
      </c>
      <c r="Q15" s="1557" t="str">
        <f t="shared" si="6"/>
        <v>商业繁华度</v>
      </c>
      <c r="R15" s="1558" t="s">
        <v>8</v>
      </c>
      <c r="S15" s="1559">
        <f t="shared" si="0"/>
        <v>100</v>
      </c>
      <c r="T15" s="1558" t="s">
        <v>8</v>
      </c>
      <c r="U15" s="1559">
        <f t="shared" si="1"/>
        <v>100</v>
      </c>
      <c r="V15" s="1558" t="s">
        <v>8</v>
      </c>
      <c r="W15" s="1559">
        <f t="shared" si="2"/>
        <v>100</v>
      </c>
      <c r="X15" s="1552"/>
      <c r="Y15" s="3404"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05"/>
      <c r="Q16" s="1557"/>
      <c r="R16" s="1558"/>
      <c r="S16" s="1559"/>
      <c r="T16" s="1558"/>
      <c r="U16" s="1559"/>
      <c r="V16" s="1558"/>
      <c r="W16" s="1559"/>
      <c r="X16" s="1552"/>
      <c r="Y16" s="3405"/>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2.75">
      <c r="A19" s="532"/>
      <c r="B19" s="2563"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5">
      <c r="A21" s="532"/>
      <c r="B21" s="2556"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D21/F21</f>
        <v>1</v>
      </c>
      <c r="AB21" s="1561">
        <f>D21/H21</f>
        <v>1</v>
      </c>
      <c r="AC21" s="1561">
        <f>D21/J21</f>
        <v>1</v>
      </c>
    </row>
    <row r="22" spans="1:29" ht="15">
      <c r="A22" s="532"/>
      <c r="B22" s="922"/>
      <c r="C22" s="873"/>
      <c r="D22" s="555"/>
      <c r="E22" s="576"/>
      <c r="F22" s="557"/>
      <c r="G22" s="576"/>
      <c r="H22" s="555"/>
      <c r="I22" s="576"/>
      <c r="J22" s="555"/>
      <c r="K22" s="2565"/>
      <c r="L22" s="2126"/>
      <c r="M22" s="2118"/>
      <c r="N22" s="2118"/>
      <c r="O22" s="2125"/>
      <c r="P22" s="3405"/>
      <c r="Q22" s="2542"/>
      <c r="R22" s="1558"/>
      <c r="S22" s="1559"/>
      <c r="T22" s="1558"/>
      <c r="U22" s="1559"/>
      <c r="V22" s="1558"/>
      <c r="W22" s="1559"/>
      <c r="X22" s="2544"/>
      <c r="Y22" s="3405"/>
      <c r="Z22" s="2543"/>
      <c r="AA22" s="1561">
        <v>1</v>
      </c>
      <c r="AB22" s="1561">
        <v>1</v>
      </c>
      <c r="AC22" s="1561">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05"/>
      <c r="Q23" s="1557" t="str">
        <f>B23</f>
        <v>自然及人文环境</v>
      </c>
      <c r="R23" s="1558" t="s">
        <v>8</v>
      </c>
      <c r="S23" s="1559">
        <f>F23</f>
        <v>100</v>
      </c>
      <c r="T23" s="1558" t="s">
        <v>8</v>
      </c>
      <c r="U23" s="1559">
        <f>H23</f>
        <v>100</v>
      </c>
      <c r="V23" s="1558" t="s">
        <v>8</v>
      </c>
      <c r="W23" s="1559">
        <f>J23</f>
        <v>100</v>
      </c>
      <c r="X23" s="1552"/>
      <c r="Y23" s="3405"/>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05"/>
      <c r="Q25" s="1557" t="str">
        <f t="shared" ref="Q25:Q46" si="8">B25</f>
        <v>临街状况</v>
      </c>
      <c r="R25" s="1558" t="s">
        <v>8</v>
      </c>
      <c r="S25" s="1559">
        <f>F25</f>
        <v>100</v>
      </c>
      <c r="T25" s="1558" t="s">
        <v>8</v>
      </c>
      <c r="U25" s="1559">
        <f>H25</f>
        <v>100</v>
      </c>
      <c r="V25" s="1558" t="s">
        <v>8</v>
      </c>
      <c r="W25" s="1559">
        <f>J25</f>
        <v>100</v>
      </c>
      <c r="X25" s="1552"/>
      <c r="Y25" s="3405"/>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05"/>
      <c r="Q26" s="1557" t="str">
        <f t="shared" si="8"/>
        <v>平面位置/可视性</v>
      </c>
      <c r="R26" s="1558" t="s">
        <v>8</v>
      </c>
      <c r="S26" s="1559">
        <f>F26</f>
        <v>100</v>
      </c>
      <c r="T26" s="1558" t="s">
        <v>8</v>
      </c>
      <c r="U26" s="1559">
        <f>H26</f>
        <v>100</v>
      </c>
      <c r="V26" s="1558" t="s">
        <v>8</v>
      </c>
      <c r="W26" s="1559">
        <f>J26</f>
        <v>100</v>
      </c>
      <c r="X26" s="1552"/>
      <c r="Y26" s="3405"/>
      <c r="Z26" s="1560" t="str">
        <f>Q26</f>
        <v>平面位置/可视性</v>
      </c>
      <c r="AA26" s="1561">
        <f t="shared" si="3"/>
        <v>1</v>
      </c>
      <c r="AB26" s="1561">
        <f t="shared" si="4"/>
        <v>1</v>
      </c>
      <c r="AC26" s="1561">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05"/>
      <c r="Q27" s="1146" t="str">
        <f t="shared" si="8"/>
        <v>人流量</v>
      </c>
      <c r="R27" s="1553" t="s">
        <v>8</v>
      </c>
      <c r="S27" s="1554">
        <f>F27</f>
        <v>100</v>
      </c>
      <c r="T27" s="1553" t="s">
        <v>8</v>
      </c>
      <c r="U27" s="1554">
        <f>H27</f>
        <v>100</v>
      </c>
      <c r="V27" s="1553" t="s">
        <v>8</v>
      </c>
      <c r="W27" s="1554">
        <f>J27</f>
        <v>100</v>
      </c>
      <c r="X27" s="1555"/>
      <c r="Y27" s="3405"/>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05"/>
      <c r="Q28" s="1557" t="str">
        <f t="shared" si="8"/>
        <v>楼层</v>
      </c>
      <c r="R28" s="1558" t="s">
        <v>8</v>
      </c>
      <c r="S28" s="1559">
        <f t="shared" ref="S28:S46" si="9">F28</f>
        <v>100</v>
      </c>
      <c r="T28" s="1558" t="s">
        <v>8</v>
      </c>
      <c r="U28" s="1559">
        <f t="shared" ref="U28:U46" si="10">H28</f>
        <v>100</v>
      </c>
      <c r="V28" s="1558" t="s">
        <v>8</v>
      </c>
      <c r="W28" s="1559">
        <f t="shared" ref="W28:W46" si="11">J28</f>
        <v>100</v>
      </c>
      <c r="X28" s="1552"/>
      <c r="Y28" s="3405"/>
      <c r="Z28" s="1560" t="str">
        <f t="shared" ref="Z28:Z46" si="12">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05"/>
      <c r="Q29" s="1557">
        <f t="shared" si="8"/>
        <v>111</v>
      </c>
      <c r="R29" s="1558" t="s">
        <v>8</v>
      </c>
      <c r="S29" s="1559">
        <f t="shared" si="9"/>
        <v>100</v>
      </c>
      <c r="T29" s="1558" t="s">
        <v>8</v>
      </c>
      <c r="U29" s="1559">
        <f t="shared" si="10"/>
        <v>100</v>
      </c>
      <c r="V29" s="1558" t="s">
        <v>8</v>
      </c>
      <c r="W29" s="1559">
        <f t="shared" si="11"/>
        <v>100</v>
      </c>
      <c r="X29" s="1552"/>
      <c r="Y29" s="3405"/>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05"/>
      <c r="Q30" s="1557">
        <f t="shared" si="8"/>
        <v>111</v>
      </c>
      <c r="R30" s="1558" t="s">
        <v>8</v>
      </c>
      <c r="S30" s="1559">
        <f t="shared" si="9"/>
        <v>100</v>
      </c>
      <c r="T30" s="1558" t="s">
        <v>8</v>
      </c>
      <c r="U30" s="1559">
        <f t="shared" si="10"/>
        <v>100</v>
      </c>
      <c r="V30" s="1558" t="s">
        <v>8</v>
      </c>
      <c r="W30" s="1559">
        <f t="shared" si="11"/>
        <v>100</v>
      </c>
      <c r="X30" s="1552"/>
      <c r="Y30" s="3405"/>
      <c r="Z30" s="1560">
        <f t="shared" si="12"/>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05"/>
      <c r="Q31" s="1557">
        <f t="shared" si="8"/>
        <v>111</v>
      </c>
      <c r="R31" s="1558" t="s">
        <v>8</v>
      </c>
      <c r="S31" s="1559">
        <f t="shared" si="9"/>
        <v>100</v>
      </c>
      <c r="T31" s="1558" t="s">
        <v>8</v>
      </c>
      <c r="U31" s="1559">
        <f t="shared" si="10"/>
        <v>100</v>
      </c>
      <c r="V31" s="1558" t="s">
        <v>8</v>
      </c>
      <c r="W31" s="1559">
        <f t="shared" si="11"/>
        <v>100</v>
      </c>
      <c r="X31" s="1552"/>
      <c r="Y31" s="3405"/>
      <c r="Z31" s="1560">
        <f t="shared" si="12"/>
        <v>111</v>
      </c>
      <c r="AA31" s="1561">
        <f t="shared" si="3"/>
        <v>1</v>
      </c>
      <c r="AB31" s="1561">
        <f t="shared" si="4"/>
        <v>1</v>
      </c>
      <c r="AC31" s="1561">
        <f t="shared" si="5"/>
        <v>1</v>
      </c>
    </row>
    <row r="32" spans="1:29" ht="15">
      <c r="A32" s="2861"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06" t="s">
        <v>550</v>
      </c>
      <c r="Q32" s="1557" t="str">
        <f t="shared" si="8"/>
        <v>商业类型</v>
      </c>
      <c r="R32" s="1558" t="s">
        <v>8</v>
      </c>
      <c r="S32" s="1559">
        <f t="shared" si="9"/>
        <v>100</v>
      </c>
      <c r="T32" s="1558" t="s">
        <v>8</v>
      </c>
      <c r="U32" s="1559">
        <f t="shared" si="10"/>
        <v>100</v>
      </c>
      <c r="V32" s="1558" t="s">
        <v>8</v>
      </c>
      <c r="W32" s="1559">
        <f t="shared" si="11"/>
        <v>100</v>
      </c>
      <c r="X32" s="1552"/>
      <c r="Y32" s="3407" t="s">
        <v>550</v>
      </c>
      <c r="Z32" s="1560" t="str">
        <f t="shared" si="12"/>
        <v>商业类型</v>
      </c>
      <c r="AA32" s="1561">
        <f t="shared" si="3"/>
        <v>1</v>
      </c>
      <c r="AB32" s="1561">
        <f t="shared" si="4"/>
        <v>1</v>
      </c>
      <c r="AC32" s="1561">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07"/>
      <c r="Q33" s="1589" t="str">
        <f t="shared" si="8"/>
        <v>项目建筑规模</v>
      </c>
      <c r="R33" s="1562" t="s">
        <v>8</v>
      </c>
      <c r="S33" s="1563" t="e">
        <f t="shared" si="9"/>
        <v>#N/A</v>
      </c>
      <c r="T33" s="1562" t="s">
        <v>8</v>
      </c>
      <c r="U33" s="1563" t="e">
        <f t="shared" si="10"/>
        <v>#N/A</v>
      </c>
      <c r="V33" s="1562" t="s">
        <v>8</v>
      </c>
      <c r="W33" s="1563" t="e">
        <f t="shared" si="11"/>
        <v>#N/A</v>
      </c>
      <c r="X33" s="1564"/>
      <c r="Y33" s="3407"/>
      <c r="Z33" s="1565" t="str">
        <f t="shared" si="12"/>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07"/>
      <c r="Q34" s="1557" t="str">
        <f t="shared" si="8"/>
        <v>建筑结构</v>
      </c>
      <c r="R34" s="1558" t="s">
        <v>8</v>
      </c>
      <c r="S34" s="1559">
        <f t="shared" si="9"/>
        <v>100</v>
      </c>
      <c r="T34" s="1558" t="s">
        <v>8</v>
      </c>
      <c r="U34" s="1559">
        <f t="shared" si="10"/>
        <v>100</v>
      </c>
      <c r="V34" s="1558" t="s">
        <v>8</v>
      </c>
      <c r="W34" s="1559">
        <f t="shared" si="11"/>
        <v>100</v>
      </c>
      <c r="X34" s="1552"/>
      <c r="Y34" s="3407"/>
      <c r="Z34" s="1560" t="str">
        <f t="shared" si="12"/>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07"/>
      <c r="Q35" s="1557" t="str">
        <f t="shared" si="8"/>
        <v>公共部分装修</v>
      </c>
      <c r="R35" s="1558" t="s">
        <v>8</v>
      </c>
      <c r="S35" s="1559">
        <f t="shared" si="9"/>
        <v>100</v>
      </c>
      <c r="T35" s="1558" t="s">
        <v>8</v>
      </c>
      <c r="U35" s="1559">
        <f t="shared" si="10"/>
        <v>100</v>
      </c>
      <c r="V35" s="1558" t="s">
        <v>8</v>
      </c>
      <c r="W35" s="1559">
        <f t="shared" si="11"/>
        <v>100</v>
      </c>
      <c r="X35" s="1552"/>
      <c r="Y35" s="3407"/>
      <c r="Z35" s="1560" t="str">
        <f t="shared" si="12"/>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07"/>
      <c r="Q36" s="1557" t="str">
        <f t="shared" si="8"/>
        <v>成新度</v>
      </c>
      <c r="R36" s="1558" t="s">
        <v>8</v>
      </c>
      <c r="S36" s="1559" t="e">
        <f t="shared" si="9"/>
        <v>#N/A</v>
      </c>
      <c r="T36" s="1558" t="s">
        <v>8</v>
      </c>
      <c r="U36" s="1559" t="e">
        <f t="shared" si="10"/>
        <v>#N/A</v>
      </c>
      <c r="V36" s="1558" t="s">
        <v>8</v>
      </c>
      <c r="W36" s="1559" t="e">
        <f t="shared" si="11"/>
        <v>#N/A</v>
      </c>
      <c r="X36" s="1552"/>
      <c r="Y36" s="3407"/>
      <c r="Z36" s="1560" t="str">
        <f t="shared" si="12"/>
        <v>成新度</v>
      </c>
      <c r="AA36" s="1561" t="e">
        <f t="shared" si="3"/>
        <v>#N/A</v>
      </c>
      <c r="AB36" s="1561" t="e">
        <f t="shared" si="4"/>
        <v>#N/A</v>
      </c>
      <c r="AC36" s="1561" t="e">
        <f t="shared" si="5"/>
        <v>#N/A</v>
      </c>
    </row>
    <row r="37" spans="1:29" s="1215"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07"/>
      <c r="Q37" s="1146" t="str">
        <f t="shared" si="8"/>
        <v>市政基础设施</v>
      </c>
      <c r="R37" s="1553" t="s">
        <v>8</v>
      </c>
      <c r="S37" s="1554">
        <f t="shared" si="9"/>
        <v>100</v>
      </c>
      <c r="T37" s="1553" t="s">
        <v>8</v>
      </c>
      <c r="U37" s="1554">
        <f t="shared" si="10"/>
        <v>100</v>
      </c>
      <c r="V37" s="1553" t="s">
        <v>8</v>
      </c>
      <c r="W37" s="1554">
        <f t="shared" si="11"/>
        <v>100</v>
      </c>
      <c r="X37" s="1555"/>
      <c r="Y37" s="3407"/>
      <c r="Z37" s="1145" t="str">
        <f t="shared" si="12"/>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07" t="s">
        <v>766</v>
      </c>
      <c r="Q38" s="1557" t="str">
        <f t="shared" si="8"/>
        <v>业态</v>
      </c>
      <c r="R38" s="1558" t="s">
        <v>8</v>
      </c>
      <c r="S38" s="1559">
        <f t="shared" si="9"/>
        <v>100</v>
      </c>
      <c r="T38" s="1558" t="s">
        <v>8</v>
      </c>
      <c r="U38" s="1559">
        <f t="shared" si="10"/>
        <v>100</v>
      </c>
      <c r="V38" s="1558" t="s">
        <v>8</v>
      </c>
      <c r="W38" s="1559">
        <f t="shared" si="11"/>
        <v>100</v>
      </c>
      <c r="X38" s="1552"/>
      <c r="Y38" s="3407" t="s">
        <v>766</v>
      </c>
      <c r="Z38" s="1560" t="str">
        <f t="shared" si="12"/>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7"/>
      <c r="Q39" s="1557" t="str">
        <f t="shared" si="8"/>
        <v>层高</v>
      </c>
      <c r="R39" s="1558" t="s">
        <v>8</v>
      </c>
      <c r="S39" s="1559">
        <f t="shared" si="9"/>
        <v>100</v>
      </c>
      <c r="T39" s="1558" t="s">
        <v>8</v>
      </c>
      <c r="U39" s="1559">
        <f t="shared" si="10"/>
        <v>100</v>
      </c>
      <c r="V39" s="1558" t="s">
        <v>8</v>
      </c>
      <c r="W39" s="1559">
        <f t="shared" si="11"/>
        <v>100</v>
      </c>
      <c r="X39" s="1552"/>
      <c r="Y39" s="3407"/>
      <c r="Z39" s="1560" t="str">
        <f t="shared" si="12"/>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07"/>
      <c r="Q40" s="1557" t="str">
        <f t="shared" si="8"/>
        <v>单套建筑面积</v>
      </c>
      <c r="R40" s="1558" t="s">
        <v>8</v>
      </c>
      <c r="S40" s="1559">
        <f t="shared" si="9"/>
        <v>100</v>
      </c>
      <c r="T40" s="1558" t="s">
        <v>8</v>
      </c>
      <c r="U40" s="1559">
        <f t="shared" si="10"/>
        <v>100</v>
      </c>
      <c r="V40" s="1558" t="s">
        <v>8</v>
      </c>
      <c r="W40" s="1559">
        <f t="shared" si="11"/>
        <v>100</v>
      </c>
      <c r="X40" s="1552"/>
      <c r="Y40" s="3407"/>
      <c r="Z40" s="1560" t="str">
        <f t="shared" si="12"/>
        <v>单套建筑面积</v>
      </c>
      <c r="AA40" s="1561">
        <f t="shared" si="3"/>
        <v>1</v>
      </c>
      <c r="AB40" s="1561">
        <f t="shared" si="4"/>
        <v>1</v>
      </c>
      <c r="AC40" s="1561">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07"/>
      <c r="Q41" s="1589" t="str">
        <f t="shared" si="8"/>
        <v>进深比</v>
      </c>
      <c r="R41" s="1562" t="s">
        <v>8</v>
      </c>
      <c r="S41" s="1563">
        <f t="shared" si="9"/>
        <v>100</v>
      </c>
      <c r="T41" s="1562" t="s">
        <v>8</v>
      </c>
      <c r="U41" s="1563">
        <f t="shared" si="10"/>
        <v>100</v>
      </c>
      <c r="V41" s="1562" t="s">
        <v>8</v>
      </c>
      <c r="W41" s="1563">
        <f t="shared" si="11"/>
        <v>100</v>
      </c>
      <c r="X41" s="1564"/>
      <c r="Y41" s="3407"/>
      <c r="Z41" s="1565" t="str">
        <f t="shared" si="12"/>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07"/>
      <c r="Q42" s="1557" t="str">
        <f t="shared" si="8"/>
        <v>内部装修</v>
      </c>
      <c r="R42" s="1558" t="s">
        <v>8</v>
      </c>
      <c r="S42" s="1559">
        <f t="shared" si="9"/>
        <v>100</v>
      </c>
      <c r="T42" s="1558" t="s">
        <v>8</v>
      </c>
      <c r="U42" s="1559">
        <f t="shared" si="10"/>
        <v>100</v>
      </c>
      <c r="V42" s="1558" t="s">
        <v>8</v>
      </c>
      <c r="W42" s="1559">
        <f t="shared" si="11"/>
        <v>100</v>
      </c>
      <c r="X42" s="1552"/>
      <c r="Y42" s="3407"/>
      <c r="Z42" s="1560" t="str">
        <f t="shared" si="12"/>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07"/>
      <c r="Q43" s="1557" t="str">
        <f t="shared" si="8"/>
        <v>内部装修维护情况</v>
      </c>
      <c r="R43" s="1558" t="s">
        <v>8</v>
      </c>
      <c r="S43" s="1559">
        <f t="shared" si="9"/>
        <v>100</v>
      </c>
      <c r="T43" s="1558" t="s">
        <v>8</v>
      </c>
      <c r="U43" s="1559">
        <f t="shared" si="10"/>
        <v>100</v>
      </c>
      <c r="V43" s="1558" t="s">
        <v>8</v>
      </c>
      <c r="W43" s="1559">
        <f t="shared" si="11"/>
        <v>100</v>
      </c>
      <c r="X43" s="1552"/>
      <c r="Y43" s="3407"/>
      <c r="Z43" s="1560" t="str">
        <f t="shared" si="12"/>
        <v>内部装修维护情况</v>
      </c>
      <c r="AA43" s="1561">
        <f t="shared" si="3"/>
        <v>1</v>
      </c>
      <c r="AB43" s="1561">
        <f t="shared" si="4"/>
        <v>1</v>
      </c>
      <c r="AC43" s="1561">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07"/>
      <c r="Q44" s="1146">
        <f t="shared" si="8"/>
        <v>111</v>
      </c>
      <c r="R44" s="1553" t="s">
        <v>8</v>
      </c>
      <c r="S44" s="1554">
        <f t="shared" si="9"/>
        <v>100</v>
      </c>
      <c r="T44" s="1553" t="s">
        <v>8</v>
      </c>
      <c r="U44" s="1554">
        <f t="shared" si="10"/>
        <v>100</v>
      </c>
      <c r="V44" s="1553" t="s">
        <v>8</v>
      </c>
      <c r="W44" s="1554">
        <f t="shared" si="11"/>
        <v>100</v>
      </c>
      <c r="X44" s="1555"/>
      <c r="Y44" s="3407"/>
      <c r="Z44" s="1145">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07"/>
      <c r="Q45" s="1557">
        <f t="shared" si="8"/>
        <v>111</v>
      </c>
      <c r="R45" s="1558" t="s">
        <v>8</v>
      </c>
      <c r="S45" s="1559">
        <f t="shared" si="9"/>
        <v>100</v>
      </c>
      <c r="T45" s="1558" t="s">
        <v>8</v>
      </c>
      <c r="U45" s="1559">
        <f t="shared" si="10"/>
        <v>100</v>
      </c>
      <c r="V45" s="1558" t="s">
        <v>8</v>
      </c>
      <c r="W45" s="1559">
        <f t="shared" si="11"/>
        <v>100</v>
      </c>
      <c r="X45" s="1552"/>
      <c r="Y45" s="3407"/>
      <c r="Z45" s="1560">
        <f t="shared" si="12"/>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88"/>
      <c r="Q46" s="1557">
        <f t="shared" si="8"/>
        <v>111</v>
      </c>
      <c r="R46" s="1558" t="s">
        <v>8</v>
      </c>
      <c r="S46" s="1559">
        <f t="shared" si="9"/>
        <v>100</v>
      </c>
      <c r="T46" s="1558" t="s">
        <v>8</v>
      </c>
      <c r="U46" s="1559">
        <f t="shared" si="10"/>
        <v>100</v>
      </c>
      <c r="V46" s="1558" t="s">
        <v>8</v>
      </c>
      <c r="W46" s="1559">
        <f t="shared" si="11"/>
        <v>100</v>
      </c>
      <c r="X46" s="1552"/>
      <c r="Y46" s="3488"/>
      <c r="Z46" s="1560">
        <f t="shared" si="12"/>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370" t="str">
        <f>A47</f>
        <v>成交单价（元/平方米）</v>
      </c>
      <c r="Q47" s="3370"/>
      <c r="R47" s="3487">
        <f>E47</f>
        <v>0</v>
      </c>
      <c r="S47" s="3487"/>
      <c r="T47" s="3487">
        <f>G47</f>
        <v>0</v>
      </c>
      <c r="U47" s="3487"/>
      <c r="V47" s="3487">
        <f>I47</f>
        <v>0</v>
      </c>
      <c r="W47" s="3487"/>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370" t="str">
        <f>A48</f>
        <v>比较价格（元/平方米）</v>
      </c>
      <c r="Q48" s="3370"/>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4"/>
      <c r="Y48" s="1544"/>
      <c r="Z48" s="1544"/>
      <c r="AA48" s="1544"/>
      <c r="AB48" s="1544"/>
      <c r="AC48" s="1544"/>
    </row>
    <row r="49" spans="1:29" ht="15.75" thickBot="1">
      <c r="A49" s="621" t="s">
        <v>2935</v>
      </c>
      <c r="B49" s="622"/>
      <c r="C49" s="2599" t="e">
        <f>R49</f>
        <v>#DIV/0!</v>
      </c>
      <c r="D49" s="2599"/>
      <c r="E49" s="2599"/>
      <c r="F49" s="2599"/>
      <c r="G49" s="2599"/>
      <c r="H49" s="2599"/>
      <c r="I49" s="2599"/>
      <c r="J49" s="2599"/>
      <c r="K49" s="1597"/>
      <c r="L49" s="2128"/>
      <c r="M49" s="2129"/>
      <c r="N49" s="2118"/>
      <c r="O49" s="2129"/>
      <c r="P49" s="3367" t="str">
        <f>A49</f>
        <v>估价对象XX用房的比较价格（楼面单价，元/平方米）</v>
      </c>
      <c r="Q49" s="3368"/>
      <c r="R49" s="3486" t="e">
        <f>IF(F1="售价",ROUND(AVERAGE(R48:V48),0),ROUND(AVERAGE(R48:V48),1))</f>
        <v>#DIV/0!</v>
      </c>
      <c r="S49" s="3486"/>
      <c r="T49" s="3486"/>
      <c r="U49" s="3486"/>
      <c r="V49" s="3486"/>
      <c r="W49" s="348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5" t="s">
        <v>529</v>
      </c>
      <c r="B58" s="646"/>
      <c r="C58" s="2756" t="str">
        <f>YEAR(C7)&amp;"-"&amp;MONTH(C7)</f>
        <v>2019-12</v>
      </c>
      <c r="D58" s="2758">
        <f>EDATE(C58,-1)</f>
        <v>43770</v>
      </c>
      <c r="E58" s="2758">
        <f t="shared" ref="E58:O58" si="13">EDATE(D58,-1)</f>
        <v>43739</v>
      </c>
      <c r="F58" s="2758">
        <f t="shared" si="13"/>
        <v>43709</v>
      </c>
      <c r="G58" s="2758">
        <f t="shared" si="13"/>
        <v>43678</v>
      </c>
      <c r="H58" s="2758">
        <f t="shared" si="13"/>
        <v>43647</v>
      </c>
      <c r="I58" s="2758">
        <f t="shared" si="13"/>
        <v>43617</v>
      </c>
      <c r="J58" s="2758">
        <f t="shared" si="13"/>
        <v>43586</v>
      </c>
      <c r="K58" s="2758">
        <f t="shared" si="13"/>
        <v>43556</v>
      </c>
      <c r="L58" s="2758">
        <f t="shared" si="13"/>
        <v>43525</v>
      </c>
      <c r="M58" s="2758">
        <f t="shared" si="13"/>
        <v>43497</v>
      </c>
      <c r="N58" s="2758">
        <f t="shared" si="13"/>
        <v>43466</v>
      </c>
      <c r="O58" s="2758">
        <f t="shared" si="13"/>
        <v>43435</v>
      </c>
      <c r="P58" s="2144"/>
      <c r="Q58" s="2145"/>
      <c r="R58" s="2145"/>
      <c r="S58" s="2145"/>
      <c r="T58" s="2145"/>
      <c r="U58" s="2145"/>
      <c r="V58" s="2145"/>
      <c r="W58" s="2145"/>
      <c r="X58" s="2145"/>
      <c r="Y58" s="2145"/>
      <c r="Z58" s="2145"/>
      <c r="AA58" s="2145"/>
      <c r="AB58" s="2145"/>
      <c r="AC58" s="2145"/>
    </row>
    <row r="59" spans="1:29" s="1215"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376" t="s">
        <v>522</v>
      </c>
      <c r="D4" s="3377"/>
      <c r="E4" s="3410" t="s">
        <v>523</v>
      </c>
      <c r="F4" s="3411"/>
      <c r="G4" s="3376" t="s">
        <v>524</v>
      </c>
      <c r="H4" s="3377"/>
      <c r="I4" s="3376" t="s">
        <v>525</v>
      </c>
      <c r="J4" s="3377"/>
      <c r="K4" s="514" t="s">
        <v>526</v>
      </c>
      <c r="L4" s="2117"/>
      <c r="M4" s="2118"/>
      <c r="N4" s="2118"/>
      <c r="O4" s="2118"/>
      <c r="P4" s="3490" t="s">
        <v>527</v>
      </c>
      <c r="Q4" s="3379"/>
      <c r="R4" s="3384" t="s">
        <v>523</v>
      </c>
      <c r="S4" s="3385"/>
      <c r="T4" s="3384" t="s">
        <v>524</v>
      </c>
      <c r="U4" s="3385"/>
      <c r="V4" s="3371" t="s">
        <v>525</v>
      </c>
      <c r="W4" s="3371"/>
      <c r="X4" s="1552"/>
      <c r="Y4" s="3384" t="s">
        <v>527</v>
      </c>
      <c r="Z4" s="3385"/>
      <c r="AA4" s="3373" t="s">
        <v>523</v>
      </c>
      <c r="AB4" s="3373" t="s">
        <v>524</v>
      </c>
      <c r="AC4" s="3373" t="s">
        <v>525</v>
      </c>
    </row>
    <row r="5" spans="1:29" ht="15">
      <c r="A5" s="515"/>
      <c r="B5" s="516"/>
      <c r="C5" s="3392" t="s">
        <v>2929</v>
      </c>
      <c r="D5" s="3393"/>
      <c r="E5" s="3412" t="s">
        <v>2930</v>
      </c>
      <c r="F5" s="3413"/>
      <c r="G5" s="3392" t="s">
        <v>2931</v>
      </c>
      <c r="H5" s="3393"/>
      <c r="I5" s="3392" t="s">
        <v>2932</v>
      </c>
      <c r="J5" s="3393"/>
      <c r="K5" s="514"/>
      <c r="L5" s="2117"/>
      <c r="M5" s="2118"/>
      <c r="N5" s="2118"/>
      <c r="O5" s="2118"/>
      <c r="P5" s="3491"/>
      <c r="Q5" s="3381"/>
      <c r="R5" s="3386"/>
      <c r="S5" s="3387"/>
      <c r="T5" s="3386"/>
      <c r="U5" s="3387"/>
      <c r="V5" s="3371"/>
      <c r="W5" s="3371"/>
      <c r="X5" s="1552"/>
      <c r="Y5" s="3386"/>
      <c r="Z5" s="3387"/>
      <c r="AA5" s="3374"/>
      <c r="AB5" s="3374"/>
      <c r="AC5" s="3374"/>
    </row>
    <row r="6" spans="1:29" ht="15.75" thickBot="1">
      <c r="A6" s="517"/>
      <c r="B6" s="518"/>
      <c r="C6" s="3390" t="s">
        <v>2933</v>
      </c>
      <c r="D6" s="3391"/>
      <c r="E6" s="3408" t="s">
        <v>2933</v>
      </c>
      <c r="F6" s="3409"/>
      <c r="G6" s="3390" t="s">
        <v>2933</v>
      </c>
      <c r="H6" s="3391"/>
      <c r="I6" s="3390" t="s">
        <v>2933</v>
      </c>
      <c r="J6" s="3391"/>
      <c r="K6" s="514" t="s">
        <v>528</v>
      </c>
      <c r="L6" s="2117"/>
      <c r="M6" s="2118"/>
      <c r="N6" s="2118"/>
      <c r="O6" s="2118"/>
      <c r="P6" s="3492"/>
      <c r="Q6" s="3383"/>
      <c r="R6" s="3386"/>
      <c r="S6" s="3387"/>
      <c r="T6" s="3388"/>
      <c r="U6" s="3389"/>
      <c r="V6" s="3371"/>
      <c r="W6" s="3371"/>
      <c r="X6" s="1552"/>
      <c r="Y6" s="3388"/>
      <c r="Z6" s="3389"/>
      <c r="AA6" s="3375"/>
      <c r="AB6" s="3375"/>
      <c r="AC6" s="3375"/>
    </row>
    <row r="7" spans="1:29" s="1215" customFormat="1" ht="15.75" thickBot="1">
      <c r="A7" s="2866"/>
      <c r="B7" s="2873" t="s">
        <v>529</v>
      </c>
      <c r="C7" s="519">
        <f>'数据-取费表'!B2</f>
        <v>43810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03" t="s">
        <v>530</v>
      </c>
      <c r="Q7" s="3403"/>
      <c r="R7" s="1553" t="s">
        <v>8</v>
      </c>
      <c r="S7" s="1554">
        <f t="shared" ref="S7:S15" si="0">F7</f>
        <v>0</v>
      </c>
      <c r="T7" s="1553" t="s">
        <v>8</v>
      </c>
      <c r="U7" s="1554">
        <f t="shared" ref="U7:U15" si="1">H7</f>
        <v>0</v>
      </c>
      <c r="V7" s="1553" t="s">
        <v>8</v>
      </c>
      <c r="W7" s="1554">
        <f t="shared" ref="W7:W15" si="2">J7</f>
        <v>0</v>
      </c>
      <c r="X7" s="1555"/>
      <c r="Y7" s="3401" t="s">
        <v>530</v>
      </c>
      <c r="Z7" s="3402"/>
      <c r="AA7" s="1556" t="e">
        <f>D7/F7</f>
        <v>#DIV/0!</v>
      </c>
      <c r="AB7" s="1556" t="e">
        <f>D7/H7</f>
        <v>#DIV/0!</v>
      </c>
      <c r="AC7" s="1556"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03" t="s">
        <v>533</v>
      </c>
      <c r="Q8" s="3402"/>
      <c r="R8" s="1553" t="s">
        <v>8</v>
      </c>
      <c r="S8" s="1554">
        <f t="shared" si="0"/>
        <v>0</v>
      </c>
      <c r="T8" s="1553" t="s">
        <v>8</v>
      </c>
      <c r="U8" s="1554">
        <f t="shared" si="1"/>
        <v>0</v>
      </c>
      <c r="V8" s="1553" t="s">
        <v>8</v>
      </c>
      <c r="W8" s="1554">
        <f t="shared" si="2"/>
        <v>0</v>
      </c>
      <c r="X8" s="1555"/>
      <c r="Y8" s="3401" t="s">
        <v>533</v>
      </c>
      <c r="Z8" s="3402"/>
      <c r="AA8" s="1556" t="e">
        <f t="shared" ref="AA8:AA47" si="3">D8/F8</f>
        <v>#DIV/0!</v>
      </c>
      <c r="AB8" s="1556" t="e">
        <f t="shared" ref="AB8:AB47" si="4">D8/H8</f>
        <v>#DIV/0!</v>
      </c>
      <c r="AC8" s="1556" t="e">
        <f t="shared" ref="AC8:AC47" si="5">D8/J8</f>
        <v>#DIV/0!</v>
      </c>
    </row>
    <row r="9" spans="1:29" s="1215"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70" t="s">
        <v>535</v>
      </c>
      <c r="Q9" s="1146" t="str">
        <f t="shared" ref="Q9:Q15" si="6">B9</f>
        <v>用途</v>
      </c>
      <c r="R9" s="1553" t="s">
        <v>8</v>
      </c>
      <c r="S9" s="1554">
        <f t="shared" si="0"/>
        <v>100</v>
      </c>
      <c r="T9" s="1553" t="s">
        <v>8</v>
      </c>
      <c r="U9" s="1554">
        <f t="shared" si="1"/>
        <v>100</v>
      </c>
      <c r="V9" s="1553" t="s">
        <v>8</v>
      </c>
      <c r="W9" s="1554">
        <f t="shared" si="2"/>
        <v>100</v>
      </c>
      <c r="X9" s="1555"/>
      <c r="Y9" s="3316"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70"/>
      <c r="Q10" s="1146" t="str">
        <f t="shared" si="6"/>
        <v>土地使用年限（年）</v>
      </c>
      <c r="R10" s="1553" t="s">
        <v>8</v>
      </c>
      <c r="S10" s="1554">
        <f t="shared" si="0"/>
        <v>100</v>
      </c>
      <c r="T10" s="1553" t="s">
        <v>8</v>
      </c>
      <c r="U10" s="1554">
        <f t="shared" si="1"/>
        <v>100</v>
      </c>
      <c r="V10" s="1553" t="s">
        <v>8</v>
      </c>
      <c r="W10" s="1554">
        <f t="shared" si="2"/>
        <v>100</v>
      </c>
      <c r="X10" s="1555"/>
      <c r="Y10" s="3316"/>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70"/>
      <c r="Q11" s="1146" t="str">
        <f t="shared" si="6"/>
        <v>容积率</v>
      </c>
      <c r="R11" s="1553" t="s">
        <v>8</v>
      </c>
      <c r="S11" s="1554" t="e">
        <f t="shared" si="0"/>
        <v>#N/A</v>
      </c>
      <c r="T11" s="1553" t="s">
        <v>8</v>
      </c>
      <c r="U11" s="1554" t="e">
        <f t="shared" si="1"/>
        <v>#N/A</v>
      </c>
      <c r="V11" s="1553" t="s">
        <v>8</v>
      </c>
      <c r="W11" s="1554" t="e">
        <f t="shared" si="2"/>
        <v>#N/A</v>
      </c>
      <c r="X11" s="1555"/>
      <c r="Y11" s="331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70"/>
      <c r="Q12" s="1146">
        <f t="shared" si="6"/>
        <v>111</v>
      </c>
      <c r="R12" s="1553" t="s">
        <v>8</v>
      </c>
      <c r="S12" s="1554">
        <f t="shared" si="0"/>
        <v>100</v>
      </c>
      <c r="T12" s="1553" t="s">
        <v>8</v>
      </c>
      <c r="U12" s="1554">
        <f t="shared" si="1"/>
        <v>100</v>
      </c>
      <c r="V12" s="1553" t="s">
        <v>8</v>
      </c>
      <c r="W12" s="1554">
        <f t="shared" si="2"/>
        <v>100</v>
      </c>
      <c r="X12" s="1555"/>
      <c r="Y12" s="3316"/>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70"/>
      <c r="Q13" s="1146">
        <f t="shared" si="6"/>
        <v>111</v>
      </c>
      <c r="R13" s="1553" t="s">
        <v>8</v>
      </c>
      <c r="S13" s="1554">
        <f t="shared" si="0"/>
        <v>100</v>
      </c>
      <c r="T13" s="1553" t="s">
        <v>8</v>
      </c>
      <c r="U13" s="1554">
        <f t="shared" si="1"/>
        <v>100</v>
      </c>
      <c r="V13" s="1553" t="s">
        <v>8</v>
      </c>
      <c r="W13" s="1554">
        <f t="shared" si="2"/>
        <v>100</v>
      </c>
      <c r="X13" s="1555"/>
      <c r="Y13" s="3316"/>
      <c r="Z13" s="1145">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70"/>
      <c r="Q14" s="1146">
        <f t="shared" si="6"/>
        <v>111</v>
      </c>
      <c r="R14" s="1553" t="s">
        <v>8</v>
      </c>
      <c r="S14" s="1554">
        <f t="shared" si="0"/>
        <v>100</v>
      </c>
      <c r="T14" s="1553" t="s">
        <v>8</v>
      </c>
      <c r="U14" s="1554">
        <f t="shared" si="1"/>
        <v>100</v>
      </c>
      <c r="V14" s="1553" t="s">
        <v>8</v>
      </c>
      <c r="W14" s="1554">
        <f t="shared" si="2"/>
        <v>100</v>
      </c>
      <c r="X14" s="1555"/>
      <c r="Y14" s="3316"/>
      <c r="Z14" s="1145">
        <f t="shared" si="7"/>
        <v>111</v>
      </c>
      <c r="AA14" s="1556">
        <f t="shared" si="3"/>
        <v>1</v>
      </c>
      <c r="AB14" s="1556">
        <f t="shared" si="4"/>
        <v>1</v>
      </c>
      <c r="AC14" s="1556">
        <f t="shared" si="5"/>
        <v>1</v>
      </c>
    </row>
    <row r="15" spans="1:29" ht="71.25">
      <c r="A15" s="2864"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04" t="s">
        <v>540</v>
      </c>
      <c r="Q15" s="1557" t="str">
        <f t="shared" si="6"/>
        <v>办公集聚程度</v>
      </c>
      <c r="R15" s="1558" t="s">
        <v>8</v>
      </c>
      <c r="S15" s="1559">
        <f t="shared" si="0"/>
        <v>100</v>
      </c>
      <c r="T15" s="1558" t="s">
        <v>8</v>
      </c>
      <c r="U15" s="1559">
        <f t="shared" si="1"/>
        <v>100</v>
      </c>
      <c r="V15" s="1558" t="s">
        <v>8</v>
      </c>
      <c r="W15" s="1559">
        <f t="shared" si="2"/>
        <v>100</v>
      </c>
      <c r="X15" s="1552"/>
      <c r="Y15" s="3404"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05"/>
      <c r="Q16" s="1557"/>
      <c r="R16" s="1558"/>
      <c r="S16" s="1559"/>
      <c r="T16" s="1558"/>
      <c r="U16" s="1559"/>
      <c r="V16" s="1558"/>
      <c r="W16" s="1559"/>
      <c r="X16" s="1552"/>
      <c r="Y16" s="3405"/>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05"/>
      <c r="Q18" s="1557"/>
      <c r="R18" s="1558"/>
      <c r="S18" s="1559"/>
      <c r="T18" s="1558"/>
      <c r="U18" s="1559"/>
      <c r="V18" s="1558"/>
      <c r="W18" s="1559"/>
      <c r="X18" s="1552"/>
      <c r="Y18" s="3405"/>
      <c r="Z18" s="1560"/>
      <c r="AA18" s="1561">
        <v>1</v>
      </c>
      <c r="AB18" s="1561">
        <v>1</v>
      </c>
      <c r="AC18" s="1561">
        <v>1</v>
      </c>
    </row>
    <row r="19" spans="1:29" ht="42.75">
      <c r="A19" s="532"/>
      <c r="B19" s="2566"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05"/>
      <c r="Q20" s="1557"/>
      <c r="R20" s="1558"/>
      <c r="S20" s="1559"/>
      <c r="T20" s="1558"/>
      <c r="U20" s="1559"/>
      <c r="V20" s="1558"/>
      <c r="W20" s="1559"/>
      <c r="X20" s="1552"/>
      <c r="Y20" s="3405"/>
      <c r="Z20" s="1560"/>
      <c r="AA20" s="1561">
        <v>1</v>
      </c>
      <c r="AB20" s="1561">
        <v>1</v>
      </c>
      <c r="AC20" s="1561">
        <v>1</v>
      </c>
    </row>
    <row r="21" spans="1:29" ht="28.5">
      <c r="A21" s="532"/>
      <c r="B21" s="2554"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D21/F21</f>
        <v>1</v>
      </c>
      <c r="AB21" s="1561">
        <f>D21/H21</f>
        <v>1</v>
      </c>
      <c r="AC21" s="1561">
        <f>D21/J21</f>
        <v>1</v>
      </c>
    </row>
    <row r="22" spans="1:29" ht="15">
      <c r="A22" s="532"/>
      <c r="B22" s="578"/>
      <c r="C22" s="567"/>
      <c r="D22" s="555"/>
      <c r="E22" s="576"/>
      <c r="F22" s="555"/>
      <c r="G22" s="554"/>
      <c r="H22" s="555"/>
      <c r="I22" s="554"/>
      <c r="J22" s="555"/>
      <c r="K22" s="2565"/>
      <c r="L22" s="2126"/>
      <c r="M22" s="2118"/>
      <c r="N22" s="2118"/>
      <c r="O22" s="2118"/>
      <c r="P22" s="3405"/>
      <c r="Q22" s="2542"/>
      <c r="R22" s="1558"/>
      <c r="S22" s="1559"/>
      <c r="T22" s="1558"/>
      <c r="U22" s="1559"/>
      <c r="V22" s="1558"/>
      <c r="W22" s="1559"/>
      <c r="X22" s="2544"/>
      <c r="Y22" s="3405"/>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05"/>
      <c r="Q23" s="1557" t="str">
        <f>B23</f>
        <v>环境质量</v>
      </c>
      <c r="R23" s="1558" t="s">
        <v>8</v>
      </c>
      <c r="S23" s="1559">
        <f>F23</f>
        <v>100</v>
      </c>
      <c r="T23" s="1558" t="s">
        <v>8</v>
      </c>
      <c r="U23" s="1559">
        <f>H23</f>
        <v>100</v>
      </c>
      <c r="V23" s="1558" t="s">
        <v>8</v>
      </c>
      <c r="W23" s="1559">
        <f>J23</f>
        <v>100</v>
      </c>
      <c r="X23" s="1552"/>
      <c r="Y23" s="3405"/>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05"/>
      <c r="Q24" s="1557"/>
      <c r="R24" s="1558"/>
      <c r="S24" s="1559"/>
      <c r="T24" s="1558"/>
      <c r="U24" s="1559"/>
      <c r="V24" s="1558"/>
      <c r="W24" s="1559"/>
      <c r="X24" s="1552"/>
      <c r="Y24" s="3405"/>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05"/>
      <c r="Q25" s="1557" t="str">
        <f>B25</f>
        <v>毗邻道路的类型与等级</v>
      </c>
      <c r="R25" s="1558" t="s">
        <v>8</v>
      </c>
      <c r="S25" s="1559">
        <f>F25</f>
        <v>100</v>
      </c>
      <c r="T25" s="1558" t="s">
        <v>8</v>
      </c>
      <c r="U25" s="1559">
        <f>H25</f>
        <v>100</v>
      </c>
      <c r="V25" s="1558" t="s">
        <v>8</v>
      </c>
      <c r="W25" s="1559">
        <f>J25</f>
        <v>100</v>
      </c>
      <c r="X25" s="1552"/>
      <c r="Y25" s="3405"/>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05"/>
      <c r="Q26" s="1557"/>
      <c r="R26" s="1558"/>
      <c r="S26" s="1559"/>
      <c r="T26" s="1558"/>
      <c r="U26" s="1559"/>
      <c r="V26" s="1558"/>
      <c r="W26" s="1559"/>
      <c r="X26" s="1552"/>
      <c r="Y26" s="3405"/>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05"/>
      <c r="Q27" s="1557" t="str">
        <f t="shared" ref="Q27:Q47" si="8">B27</f>
        <v>楼层</v>
      </c>
      <c r="R27" s="1558" t="s">
        <v>8</v>
      </c>
      <c r="S27" s="1559">
        <f>F27</f>
        <v>100</v>
      </c>
      <c r="T27" s="1558" t="s">
        <v>8</v>
      </c>
      <c r="U27" s="1559">
        <f>H27</f>
        <v>100</v>
      </c>
      <c r="V27" s="1558" t="s">
        <v>8</v>
      </c>
      <c r="W27" s="1559">
        <f>J27</f>
        <v>100</v>
      </c>
      <c r="X27" s="1552"/>
      <c r="Y27" s="3405"/>
      <c r="Z27" s="1560" t="str">
        <f>Q27</f>
        <v>楼层</v>
      </c>
      <c r="AA27" s="1561">
        <f t="shared" si="3"/>
        <v>1</v>
      </c>
      <c r="AB27" s="1561">
        <f t="shared" si="4"/>
        <v>1</v>
      </c>
      <c r="AC27" s="1561">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05"/>
      <c r="Q28" s="1146" t="str">
        <f t="shared" si="8"/>
        <v>朝向</v>
      </c>
      <c r="R28" s="1553" t="s">
        <v>8</v>
      </c>
      <c r="S28" s="1554">
        <f>F28</f>
        <v>100</v>
      </c>
      <c r="T28" s="1553" t="s">
        <v>8</v>
      </c>
      <c r="U28" s="1554">
        <f>H28</f>
        <v>100</v>
      </c>
      <c r="V28" s="1553" t="s">
        <v>8</v>
      </c>
      <c r="W28" s="1554">
        <f>J28</f>
        <v>100</v>
      </c>
      <c r="X28" s="1555"/>
      <c r="Y28" s="3405"/>
      <c r="Z28" s="1145"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05"/>
      <c r="Q29" s="1557">
        <f t="shared" si="8"/>
        <v>111</v>
      </c>
      <c r="R29" s="1558" t="s">
        <v>8</v>
      </c>
      <c r="S29" s="1559">
        <f t="shared" ref="S29:S47" si="9">F29</f>
        <v>100</v>
      </c>
      <c r="T29" s="1558" t="s">
        <v>8</v>
      </c>
      <c r="U29" s="1559">
        <f t="shared" ref="U29:U47" si="10">H29</f>
        <v>100</v>
      </c>
      <c r="V29" s="1558" t="s">
        <v>8</v>
      </c>
      <c r="W29" s="1559">
        <f t="shared" ref="W29:W47" si="11">J29</f>
        <v>100</v>
      </c>
      <c r="X29" s="1552"/>
      <c r="Y29" s="3405"/>
      <c r="Z29" s="1560">
        <f t="shared" ref="Z29:Z47" si="12">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05"/>
      <c r="Q30" s="1557">
        <f t="shared" si="8"/>
        <v>111</v>
      </c>
      <c r="R30" s="1558" t="s">
        <v>8</v>
      </c>
      <c r="S30" s="1559">
        <f t="shared" si="9"/>
        <v>100</v>
      </c>
      <c r="T30" s="1558" t="s">
        <v>8</v>
      </c>
      <c r="U30" s="1559">
        <f t="shared" si="10"/>
        <v>100</v>
      </c>
      <c r="V30" s="1558" t="s">
        <v>8</v>
      </c>
      <c r="W30" s="1559">
        <f t="shared" si="11"/>
        <v>100</v>
      </c>
      <c r="X30" s="1552"/>
      <c r="Y30" s="3405"/>
      <c r="Z30" s="1560">
        <f t="shared" si="12"/>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05"/>
      <c r="Q31" s="1557">
        <f t="shared" si="8"/>
        <v>111</v>
      </c>
      <c r="R31" s="1558" t="s">
        <v>8</v>
      </c>
      <c r="S31" s="1559">
        <f t="shared" si="9"/>
        <v>100</v>
      </c>
      <c r="T31" s="1558" t="s">
        <v>8</v>
      </c>
      <c r="U31" s="1559">
        <f t="shared" si="10"/>
        <v>100</v>
      </c>
      <c r="V31" s="1558" t="s">
        <v>8</v>
      </c>
      <c r="W31" s="1559">
        <f t="shared" si="11"/>
        <v>100</v>
      </c>
      <c r="X31" s="1552"/>
      <c r="Y31" s="3405"/>
      <c r="Z31" s="1560">
        <f t="shared" si="12"/>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05"/>
      <c r="Q32" s="1557">
        <f t="shared" si="8"/>
        <v>111</v>
      </c>
      <c r="R32" s="1558" t="s">
        <v>8</v>
      </c>
      <c r="S32" s="1559">
        <f t="shared" si="9"/>
        <v>100</v>
      </c>
      <c r="T32" s="1558" t="s">
        <v>8</v>
      </c>
      <c r="U32" s="1559">
        <f t="shared" si="10"/>
        <v>100</v>
      </c>
      <c r="V32" s="1558" t="s">
        <v>8</v>
      </c>
      <c r="W32" s="1559">
        <f t="shared" si="11"/>
        <v>100</v>
      </c>
      <c r="X32" s="1552"/>
      <c r="Y32" s="3405"/>
      <c r="Z32" s="1560">
        <f t="shared" si="12"/>
        <v>111</v>
      </c>
      <c r="AA32" s="1561">
        <f t="shared" si="3"/>
        <v>1</v>
      </c>
      <c r="AB32" s="1561">
        <f t="shared" si="4"/>
        <v>1</v>
      </c>
      <c r="AC32" s="1561">
        <f t="shared" si="5"/>
        <v>1</v>
      </c>
    </row>
    <row r="33" spans="1:29" ht="15">
      <c r="A33" s="2861"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06" t="s">
        <v>550</v>
      </c>
      <c r="Q33" s="1557" t="str">
        <f t="shared" si="8"/>
        <v>建筑类型</v>
      </c>
      <c r="R33" s="1558" t="s">
        <v>8</v>
      </c>
      <c r="S33" s="1559">
        <f t="shared" si="9"/>
        <v>100</v>
      </c>
      <c r="T33" s="1558" t="s">
        <v>8</v>
      </c>
      <c r="U33" s="1559">
        <f t="shared" si="10"/>
        <v>100</v>
      </c>
      <c r="V33" s="1558" t="s">
        <v>8</v>
      </c>
      <c r="W33" s="1559">
        <f t="shared" si="11"/>
        <v>100</v>
      </c>
      <c r="X33" s="1552"/>
      <c r="Y33" s="3407" t="s">
        <v>550</v>
      </c>
      <c r="Z33" s="1560" t="str">
        <f t="shared" si="12"/>
        <v>建筑类型</v>
      </c>
      <c r="AA33" s="1561">
        <f t="shared" si="3"/>
        <v>1</v>
      </c>
      <c r="AB33" s="1561">
        <f t="shared" si="4"/>
        <v>1</v>
      </c>
      <c r="AC33" s="1561">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07"/>
      <c r="Q34" s="1589" t="str">
        <f t="shared" si="8"/>
        <v>项目建筑规模</v>
      </c>
      <c r="R34" s="1562" t="s">
        <v>8</v>
      </c>
      <c r="S34" s="1563" t="e">
        <f t="shared" si="9"/>
        <v>#N/A</v>
      </c>
      <c r="T34" s="1562" t="s">
        <v>8</v>
      </c>
      <c r="U34" s="1563" t="e">
        <f t="shared" si="10"/>
        <v>#N/A</v>
      </c>
      <c r="V34" s="1562" t="s">
        <v>8</v>
      </c>
      <c r="W34" s="1563" t="e">
        <f t="shared" si="11"/>
        <v>#N/A</v>
      </c>
      <c r="X34" s="1564"/>
      <c r="Y34" s="3407"/>
      <c r="Z34" s="1565" t="str">
        <f t="shared" si="12"/>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07"/>
      <c r="Q35" s="1557" t="str">
        <f t="shared" si="8"/>
        <v>建筑结构</v>
      </c>
      <c r="R35" s="1558" t="s">
        <v>8</v>
      </c>
      <c r="S35" s="1559">
        <f t="shared" si="9"/>
        <v>100</v>
      </c>
      <c r="T35" s="1558" t="s">
        <v>8</v>
      </c>
      <c r="U35" s="1559">
        <f t="shared" si="10"/>
        <v>100</v>
      </c>
      <c r="V35" s="1558" t="s">
        <v>8</v>
      </c>
      <c r="W35" s="1559">
        <f t="shared" si="11"/>
        <v>100</v>
      </c>
      <c r="X35" s="1552"/>
      <c r="Y35" s="3407"/>
      <c r="Z35" s="1560" t="str">
        <f t="shared" si="12"/>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07"/>
      <c r="Q36" s="1557" t="str">
        <f t="shared" si="8"/>
        <v>公共部分装修</v>
      </c>
      <c r="R36" s="1558" t="s">
        <v>8</v>
      </c>
      <c r="S36" s="1559">
        <f t="shared" si="9"/>
        <v>100</v>
      </c>
      <c r="T36" s="1558" t="s">
        <v>8</v>
      </c>
      <c r="U36" s="1559">
        <f t="shared" si="10"/>
        <v>100</v>
      </c>
      <c r="V36" s="1558" t="s">
        <v>8</v>
      </c>
      <c r="W36" s="1559">
        <f t="shared" si="11"/>
        <v>100</v>
      </c>
      <c r="X36" s="1552"/>
      <c r="Y36" s="3407"/>
      <c r="Z36" s="1560" t="str">
        <f t="shared" si="12"/>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07"/>
      <c r="Q37" s="1557" t="str">
        <f t="shared" si="8"/>
        <v>成新度</v>
      </c>
      <c r="R37" s="1558" t="s">
        <v>8</v>
      </c>
      <c r="S37" s="1559" t="e">
        <f t="shared" si="9"/>
        <v>#N/A</v>
      </c>
      <c r="T37" s="1558" t="s">
        <v>8</v>
      </c>
      <c r="U37" s="1559" t="e">
        <f t="shared" si="10"/>
        <v>#N/A</v>
      </c>
      <c r="V37" s="1558" t="s">
        <v>8</v>
      </c>
      <c r="W37" s="1559" t="e">
        <f t="shared" si="11"/>
        <v>#N/A</v>
      </c>
      <c r="X37" s="1552"/>
      <c r="Y37" s="3407"/>
      <c r="Z37" s="1560" t="str">
        <f t="shared" si="12"/>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07"/>
      <c r="Q38" s="1146" t="str">
        <f t="shared" si="8"/>
        <v>写字楼等级</v>
      </c>
      <c r="R38" s="1553" t="s">
        <v>8</v>
      </c>
      <c r="S38" s="1554">
        <f t="shared" si="9"/>
        <v>100</v>
      </c>
      <c r="T38" s="1553" t="s">
        <v>8</v>
      </c>
      <c r="U38" s="1554">
        <f t="shared" si="10"/>
        <v>100</v>
      </c>
      <c r="V38" s="1553" t="s">
        <v>8</v>
      </c>
      <c r="W38" s="1554">
        <f t="shared" si="11"/>
        <v>100</v>
      </c>
      <c r="X38" s="1555"/>
      <c r="Y38" s="3407"/>
      <c r="Z38" s="1145" t="str">
        <f t="shared" si="12"/>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07" t="s">
        <v>550</v>
      </c>
      <c r="Q39" s="1557" t="str">
        <f t="shared" si="8"/>
        <v>物业管理</v>
      </c>
      <c r="R39" s="1558" t="s">
        <v>8</v>
      </c>
      <c r="S39" s="1559">
        <f t="shared" si="9"/>
        <v>100</v>
      </c>
      <c r="T39" s="1558" t="s">
        <v>8</v>
      </c>
      <c r="U39" s="1559">
        <f t="shared" si="10"/>
        <v>100</v>
      </c>
      <c r="V39" s="1558" t="s">
        <v>8</v>
      </c>
      <c r="W39" s="1559">
        <f t="shared" si="11"/>
        <v>100</v>
      </c>
      <c r="X39" s="1552"/>
      <c r="Y39" s="3407" t="s">
        <v>550</v>
      </c>
      <c r="Z39" s="1560" t="str">
        <f t="shared" si="12"/>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07"/>
      <c r="Q40" s="1557" t="str">
        <f t="shared" si="8"/>
        <v>市政基础设施</v>
      </c>
      <c r="R40" s="1558" t="s">
        <v>8</v>
      </c>
      <c r="S40" s="1559">
        <f t="shared" si="9"/>
        <v>100</v>
      </c>
      <c r="T40" s="1558" t="s">
        <v>8</v>
      </c>
      <c r="U40" s="1559">
        <f t="shared" si="10"/>
        <v>100</v>
      </c>
      <c r="V40" s="1558" t="s">
        <v>8</v>
      </c>
      <c r="W40" s="1559">
        <f t="shared" si="11"/>
        <v>100</v>
      </c>
      <c r="X40" s="1552"/>
      <c r="Y40" s="3407"/>
      <c r="Z40" s="1560" t="str">
        <f t="shared" si="12"/>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07"/>
      <c r="Q41" s="1557" t="str">
        <f t="shared" si="8"/>
        <v>层高</v>
      </c>
      <c r="R41" s="1558" t="s">
        <v>8</v>
      </c>
      <c r="S41" s="1559">
        <f t="shared" si="9"/>
        <v>100</v>
      </c>
      <c r="T41" s="1558" t="s">
        <v>8</v>
      </c>
      <c r="U41" s="1559">
        <f t="shared" si="10"/>
        <v>100</v>
      </c>
      <c r="V41" s="1558" t="s">
        <v>8</v>
      </c>
      <c r="W41" s="1559">
        <f t="shared" si="11"/>
        <v>100</v>
      </c>
      <c r="X41" s="1552"/>
      <c r="Y41" s="3407"/>
      <c r="Z41" s="1560" t="str">
        <f t="shared" si="12"/>
        <v>层高</v>
      </c>
      <c r="AA41" s="1561">
        <f t="shared" si="3"/>
        <v>1</v>
      </c>
      <c r="AB41" s="1561">
        <f t="shared" si="4"/>
        <v>1</v>
      </c>
      <c r="AC41" s="1561">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07"/>
      <c r="Q42" s="1589" t="str">
        <f t="shared" si="8"/>
        <v>单套建筑面积</v>
      </c>
      <c r="R42" s="1562" t="s">
        <v>8</v>
      </c>
      <c r="S42" s="1563">
        <f t="shared" si="9"/>
        <v>100</v>
      </c>
      <c r="T42" s="1562" t="s">
        <v>8</v>
      </c>
      <c r="U42" s="1563">
        <f t="shared" si="10"/>
        <v>100</v>
      </c>
      <c r="V42" s="1562" t="s">
        <v>8</v>
      </c>
      <c r="W42" s="1563">
        <f t="shared" si="11"/>
        <v>100</v>
      </c>
      <c r="X42" s="1564"/>
      <c r="Y42" s="3407"/>
      <c r="Z42" s="1565" t="str">
        <f t="shared" si="12"/>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07"/>
      <c r="Q43" s="1557" t="str">
        <f t="shared" si="8"/>
        <v>内部装修</v>
      </c>
      <c r="R43" s="1558" t="s">
        <v>8</v>
      </c>
      <c r="S43" s="1559">
        <f t="shared" si="9"/>
        <v>100</v>
      </c>
      <c r="T43" s="1558" t="s">
        <v>8</v>
      </c>
      <c r="U43" s="1559">
        <f t="shared" si="10"/>
        <v>100</v>
      </c>
      <c r="V43" s="1558" t="s">
        <v>8</v>
      </c>
      <c r="W43" s="1559">
        <f t="shared" si="11"/>
        <v>100</v>
      </c>
      <c r="X43" s="1552"/>
      <c r="Y43" s="3407"/>
      <c r="Z43" s="1560" t="str">
        <f t="shared" si="12"/>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07"/>
      <c r="Q44" s="1557" t="str">
        <f t="shared" si="8"/>
        <v>内部装修维护情况</v>
      </c>
      <c r="R44" s="1558" t="s">
        <v>8</v>
      </c>
      <c r="S44" s="1559">
        <f t="shared" si="9"/>
        <v>100</v>
      </c>
      <c r="T44" s="1558" t="s">
        <v>8</v>
      </c>
      <c r="U44" s="1559">
        <f t="shared" si="10"/>
        <v>100</v>
      </c>
      <c r="V44" s="1558" t="s">
        <v>8</v>
      </c>
      <c r="W44" s="1559">
        <f t="shared" si="11"/>
        <v>100</v>
      </c>
      <c r="X44" s="1552"/>
      <c r="Y44" s="3407"/>
      <c r="Z44" s="1560" t="str">
        <f t="shared" si="12"/>
        <v>内部装修维护情况</v>
      </c>
      <c r="AA44" s="1561">
        <f t="shared" si="3"/>
        <v>1</v>
      </c>
      <c r="AB44" s="1561">
        <f t="shared" si="4"/>
        <v>1</v>
      </c>
      <c r="AC44" s="1561">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07"/>
      <c r="Q45" s="1146">
        <f t="shared" si="8"/>
        <v>111</v>
      </c>
      <c r="R45" s="1553" t="s">
        <v>8</v>
      </c>
      <c r="S45" s="1554">
        <f t="shared" si="9"/>
        <v>100</v>
      </c>
      <c r="T45" s="1553" t="s">
        <v>8</v>
      </c>
      <c r="U45" s="1554">
        <f t="shared" si="10"/>
        <v>100</v>
      </c>
      <c r="V45" s="1553" t="s">
        <v>8</v>
      </c>
      <c r="W45" s="1554">
        <f t="shared" si="11"/>
        <v>100</v>
      </c>
      <c r="X45" s="1555"/>
      <c r="Y45" s="3407"/>
      <c r="Z45" s="1145">
        <f t="shared" si="12"/>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07"/>
      <c r="Q46" s="1557">
        <f t="shared" si="8"/>
        <v>111</v>
      </c>
      <c r="R46" s="1558" t="s">
        <v>8</v>
      </c>
      <c r="S46" s="1559">
        <f t="shared" si="9"/>
        <v>100</v>
      </c>
      <c r="T46" s="1558" t="s">
        <v>8</v>
      </c>
      <c r="U46" s="1559">
        <f t="shared" si="10"/>
        <v>100</v>
      </c>
      <c r="V46" s="1558" t="s">
        <v>8</v>
      </c>
      <c r="W46" s="1559">
        <f t="shared" si="11"/>
        <v>100</v>
      </c>
      <c r="X46" s="1552"/>
      <c r="Y46" s="3407"/>
      <c r="Z46" s="1560">
        <f t="shared" si="12"/>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88"/>
      <c r="Q47" s="1557">
        <f t="shared" si="8"/>
        <v>111</v>
      </c>
      <c r="R47" s="1558" t="s">
        <v>8</v>
      </c>
      <c r="S47" s="1559">
        <f t="shared" si="9"/>
        <v>100</v>
      </c>
      <c r="T47" s="1558" t="s">
        <v>8</v>
      </c>
      <c r="U47" s="1559">
        <f t="shared" si="10"/>
        <v>100</v>
      </c>
      <c r="V47" s="1558" t="s">
        <v>8</v>
      </c>
      <c r="W47" s="1559">
        <f t="shared" si="11"/>
        <v>100</v>
      </c>
      <c r="X47" s="1552"/>
      <c r="Y47" s="3488"/>
      <c r="Z47" s="1560">
        <f t="shared" si="12"/>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368" t="str">
        <f>A48</f>
        <v>成交单价（元/平方米）</v>
      </c>
      <c r="Q48" s="3370"/>
      <c r="R48" s="3487">
        <f>E48</f>
        <v>0</v>
      </c>
      <c r="S48" s="3487"/>
      <c r="T48" s="3487">
        <f>G48</f>
        <v>0</v>
      </c>
      <c r="U48" s="3487"/>
      <c r="V48" s="3487">
        <f>I48</f>
        <v>0</v>
      </c>
      <c r="W48" s="3487"/>
      <c r="X48" s="1544"/>
      <c r="Y48" s="1566"/>
      <c r="Z48" s="1544"/>
      <c r="AA48" s="1544"/>
      <c r="AB48" s="1544"/>
      <c r="AC48" s="1544"/>
    </row>
    <row r="49" spans="1:29" ht="15.7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368" t="str">
        <f>A49</f>
        <v>比较价格（元/平方米）</v>
      </c>
      <c r="Q49" s="3370"/>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44"/>
      <c r="Y49" s="1544"/>
      <c r="Z49" s="1544"/>
      <c r="AA49" s="1544"/>
      <c r="AB49" s="1544"/>
      <c r="AC49" s="1544"/>
    </row>
    <row r="50" spans="1:29" ht="15.75" thickBot="1">
      <c r="A50" s="621" t="s">
        <v>2935</v>
      </c>
      <c r="B50" s="622"/>
      <c r="C50" s="2599" t="e">
        <f>R50</f>
        <v>#DIV/0!</v>
      </c>
      <c r="D50" s="2599"/>
      <c r="E50" s="2599"/>
      <c r="F50" s="2599"/>
      <c r="G50" s="2599"/>
      <c r="H50" s="2599"/>
      <c r="I50" s="2599"/>
      <c r="J50" s="2599"/>
      <c r="K50" s="1597"/>
      <c r="L50" s="2128"/>
      <c r="M50" s="2118"/>
      <c r="N50" s="2118"/>
      <c r="O50" s="2118"/>
      <c r="P50" s="3489" t="str">
        <f>A50</f>
        <v>估价对象XX用房的比较价格（楼面单价，元/平方米）</v>
      </c>
      <c r="Q50" s="3368"/>
      <c r="R50" s="3486" t="e">
        <f>IF(F1="售价",ROUND(AVERAGE(R49:V49),0),ROUND(AVERAGE(R49:V49),1))</f>
        <v>#DIV/0!</v>
      </c>
      <c r="S50" s="3486"/>
      <c r="T50" s="3486"/>
      <c r="U50" s="3486"/>
      <c r="V50" s="3486"/>
      <c r="W50" s="3486"/>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5" t="s">
        <v>529</v>
      </c>
      <c r="B59" s="646"/>
      <c r="C59" s="2756" t="str">
        <f>YEAR(C7)&amp;"-"&amp;MONTH(C7)</f>
        <v>2019-12</v>
      </c>
      <c r="D59" s="2758">
        <f>EDATE(C59,-1)</f>
        <v>43770</v>
      </c>
      <c r="E59" s="2758">
        <f t="shared" ref="E59:O59" si="13">EDATE(D59,-1)</f>
        <v>43739</v>
      </c>
      <c r="F59" s="2758">
        <f t="shared" si="13"/>
        <v>43709</v>
      </c>
      <c r="G59" s="2758">
        <f t="shared" si="13"/>
        <v>43678</v>
      </c>
      <c r="H59" s="2758">
        <f t="shared" si="13"/>
        <v>43647</v>
      </c>
      <c r="I59" s="2758">
        <f t="shared" si="13"/>
        <v>43617</v>
      </c>
      <c r="J59" s="2758">
        <f t="shared" si="13"/>
        <v>43586</v>
      </c>
      <c r="K59" s="2758">
        <f t="shared" si="13"/>
        <v>43556</v>
      </c>
      <c r="L59" s="2758">
        <f t="shared" si="13"/>
        <v>43525</v>
      </c>
      <c r="M59" s="2758">
        <f t="shared" si="13"/>
        <v>43497</v>
      </c>
      <c r="N59" s="2758">
        <f t="shared" si="13"/>
        <v>43466</v>
      </c>
      <c r="O59" s="2758">
        <f t="shared" si="13"/>
        <v>43435</v>
      </c>
      <c r="P59" s="2195"/>
      <c r="Q59" s="2145"/>
      <c r="R59" s="2145"/>
      <c r="S59" s="2145"/>
      <c r="T59" s="2145"/>
      <c r="U59" s="2145"/>
      <c r="V59" s="2145"/>
      <c r="W59" s="2145"/>
      <c r="X59" s="2145"/>
      <c r="Y59" s="2145"/>
      <c r="Z59" s="2145"/>
      <c r="AA59" s="2145"/>
      <c r="AB59" s="2145"/>
      <c r="AC59" s="2145"/>
    </row>
    <row r="60" spans="1:29" s="1215"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376" t="s">
        <v>522</v>
      </c>
      <c r="D4" s="3377"/>
      <c r="E4" s="3410" t="s">
        <v>523</v>
      </c>
      <c r="F4" s="3411"/>
      <c r="G4" s="3376" t="s">
        <v>524</v>
      </c>
      <c r="H4" s="3377"/>
      <c r="I4" s="3376" t="s">
        <v>525</v>
      </c>
      <c r="J4" s="3377"/>
      <c r="K4" s="514" t="s">
        <v>526</v>
      </c>
      <c r="L4" s="2117"/>
      <c r="M4" s="2118"/>
      <c r="N4" s="2118"/>
      <c r="O4" s="2118"/>
      <c r="P4" s="3378" t="s">
        <v>527</v>
      </c>
      <c r="Q4" s="3379"/>
      <c r="R4" s="3384" t="s">
        <v>523</v>
      </c>
      <c r="S4" s="3385"/>
      <c r="T4" s="3384" t="s">
        <v>524</v>
      </c>
      <c r="U4" s="3385"/>
      <c r="V4" s="3371" t="s">
        <v>525</v>
      </c>
      <c r="W4" s="3371"/>
      <c r="X4" s="1552"/>
      <c r="Y4" s="3384" t="s">
        <v>527</v>
      </c>
      <c r="Z4" s="3385"/>
      <c r="AA4" s="3373" t="s">
        <v>523</v>
      </c>
      <c r="AB4" s="3374" t="s">
        <v>524</v>
      </c>
      <c r="AC4" s="3373" t="s">
        <v>525</v>
      </c>
    </row>
    <row r="5" spans="1:29" ht="15">
      <c r="A5" s="515"/>
      <c r="B5" s="516"/>
      <c r="C5" s="3392" t="s">
        <v>2929</v>
      </c>
      <c r="D5" s="3393"/>
      <c r="E5" s="3412" t="s">
        <v>2930</v>
      </c>
      <c r="F5" s="3413"/>
      <c r="G5" s="3392" t="s">
        <v>2931</v>
      </c>
      <c r="H5" s="3393"/>
      <c r="I5" s="3392" t="s">
        <v>2932</v>
      </c>
      <c r="J5" s="3393"/>
      <c r="K5" s="514"/>
      <c r="L5" s="2117"/>
      <c r="M5" s="2118"/>
      <c r="N5" s="2118"/>
      <c r="O5" s="2118"/>
      <c r="P5" s="3380"/>
      <c r="Q5" s="3381"/>
      <c r="R5" s="3386"/>
      <c r="S5" s="3387"/>
      <c r="T5" s="3386"/>
      <c r="U5" s="3387"/>
      <c r="V5" s="3371"/>
      <c r="W5" s="3371"/>
      <c r="X5" s="1552"/>
      <c r="Y5" s="3386"/>
      <c r="Z5" s="3387"/>
      <c r="AA5" s="3374"/>
      <c r="AB5" s="3374"/>
      <c r="AC5" s="3374"/>
    </row>
    <row r="6" spans="1:29" ht="15.75" thickBot="1">
      <c r="A6" s="517"/>
      <c r="B6" s="518"/>
      <c r="C6" s="3390" t="s">
        <v>2933</v>
      </c>
      <c r="D6" s="3391"/>
      <c r="E6" s="3408" t="s">
        <v>2933</v>
      </c>
      <c r="F6" s="3409"/>
      <c r="G6" s="3390" t="s">
        <v>2933</v>
      </c>
      <c r="H6" s="3391"/>
      <c r="I6" s="3390" t="s">
        <v>2933</v>
      </c>
      <c r="J6" s="3391"/>
      <c r="K6" s="514" t="s">
        <v>528</v>
      </c>
      <c r="L6" s="2117"/>
      <c r="M6" s="2118"/>
      <c r="N6" s="2118"/>
      <c r="O6" s="2118"/>
      <c r="P6" s="3382"/>
      <c r="Q6" s="3383"/>
      <c r="R6" s="3386"/>
      <c r="S6" s="3387"/>
      <c r="T6" s="3388"/>
      <c r="U6" s="3389"/>
      <c r="V6" s="3371"/>
      <c r="W6" s="3371"/>
      <c r="X6" s="1552"/>
      <c r="Y6" s="3388"/>
      <c r="Z6" s="3389"/>
      <c r="AA6" s="3375"/>
      <c r="AB6" s="3375"/>
      <c r="AC6" s="3375"/>
    </row>
    <row r="7" spans="1:29" s="1215" customFormat="1" ht="15.75" thickBot="1">
      <c r="A7" s="2866"/>
      <c r="B7" s="2873" t="s">
        <v>529</v>
      </c>
      <c r="C7" s="519">
        <f>'数据-取费表'!B2</f>
        <v>43810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1" t="s">
        <v>530</v>
      </c>
      <c r="Q7" s="3403"/>
      <c r="R7" s="1553" t="s">
        <v>8</v>
      </c>
      <c r="S7" s="1554">
        <f t="shared" ref="S7:S15" si="0">F7</f>
        <v>0</v>
      </c>
      <c r="T7" s="1553" t="s">
        <v>8</v>
      </c>
      <c r="U7" s="1554">
        <f t="shared" ref="U7:U15" si="1">H7</f>
        <v>0</v>
      </c>
      <c r="V7" s="1553" t="s">
        <v>8</v>
      </c>
      <c r="W7" s="1554">
        <f t="shared" ref="W7:W15" si="2">J7</f>
        <v>0</v>
      </c>
      <c r="X7" s="1555"/>
      <c r="Y7" s="3401" t="s">
        <v>530</v>
      </c>
      <c r="Z7" s="3402"/>
      <c r="AA7" s="1556" t="e">
        <f>D7/F7</f>
        <v>#DIV/0!</v>
      </c>
      <c r="AB7" s="1556" t="e">
        <f>D7/H7</f>
        <v>#DIV/0!</v>
      </c>
      <c r="AC7" s="1556"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40" si="3">D8/F8</f>
        <v>#DIV/0!</v>
      </c>
      <c r="AB8" s="1556" t="e">
        <f t="shared" ref="AB8:AB40" si="4">D8/H8</f>
        <v>#DIV/0!</v>
      </c>
      <c r="AC8" s="1556" t="e">
        <f t="shared" ref="AC8:AC40" si="5">D8/J8</f>
        <v>#DIV/0!</v>
      </c>
    </row>
    <row r="9" spans="1:29" s="1215"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70" t="s">
        <v>535</v>
      </c>
      <c r="Q9" s="1146" t="str">
        <f t="shared" ref="Q9:Q15" si="6">B9</f>
        <v>用途</v>
      </c>
      <c r="R9" s="1553" t="s">
        <v>8</v>
      </c>
      <c r="S9" s="1554">
        <f t="shared" si="0"/>
        <v>100</v>
      </c>
      <c r="T9" s="1553" t="s">
        <v>8</v>
      </c>
      <c r="U9" s="1554">
        <f t="shared" si="1"/>
        <v>100</v>
      </c>
      <c r="V9" s="1553" t="s">
        <v>8</v>
      </c>
      <c r="W9" s="1554">
        <f t="shared" si="2"/>
        <v>100</v>
      </c>
      <c r="X9" s="1555"/>
      <c r="Y9" s="3316" t="s">
        <v>536</v>
      </c>
      <c r="Z9" s="1145" t="str">
        <f t="shared" ref="Z9:Z15" si="7">Q9</f>
        <v>用途</v>
      </c>
      <c r="AA9" s="1556">
        <f t="shared" si="3"/>
        <v>1</v>
      </c>
      <c r="AB9" s="1556">
        <f t="shared" si="4"/>
        <v>1</v>
      </c>
      <c r="AC9" s="1556">
        <f t="shared" si="5"/>
        <v>1</v>
      </c>
    </row>
    <row r="10" spans="1:29" s="1333"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70"/>
      <c r="Q10" s="1146" t="str">
        <f t="shared" si="6"/>
        <v>土地使用年限（年）</v>
      </c>
      <c r="R10" s="1553" t="s">
        <v>8</v>
      </c>
      <c r="S10" s="1554">
        <f t="shared" si="0"/>
        <v>100</v>
      </c>
      <c r="T10" s="1553" t="s">
        <v>8</v>
      </c>
      <c r="U10" s="1554">
        <f t="shared" si="1"/>
        <v>100</v>
      </c>
      <c r="V10" s="1553" t="s">
        <v>8</v>
      </c>
      <c r="W10" s="1554">
        <f t="shared" si="2"/>
        <v>100</v>
      </c>
      <c r="X10" s="1555"/>
      <c r="Y10" s="3316"/>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70"/>
      <c r="Q11" s="1146" t="str">
        <f t="shared" si="6"/>
        <v>容积率</v>
      </c>
      <c r="R11" s="1553" t="s">
        <v>8</v>
      </c>
      <c r="S11" s="1554" t="e">
        <f t="shared" si="0"/>
        <v>#N/A</v>
      </c>
      <c r="T11" s="1553" t="s">
        <v>8</v>
      </c>
      <c r="U11" s="1554" t="e">
        <f t="shared" si="1"/>
        <v>#N/A</v>
      </c>
      <c r="V11" s="1553" t="s">
        <v>8</v>
      </c>
      <c r="W11" s="1554" t="e">
        <f t="shared" si="2"/>
        <v>#N/A</v>
      </c>
      <c r="X11" s="1555"/>
      <c r="Y11" s="331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70"/>
      <c r="Q12" s="1146">
        <f t="shared" si="6"/>
        <v>111</v>
      </c>
      <c r="R12" s="1553" t="s">
        <v>8</v>
      </c>
      <c r="S12" s="1554">
        <f t="shared" si="0"/>
        <v>100</v>
      </c>
      <c r="T12" s="1553" t="s">
        <v>8</v>
      </c>
      <c r="U12" s="1554">
        <f t="shared" si="1"/>
        <v>100</v>
      </c>
      <c r="V12" s="1553" t="s">
        <v>8</v>
      </c>
      <c r="W12" s="1554">
        <f t="shared" si="2"/>
        <v>100</v>
      </c>
      <c r="X12" s="1555"/>
      <c r="Y12" s="3316"/>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70"/>
      <c r="Q13" s="1146">
        <f t="shared" si="6"/>
        <v>111</v>
      </c>
      <c r="R13" s="1553" t="s">
        <v>8</v>
      </c>
      <c r="S13" s="1554">
        <f t="shared" si="0"/>
        <v>100</v>
      </c>
      <c r="T13" s="1553" t="s">
        <v>8</v>
      </c>
      <c r="U13" s="1554">
        <f t="shared" si="1"/>
        <v>100</v>
      </c>
      <c r="V13" s="1553" t="s">
        <v>8</v>
      </c>
      <c r="W13" s="1554">
        <f t="shared" si="2"/>
        <v>100</v>
      </c>
      <c r="X13" s="1555"/>
      <c r="Y13" s="3316"/>
      <c r="Z13" s="1145">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70"/>
      <c r="Q14" s="1146">
        <f t="shared" si="6"/>
        <v>111</v>
      </c>
      <c r="R14" s="1553" t="s">
        <v>8</v>
      </c>
      <c r="S14" s="1554">
        <f t="shared" si="0"/>
        <v>100</v>
      </c>
      <c r="T14" s="1553" t="s">
        <v>8</v>
      </c>
      <c r="U14" s="1554">
        <f t="shared" si="1"/>
        <v>100</v>
      </c>
      <c r="V14" s="1553" t="s">
        <v>8</v>
      </c>
      <c r="W14" s="1554">
        <f t="shared" si="2"/>
        <v>100</v>
      </c>
      <c r="X14" s="1555"/>
      <c r="Y14" s="3316"/>
      <c r="Z14" s="1145">
        <f t="shared" si="7"/>
        <v>111</v>
      </c>
      <c r="AA14" s="1556">
        <f t="shared" si="3"/>
        <v>1</v>
      </c>
      <c r="AB14" s="1556">
        <f t="shared" si="4"/>
        <v>1</v>
      </c>
      <c r="AC14" s="1556">
        <f t="shared" si="5"/>
        <v>1</v>
      </c>
    </row>
    <row r="15" spans="1:29" ht="57">
      <c r="A15" s="2864"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04" t="s">
        <v>540</v>
      </c>
      <c r="Q15" s="1557" t="str">
        <f t="shared" si="6"/>
        <v>产业集聚程度</v>
      </c>
      <c r="R15" s="1558" t="s">
        <v>8</v>
      </c>
      <c r="S15" s="1559">
        <f t="shared" si="0"/>
        <v>100</v>
      </c>
      <c r="T15" s="1558" t="s">
        <v>8</v>
      </c>
      <c r="U15" s="1559">
        <f t="shared" si="1"/>
        <v>100</v>
      </c>
      <c r="V15" s="1558" t="s">
        <v>8</v>
      </c>
      <c r="W15" s="1559">
        <f t="shared" si="2"/>
        <v>100</v>
      </c>
      <c r="X15" s="1552"/>
      <c r="Y15" s="3404"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05"/>
      <c r="Q16" s="1557"/>
      <c r="R16" s="1558"/>
      <c r="S16" s="1559"/>
      <c r="T16" s="1558"/>
      <c r="U16" s="1559"/>
      <c r="V16" s="1558"/>
      <c r="W16" s="1559"/>
      <c r="X16" s="1552"/>
      <c r="Y16" s="3405"/>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2.75">
      <c r="A19" s="532"/>
      <c r="B19" s="2566"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5">
      <c r="A21" s="532"/>
      <c r="B21" s="2554"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D21/F21</f>
        <v>1</v>
      </c>
      <c r="AB21" s="1561">
        <f>D21/H21</f>
        <v>1</v>
      </c>
      <c r="AC21" s="1561">
        <f>D21/J21</f>
        <v>1</v>
      </c>
    </row>
    <row r="22" spans="1:29" ht="15">
      <c r="A22" s="532"/>
      <c r="B22" s="578"/>
      <c r="C22" s="873"/>
      <c r="D22" s="555"/>
      <c r="E22" s="576"/>
      <c r="F22" s="557"/>
      <c r="G22" s="576"/>
      <c r="H22" s="555"/>
      <c r="I22" s="576"/>
      <c r="J22" s="555"/>
      <c r="K22" s="2565"/>
      <c r="L22" s="2126"/>
      <c r="M22" s="2118"/>
      <c r="N22" s="2118"/>
      <c r="O22" s="2125"/>
      <c r="P22" s="3405"/>
      <c r="Q22" s="2542"/>
      <c r="R22" s="1558"/>
      <c r="S22" s="1559"/>
      <c r="T22" s="1558"/>
      <c r="U22" s="1559"/>
      <c r="V22" s="1558"/>
      <c r="W22" s="1559"/>
      <c r="X22" s="2544"/>
      <c r="Y22" s="3405"/>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05"/>
      <c r="Q23" s="1557" t="str">
        <f>B23</f>
        <v>环境质量</v>
      </c>
      <c r="R23" s="1558" t="s">
        <v>8</v>
      </c>
      <c r="S23" s="1559">
        <f>F23</f>
        <v>100</v>
      </c>
      <c r="T23" s="1558" t="s">
        <v>8</v>
      </c>
      <c r="U23" s="1559">
        <f>H23</f>
        <v>100</v>
      </c>
      <c r="V23" s="1558" t="s">
        <v>8</v>
      </c>
      <c r="W23" s="1559">
        <f>J23</f>
        <v>100</v>
      </c>
      <c r="X23" s="1552"/>
      <c r="Y23" s="3405"/>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05"/>
      <c r="Q25" s="1557">
        <f>B25</f>
        <v>111</v>
      </c>
      <c r="R25" s="1558" t="s">
        <v>8</v>
      </c>
      <c r="S25" s="1559">
        <f>F25</f>
        <v>100</v>
      </c>
      <c r="T25" s="1558" t="s">
        <v>8</v>
      </c>
      <c r="U25" s="1559">
        <f>H25</f>
        <v>100</v>
      </c>
      <c r="V25" s="1558" t="s">
        <v>8</v>
      </c>
      <c r="W25" s="1559">
        <f>J25</f>
        <v>100</v>
      </c>
      <c r="X25" s="1552"/>
      <c r="Y25" s="3405"/>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05"/>
      <c r="Q26" s="1557">
        <f t="shared" ref="Q26:Q40" si="8">B26</f>
        <v>111</v>
      </c>
      <c r="R26" s="1558" t="s">
        <v>8</v>
      </c>
      <c r="S26" s="1559">
        <f>F26</f>
        <v>100</v>
      </c>
      <c r="T26" s="1558" t="s">
        <v>8</v>
      </c>
      <c r="U26" s="1559">
        <f>H26</f>
        <v>100</v>
      </c>
      <c r="V26" s="1558" t="s">
        <v>8</v>
      </c>
      <c r="W26" s="1559">
        <f>J26</f>
        <v>100</v>
      </c>
      <c r="X26" s="1552"/>
      <c r="Y26" s="3405"/>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05"/>
      <c r="Q27" s="1146">
        <f t="shared" si="8"/>
        <v>111</v>
      </c>
      <c r="R27" s="1553" t="s">
        <v>8</v>
      </c>
      <c r="S27" s="1554">
        <f>F27</f>
        <v>100</v>
      </c>
      <c r="T27" s="1553" t="s">
        <v>8</v>
      </c>
      <c r="U27" s="1554">
        <f>H27</f>
        <v>100</v>
      </c>
      <c r="V27" s="1553" t="s">
        <v>8</v>
      </c>
      <c r="W27" s="1554">
        <f>J27</f>
        <v>100</v>
      </c>
      <c r="X27" s="1555"/>
      <c r="Y27" s="3405"/>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05"/>
      <c r="Q28" s="1557">
        <f t="shared" si="8"/>
        <v>111</v>
      </c>
      <c r="R28" s="1558" t="s">
        <v>8</v>
      </c>
      <c r="S28" s="1559">
        <f t="shared" ref="S28:S40" si="9">F28</f>
        <v>100</v>
      </c>
      <c r="T28" s="1558" t="s">
        <v>8</v>
      </c>
      <c r="U28" s="1559">
        <f t="shared" ref="U28:U40" si="10">H28</f>
        <v>100</v>
      </c>
      <c r="V28" s="1558" t="s">
        <v>8</v>
      </c>
      <c r="W28" s="1559">
        <f t="shared" ref="W28:W40" si="11">J28</f>
        <v>100</v>
      </c>
      <c r="X28" s="1552"/>
      <c r="Y28" s="3405"/>
      <c r="Z28" s="1560">
        <f t="shared" ref="Z28:Z40" si="12">Q28</f>
        <v>111</v>
      </c>
      <c r="AA28" s="1561">
        <f t="shared" si="3"/>
        <v>1</v>
      </c>
      <c r="AB28" s="1561">
        <f t="shared" si="4"/>
        <v>1</v>
      </c>
      <c r="AC28" s="1561">
        <f t="shared" si="5"/>
        <v>1</v>
      </c>
    </row>
    <row r="29" spans="1:29" ht="15">
      <c r="A29" s="2861"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06" t="s">
        <v>550</v>
      </c>
      <c r="Q29" s="1557" t="str">
        <f t="shared" si="8"/>
        <v>建筑类型</v>
      </c>
      <c r="R29" s="1558" t="s">
        <v>8</v>
      </c>
      <c r="S29" s="1559">
        <f t="shared" si="9"/>
        <v>100</v>
      </c>
      <c r="T29" s="1558" t="s">
        <v>8</v>
      </c>
      <c r="U29" s="1559">
        <f t="shared" si="10"/>
        <v>100</v>
      </c>
      <c r="V29" s="1558" t="s">
        <v>8</v>
      </c>
      <c r="W29" s="1559">
        <f t="shared" si="11"/>
        <v>100</v>
      </c>
      <c r="X29" s="1552"/>
      <c r="Y29" s="3407" t="s">
        <v>550</v>
      </c>
      <c r="Z29" s="1560" t="str">
        <f t="shared" si="12"/>
        <v>建筑类型</v>
      </c>
      <c r="AA29" s="1561">
        <f t="shared" si="3"/>
        <v>1</v>
      </c>
      <c r="AB29" s="1561">
        <f t="shared" si="4"/>
        <v>1</v>
      </c>
      <c r="AC29" s="1561">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07"/>
      <c r="Q30" s="1589" t="str">
        <f t="shared" si="8"/>
        <v>项目建筑规模</v>
      </c>
      <c r="R30" s="1562" t="s">
        <v>8</v>
      </c>
      <c r="S30" s="1563" t="e">
        <f t="shared" si="9"/>
        <v>#N/A</v>
      </c>
      <c r="T30" s="1562" t="s">
        <v>8</v>
      </c>
      <c r="U30" s="1563" t="e">
        <f t="shared" si="10"/>
        <v>#N/A</v>
      </c>
      <c r="V30" s="1562" t="s">
        <v>8</v>
      </c>
      <c r="W30" s="1563" t="e">
        <f t="shared" si="11"/>
        <v>#N/A</v>
      </c>
      <c r="X30" s="1564"/>
      <c r="Y30" s="3407"/>
      <c r="Z30" s="1565" t="str">
        <f t="shared" si="12"/>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07"/>
      <c r="Q31" s="1557" t="str">
        <f t="shared" si="8"/>
        <v>建筑结构</v>
      </c>
      <c r="R31" s="1558" t="s">
        <v>8</v>
      </c>
      <c r="S31" s="1559">
        <f t="shared" si="9"/>
        <v>100</v>
      </c>
      <c r="T31" s="1558" t="s">
        <v>8</v>
      </c>
      <c r="U31" s="1559">
        <f t="shared" si="10"/>
        <v>100</v>
      </c>
      <c r="V31" s="1558" t="s">
        <v>8</v>
      </c>
      <c r="W31" s="1559">
        <f t="shared" si="11"/>
        <v>100</v>
      </c>
      <c r="X31" s="1552"/>
      <c r="Y31" s="3407"/>
      <c r="Z31" s="1560" t="str">
        <f t="shared" si="12"/>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07"/>
      <c r="Q32" s="1557" t="str">
        <f t="shared" si="8"/>
        <v>公共部分装修</v>
      </c>
      <c r="R32" s="1558" t="s">
        <v>8</v>
      </c>
      <c r="S32" s="1559">
        <f t="shared" si="9"/>
        <v>100</v>
      </c>
      <c r="T32" s="1558" t="s">
        <v>8</v>
      </c>
      <c r="U32" s="1559">
        <f t="shared" si="10"/>
        <v>100</v>
      </c>
      <c r="V32" s="1558" t="s">
        <v>8</v>
      </c>
      <c r="W32" s="1559">
        <f t="shared" si="11"/>
        <v>100</v>
      </c>
      <c r="X32" s="1552"/>
      <c r="Y32" s="3407"/>
      <c r="Z32" s="1560" t="str">
        <f t="shared" si="12"/>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07"/>
      <c r="Q33" s="1557" t="str">
        <f t="shared" si="8"/>
        <v>成新度</v>
      </c>
      <c r="R33" s="1558" t="s">
        <v>8</v>
      </c>
      <c r="S33" s="1559" t="e">
        <f t="shared" si="9"/>
        <v>#N/A</v>
      </c>
      <c r="T33" s="1558" t="s">
        <v>8</v>
      </c>
      <c r="U33" s="1559" t="e">
        <f t="shared" si="10"/>
        <v>#N/A</v>
      </c>
      <c r="V33" s="1558" t="s">
        <v>8</v>
      </c>
      <c r="W33" s="1559" t="e">
        <f t="shared" si="11"/>
        <v>#N/A</v>
      </c>
      <c r="X33" s="1552"/>
      <c r="Y33" s="3407"/>
      <c r="Z33" s="1560" t="str">
        <f t="shared" si="12"/>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07"/>
      <c r="Q34" s="1146" t="str">
        <f t="shared" si="8"/>
        <v>物业管理</v>
      </c>
      <c r="R34" s="1553" t="s">
        <v>8</v>
      </c>
      <c r="S34" s="1554">
        <f t="shared" si="9"/>
        <v>100</v>
      </c>
      <c r="T34" s="1553" t="s">
        <v>8</v>
      </c>
      <c r="U34" s="1554">
        <f t="shared" si="10"/>
        <v>100</v>
      </c>
      <c r="V34" s="1553" t="s">
        <v>8</v>
      </c>
      <c r="W34" s="1554">
        <f t="shared" si="11"/>
        <v>100</v>
      </c>
      <c r="X34" s="1555"/>
      <c r="Y34" s="3407"/>
      <c r="Z34" s="1145" t="str">
        <f t="shared" si="12"/>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07" t="s">
        <v>550</v>
      </c>
      <c r="Q35" s="1557" t="str">
        <f t="shared" si="8"/>
        <v>市政基础设施</v>
      </c>
      <c r="R35" s="1558" t="s">
        <v>8</v>
      </c>
      <c r="S35" s="1559">
        <f t="shared" si="9"/>
        <v>100</v>
      </c>
      <c r="T35" s="1558" t="s">
        <v>8</v>
      </c>
      <c r="U35" s="1559">
        <f t="shared" si="10"/>
        <v>100</v>
      </c>
      <c r="V35" s="1558" t="s">
        <v>8</v>
      </c>
      <c r="W35" s="1559">
        <f t="shared" si="11"/>
        <v>100</v>
      </c>
      <c r="X35" s="1552"/>
      <c r="Y35" s="3407" t="s">
        <v>550</v>
      </c>
      <c r="Z35" s="1560" t="str">
        <f t="shared" si="12"/>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07"/>
      <c r="Q36" s="1557" t="str">
        <f t="shared" si="8"/>
        <v>内部装修</v>
      </c>
      <c r="R36" s="1558" t="s">
        <v>8</v>
      </c>
      <c r="S36" s="1559">
        <f t="shared" si="9"/>
        <v>100</v>
      </c>
      <c r="T36" s="1558" t="s">
        <v>8</v>
      </c>
      <c r="U36" s="1559">
        <f t="shared" si="10"/>
        <v>100</v>
      </c>
      <c r="V36" s="1558" t="s">
        <v>8</v>
      </c>
      <c r="W36" s="1559">
        <f t="shared" si="11"/>
        <v>100</v>
      </c>
      <c r="X36" s="1552"/>
      <c r="Y36" s="3407"/>
      <c r="Z36" s="1560" t="str">
        <f t="shared" si="12"/>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07"/>
      <c r="Q37" s="1557" t="str">
        <f t="shared" si="8"/>
        <v>内部装修状况</v>
      </c>
      <c r="R37" s="1558" t="s">
        <v>8</v>
      </c>
      <c r="S37" s="1559">
        <f t="shared" si="9"/>
        <v>100</v>
      </c>
      <c r="T37" s="1558" t="s">
        <v>8</v>
      </c>
      <c r="U37" s="1559">
        <f t="shared" si="10"/>
        <v>100</v>
      </c>
      <c r="V37" s="1558" t="s">
        <v>8</v>
      </c>
      <c r="W37" s="1559">
        <f t="shared" si="11"/>
        <v>100</v>
      </c>
      <c r="X37" s="1552"/>
      <c r="Y37" s="3407"/>
      <c r="Z37" s="1560" t="str">
        <f t="shared" si="12"/>
        <v>内部装修状况</v>
      </c>
      <c r="AA37" s="1561">
        <f t="shared" si="3"/>
        <v>1</v>
      </c>
      <c r="AB37" s="1561">
        <f t="shared" si="4"/>
        <v>1</v>
      </c>
      <c r="AC37" s="1561">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07"/>
      <c r="Q38" s="1589">
        <f t="shared" si="8"/>
        <v>111</v>
      </c>
      <c r="R38" s="1562" t="s">
        <v>8</v>
      </c>
      <c r="S38" s="1563">
        <f t="shared" si="9"/>
        <v>100</v>
      </c>
      <c r="T38" s="1562" t="s">
        <v>8</v>
      </c>
      <c r="U38" s="1563">
        <f t="shared" si="10"/>
        <v>100</v>
      </c>
      <c r="V38" s="1562" t="s">
        <v>8</v>
      </c>
      <c r="W38" s="1563">
        <f t="shared" si="11"/>
        <v>100</v>
      </c>
      <c r="X38" s="1564"/>
      <c r="Y38" s="3407"/>
      <c r="Z38" s="1565">
        <f t="shared" si="12"/>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07"/>
      <c r="Q39" s="1557">
        <f t="shared" si="8"/>
        <v>111</v>
      </c>
      <c r="R39" s="1558" t="s">
        <v>8</v>
      </c>
      <c r="S39" s="1559">
        <f t="shared" si="9"/>
        <v>100</v>
      </c>
      <c r="T39" s="1558" t="s">
        <v>8</v>
      </c>
      <c r="U39" s="1559">
        <f t="shared" si="10"/>
        <v>100</v>
      </c>
      <c r="V39" s="1558" t="s">
        <v>8</v>
      </c>
      <c r="W39" s="1559">
        <f t="shared" si="11"/>
        <v>100</v>
      </c>
      <c r="X39" s="1552"/>
      <c r="Y39" s="3407"/>
      <c r="Z39" s="1560">
        <f t="shared" si="12"/>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88"/>
      <c r="Q40" s="1557">
        <f t="shared" si="8"/>
        <v>111</v>
      </c>
      <c r="R40" s="1558" t="s">
        <v>8</v>
      </c>
      <c r="S40" s="1559">
        <f t="shared" si="9"/>
        <v>100</v>
      </c>
      <c r="T40" s="1558" t="s">
        <v>8</v>
      </c>
      <c r="U40" s="1559">
        <f t="shared" si="10"/>
        <v>100</v>
      </c>
      <c r="V40" s="1558" t="s">
        <v>8</v>
      </c>
      <c r="W40" s="1559">
        <f t="shared" si="11"/>
        <v>100</v>
      </c>
      <c r="X40" s="1552"/>
      <c r="Y40" s="3488"/>
      <c r="Z40" s="1560">
        <f t="shared" si="12"/>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370" t="str">
        <f>A41</f>
        <v>成交单价（元/平方米）</v>
      </c>
      <c r="Q41" s="3370"/>
      <c r="R41" s="3487">
        <f>E41</f>
        <v>0</v>
      </c>
      <c r="S41" s="3487"/>
      <c r="T41" s="3487">
        <f>G41</f>
        <v>0</v>
      </c>
      <c r="U41" s="3487"/>
      <c r="V41" s="3487">
        <f>I41</f>
        <v>0</v>
      </c>
      <c r="W41" s="3487"/>
      <c r="X41" s="1544"/>
      <c r="Y41" s="1566"/>
      <c r="Z41" s="1544"/>
      <c r="AA41" s="1544"/>
      <c r="AB41" s="1544"/>
      <c r="AC41" s="1544"/>
    </row>
    <row r="42" spans="1:29" ht="15.7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370" t="str">
        <f>A42</f>
        <v>比较价格（元/平方米）</v>
      </c>
      <c r="Q42" s="3370"/>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44"/>
      <c r="Y42" s="1544"/>
      <c r="Z42" s="1544"/>
      <c r="AA42" s="1544"/>
      <c r="AB42" s="1544"/>
      <c r="AC42" s="1544"/>
    </row>
    <row r="43" spans="1:29" ht="15.75" thickBot="1">
      <c r="A43" s="621" t="s">
        <v>2935</v>
      </c>
      <c r="B43" s="622"/>
      <c r="C43" s="2599" t="e">
        <f>R43</f>
        <v>#DIV/0!</v>
      </c>
      <c r="D43" s="2599"/>
      <c r="E43" s="2599"/>
      <c r="F43" s="2599"/>
      <c r="G43" s="2599"/>
      <c r="H43" s="2599"/>
      <c r="I43" s="2599"/>
      <c r="J43" s="2599"/>
      <c r="K43" s="1597"/>
      <c r="L43" s="2128"/>
      <c r="M43" s="2129"/>
      <c r="N43" s="2129"/>
      <c r="O43" s="2129"/>
      <c r="P43" s="3367" t="str">
        <f>A43</f>
        <v>估价对象XX用房的比较价格（楼面单价，元/平方米）</v>
      </c>
      <c r="Q43" s="3368"/>
      <c r="R43" s="3486" t="e">
        <f>IF(F1="售价",ROUND(AVERAGE(R42:V42),0),ROUND(AVERAGE(R42:V42),1))</f>
        <v>#DIV/0!</v>
      </c>
      <c r="S43" s="3486"/>
      <c r="T43" s="3486"/>
      <c r="U43" s="3486"/>
      <c r="V43" s="3486"/>
      <c r="W43" s="3486"/>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5" t="s">
        <v>529</v>
      </c>
      <c r="B52" s="646"/>
      <c r="C52" s="2756" t="str">
        <f>YEAR(C7)&amp;"-"&amp;MONTH(C7)</f>
        <v>2019-12</v>
      </c>
      <c r="D52" s="2758">
        <f>EDATE(C52,-1)</f>
        <v>43770</v>
      </c>
      <c r="E52" s="2758">
        <f t="shared" ref="E52:O52" si="13">EDATE(D52,-1)</f>
        <v>43739</v>
      </c>
      <c r="F52" s="2758">
        <f t="shared" si="13"/>
        <v>43709</v>
      </c>
      <c r="G52" s="2758">
        <f t="shared" si="13"/>
        <v>43678</v>
      </c>
      <c r="H52" s="2758">
        <f t="shared" si="13"/>
        <v>43647</v>
      </c>
      <c r="I52" s="2758">
        <f t="shared" si="13"/>
        <v>43617</v>
      </c>
      <c r="J52" s="2758">
        <f t="shared" si="13"/>
        <v>43586</v>
      </c>
      <c r="K52" s="2758">
        <f t="shared" si="13"/>
        <v>43556</v>
      </c>
      <c r="L52" s="2758">
        <f t="shared" si="13"/>
        <v>43525</v>
      </c>
      <c r="M52" s="2758">
        <f t="shared" si="13"/>
        <v>43497</v>
      </c>
      <c r="N52" s="2758">
        <f t="shared" si="13"/>
        <v>43466</v>
      </c>
      <c r="O52" s="2758">
        <f t="shared" si="13"/>
        <v>43435</v>
      </c>
      <c r="P52" s="2144"/>
      <c r="Q52" s="2145"/>
      <c r="R52" s="2145"/>
      <c r="S52" s="2145"/>
      <c r="T52" s="2145"/>
      <c r="U52" s="2145"/>
      <c r="V52" s="2145"/>
      <c r="W52" s="2145"/>
      <c r="X52" s="2145"/>
      <c r="Y52" s="2145"/>
      <c r="Z52" s="2145"/>
      <c r="AA52" s="2145"/>
      <c r="AB52" s="2145"/>
      <c r="AC52" s="2145"/>
    </row>
    <row r="53" spans="1:29" s="1215"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76" t="s">
        <v>798</v>
      </c>
      <c r="D4" s="3377"/>
      <c r="E4" s="3376" t="s">
        <v>799</v>
      </c>
      <c r="F4" s="3377"/>
      <c r="G4" s="3376" t="s">
        <v>800</v>
      </c>
      <c r="H4" s="3377"/>
      <c r="I4" s="3376" t="s">
        <v>801</v>
      </c>
      <c r="J4" s="3377"/>
      <c r="K4" s="514" t="s">
        <v>802</v>
      </c>
      <c r="L4" s="2117"/>
      <c r="M4" s="2118"/>
      <c r="N4" s="2118"/>
      <c r="O4" s="2118"/>
      <c r="P4" s="3378" t="s">
        <v>803</v>
      </c>
      <c r="Q4" s="3379"/>
      <c r="R4" s="3384" t="s">
        <v>799</v>
      </c>
      <c r="S4" s="3385"/>
      <c r="T4" s="3384" t="s">
        <v>800</v>
      </c>
      <c r="U4" s="3385"/>
      <c r="V4" s="3371" t="s">
        <v>801</v>
      </c>
      <c r="W4" s="3371"/>
      <c r="X4" s="1552"/>
      <c r="Y4" s="3384" t="s">
        <v>803</v>
      </c>
      <c r="Z4" s="3385"/>
      <c r="AA4" s="3373" t="s">
        <v>799</v>
      </c>
      <c r="AB4" s="3374" t="s">
        <v>800</v>
      </c>
      <c r="AC4" s="3373" t="s">
        <v>801</v>
      </c>
    </row>
    <row r="5" spans="1:29" ht="15">
      <c r="A5" s="515"/>
      <c r="B5" s="516"/>
      <c r="C5" s="3392" t="s">
        <v>2929</v>
      </c>
      <c r="D5" s="3393"/>
      <c r="E5" s="3392" t="s">
        <v>2930</v>
      </c>
      <c r="F5" s="3393"/>
      <c r="G5" s="3392" t="s">
        <v>2931</v>
      </c>
      <c r="H5" s="3393"/>
      <c r="I5" s="3392" t="s">
        <v>2932</v>
      </c>
      <c r="J5" s="3393"/>
      <c r="K5" s="514"/>
      <c r="L5" s="2117"/>
      <c r="M5" s="2118"/>
      <c r="N5" s="2118"/>
      <c r="O5" s="2118"/>
      <c r="P5" s="3380"/>
      <c r="Q5" s="3381"/>
      <c r="R5" s="3386"/>
      <c r="S5" s="3387"/>
      <c r="T5" s="3386"/>
      <c r="U5" s="3387"/>
      <c r="V5" s="3371"/>
      <c r="W5" s="3371"/>
      <c r="X5" s="1552"/>
      <c r="Y5" s="3386"/>
      <c r="Z5" s="3387"/>
      <c r="AA5" s="3374"/>
      <c r="AB5" s="3374"/>
      <c r="AC5" s="3374"/>
    </row>
    <row r="6" spans="1:29" ht="15.75" thickBot="1">
      <c r="A6" s="517"/>
      <c r="B6" s="518"/>
      <c r="C6" s="3390" t="s">
        <v>2933</v>
      </c>
      <c r="D6" s="3391"/>
      <c r="E6" s="3394" t="s">
        <v>2933</v>
      </c>
      <c r="F6" s="3395"/>
      <c r="G6" s="3390" t="s">
        <v>2933</v>
      </c>
      <c r="H6" s="3391"/>
      <c r="I6" s="3390" t="s">
        <v>2933</v>
      </c>
      <c r="J6" s="3391"/>
      <c r="K6" s="514" t="s">
        <v>528</v>
      </c>
      <c r="L6" s="2117"/>
      <c r="M6" s="2118"/>
      <c r="N6" s="2118"/>
      <c r="O6" s="2118"/>
      <c r="P6" s="3382"/>
      <c r="Q6" s="3383"/>
      <c r="R6" s="3386"/>
      <c r="S6" s="3387"/>
      <c r="T6" s="3388"/>
      <c r="U6" s="3389"/>
      <c r="V6" s="3371"/>
      <c r="W6" s="3371"/>
      <c r="X6" s="1552"/>
      <c r="Y6" s="3388"/>
      <c r="Z6" s="3389"/>
      <c r="AA6" s="3375"/>
      <c r="AB6" s="3375"/>
      <c r="AC6" s="3375"/>
    </row>
    <row r="7" spans="1:29" s="1215" customFormat="1" ht="15.75" thickBot="1">
      <c r="A7" s="2866"/>
      <c r="B7" s="2873" t="s">
        <v>529</v>
      </c>
      <c r="C7" s="519">
        <f>'数据-取费表'!B2</f>
        <v>43810</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1" t="s">
        <v>530</v>
      </c>
      <c r="Q7" s="3403"/>
      <c r="R7" s="1553" t="s">
        <v>8</v>
      </c>
      <c r="S7" s="1554">
        <f t="shared" ref="S7:S14" si="0">F7</f>
        <v>0</v>
      </c>
      <c r="T7" s="1553" t="s">
        <v>8</v>
      </c>
      <c r="U7" s="1554">
        <f t="shared" ref="U7:U14" si="1">H7</f>
        <v>0</v>
      </c>
      <c r="V7" s="1553" t="s">
        <v>8</v>
      </c>
      <c r="W7" s="1554">
        <f t="shared" ref="W7:W14" si="2">J7</f>
        <v>0</v>
      </c>
      <c r="X7" s="1555"/>
      <c r="Y7" s="3401" t="s">
        <v>530</v>
      </c>
      <c r="Z7" s="3402"/>
      <c r="AA7" s="1556" t="e">
        <f>D7/F7</f>
        <v>#DIV/0!</v>
      </c>
      <c r="AB7" s="1556" t="e">
        <f>D7/H7</f>
        <v>#DIV/0!</v>
      </c>
      <c r="AC7" s="1556"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36" si="3">D8/F8</f>
        <v>#DIV/0!</v>
      </c>
      <c r="AB8" s="1556" t="e">
        <f t="shared" ref="AB8:AB36" si="4">D8/H8</f>
        <v>#DIV/0!</v>
      </c>
      <c r="AC8" s="1556" t="e">
        <f t="shared" ref="AC8:AC36" si="5">D8/J8</f>
        <v>#DIV/0!</v>
      </c>
    </row>
    <row r="9" spans="1:29" s="1215"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70" t="s">
        <v>535</v>
      </c>
      <c r="Q9" s="1146" t="str">
        <f t="shared" ref="Q9:Q14" si="6">B9</f>
        <v>用途</v>
      </c>
      <c r="R9" s="1553" t="s">
        <v>8</v>
      </c>
      <c r="S9" s="1554">
        <f t="shared" si="0"/>
        <v>100</v>
      </c>
      <c r="T9" s="1553" t="s">
        <v>8</v>
      </c>
      <c r="U9" s="1554">
        <f t="shared" si="1"/>
        <v>100</v>
      </c>
      <c r="V9" s="1553" t="s">
        <v>8</v>
      </c>
      <c r="W9" s="1554">
        <f t="shared" si="2"/>
        <v>100</v>
      </c>
      <c r="X9" s="1555"/>
      <c r="Y9" s="3316" t="s">
        <v>536</v>
      </c>
      <c r="Z9" s="1145" t="str">
        <f t="shared" ref="Z9:Z14" si="7">Q9</f>
        <v>用途</v>
      </c>
      <c r="AA9" s="1556">
        <f t="shared" si="3"/>
        <v>1</v>
      </c>
      <c r="AB9" s="1556">
        <f t="shared" si="4"/>
        <v>1</v>
      </c>
      <c r="AC9" s="1556">
        <f t="shared" si="5"/>
        <v>1</v>
      </c>
    </row>
    <row r="10" spans="1:29" s="1333"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70"/>
      <c r="Q10" s="1146" t="str">
        <f t="shared" si="6"/>
        <v>土地使用年限（年）</v>
      </c>
      <c r="R10" s="1553" t="s">
        <v>8</v>
      </c>
      <c r="S10" s="1554">
        <f t="shared" si="0"/>
        <v>100</v>
      </c>
      <c r="T10" s="1553" t="s">
        <v>8</v>
      </c>
      <c r="U10" s="1554">
        <f t="shared" si="1"/>
        <v>100</v>
      </c>
      <c r="V10" s="1553" t="s">
        <v>8</v>
      </c>
      <c r="W10" s="1554">
        <f t="shared" si="2"/>
        <v>100</v>
      </c>
      <c r="X10" s="1555"/>
      <c r="Y10" s="3316"/>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70"/>
      <c r="Q11" s="1146">
        <f t="shared" si="6"/>
        <v>111</v>
      </c>
      <c r="R11" s="1553" t="s">
        <v>8</v>
      </c>
      <c r="S11" s="1554">
        <f t="shared" si="0"/>
        <v>100</v>
      </c>
      <c r="T11" s="1553" t="s">
        <v>8</v>
      </c>
      <c r="U11" s="1554">
        <f t="shared" si="1"/>
        <v>100</v>
      </c>
      <c r="V11" s="1553" t="s">
        <v>8</v>
      </c>
      <c r="W11" s="1554">
        <f t="shared" si="2"/>
        <v>100</v>
      </c>
      <c r="X11" s="1555"/>
      <c r="Y11" s="3316"/>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70"/>
      <c r="Q12" s="1146">
        <f t="shared" si="6"/>
        <v>111</v>
      </c>
      <c r="R12" s="1553" t="s">
        <v>8</v>
      </c>
      <c r="S12" s="1554">
        <f t="shared" si="0"/>
        <v>100</v>
      </c>
      <c r="T12" s="1553" t="s">
        <v>8</v>
      </c>
      <c r="U12" s="1554">
        <f t="shared" si="1"/>
        <v>100</v>
      </c>
      <c r="V12" s="1553" t="s">
        <v>8</v>
      </c>
      <c r="W12" s="1554">
        <f t="shared" si="2"/>
        <v>100</v>
      </c>
      <c r="X12" s="1555"/>
      <c r="Y12" s="3316"/>
      <c r="Z12" s="1145">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70"/>
      <c r="Q13" s="1146">
        <f t="shared" si="6"/>
        <v>111</v>
      </c>
      <c r="R13" s="1553" t="s">
        <v>8</v>
      </c>
      <c r="S13" s="1554">
        <f t="shared" si="0"/>
        <v>100</v>
      </c>
      <c r="T13" s="1553" t="s">
        <v>8</v>
      </c>
      <c r="U13" s="1554">
        <f t="shared" si="1"/>
        <v>100</v>
      </c>
      <c r="V13" s="1553" t="s">
        <v>8</v>
      </c>
      <c r="W13" s="1554">
        <f t="shared" si="2"/>
        <v>100</v>
      </c>
      <c r="X13" s="1555"/>
      <c r="Y13" s="3316"/>
      <c r="Z13" s="1145">
        <f t="shared" si="7"/>
        <v>111</v>
      </c>
      <c r="AA13" s="1556">
        <f t="shared" si="3"/>
        <v>1</v>
      </c>
      <c r="AB13" s="1556">
        <f t="shared" si="4"/>
        <v>1</v>
      </c>
      <c r="AC13" s="1556">
        <f t="shared" si="5"/>
        <v>1</v>
      </c>
    </row>
    <row r="14" spans="1:29" ht="85.5">
      <c r="A14" s="2864"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04" t="s">
        <v>540</v>
      </c>
      <c r="Q14" s="1557" t="str">
        <f t="shared" si="6"/>
        <v>交通便捷度</v>
      </c>
      <c r="R14" s="1558" t="s">
        <v>8</v>
      </c>
      <c r="S14" s="1559">
        <f t="shared" si="0"/>
        <v>100</v>
      </c>
      <c r="T14" s="1558" t="s">
        <v>8</v>
      </c>
      <c r="U14" s="1559">
        <f t="shared" si="1"/>
        <v>100</v>
      </c>
      <c r="V14" s="1558" t="s">
        <v>8</v>
      </c>
      <c r="W14" s="1559">
        <f t="shared" si="2"/>
        <v>100</v>
      </c>
      <c r="X14" s="1552"/>
      <c r="Y14" s="3404"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05"/>
      <c r="Q15" s="1557"/>
      <c r="R15" s="1558"/>
      <c r="S15" s="1559"/>
      <c r="T15" s="1558"/>
      <c r="U15" s="1559"/>
      <c r="V15" s="1558"/>
      <c r="W15" s="1559"/>
      <c r="X15" s="1552"/>
      <c r="Y15" s="3405"/>
      <c r="Z15" s="1560"/>
      <c r="AA15" s="1561">
        <v>1</v>
      </c>
      <c r="AB15" s="1561">
        <v>1</v>
      </c>
      <c r="AC15" s="1561">
        <v>1</v>
      </c>
    </row>
    <row r="16" spans="1:29" ht="42.75">
      <c r="A16" s="515"/>
      <c r="B16" s="2566"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05"/>
      <c r="Q16" s="1557" t="str">
        <f>B16</f>
        <v>公共配套设施</v>
      </c>
      <c r="R16" s="1558" t="s">
        <v>8</v>
      </c>
      <c r="S16" s="1559">
        <f>F16</f>
        <v>100</v>
      </c>
      <c r="T16" s="1558" t="s">
        <v>8</v>
      </c>
      <c r="U16" s="1559">
        <f>H16</f>
        <v>100</v>
      </c>
      <c r="V16" s="1558" t="s">
        <v>8</v>
      </c>
      <c r="W16" s="1559">
        <f>J16</f>
        <v>100</v>
      </c>
      <c r="X16" s="1552"/>
      <c r="Y16" s="3405"/>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05"/>
      <c r="Q17" s="1557"/>
      <c r="R17" s="1558"/>
      <c r="S17" s="1559"/>
      <c r="T17" s="1558"/>
      <c r="U17" s="1559"/>
      <c r="V17" s="1558"/>
      <c r="W17" s="1559"/>
      <c r="X17" s="1552"/>
      <c r="Y17" s="3405"/>
      <c r="Z17" s="1560"/>
      <c r="AA17" s="1561">
        <v>1</v>
      </c>
      <c r="AB17" s="1561">
        <v>1</v>
      </c>
      <c r="AC17" s="1561">
        <v>1</v>
      </c>
    </row>
    <row r="18" spans="1:29" ht="28.5">
      <c r="A18" s="515"/>
      <c r="B18" s="2554"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05"/>
      <c r="Q18" s="2542" t="str">
        <f>B18</f>
        <v>基础设施水平</v>
      </c>
      <c r="R18" s="1558" t="s">
        <v>8</v>
      </c>
      <c r="S18" s="1559">
        <f>F18</f>
        <v>100</v>
      </c>
      <c r="T18" s="1558" t="s">
        <v>8</v>
      </c>
      <c r="U18" s="1559">
        <f>H18</f>
        <v>100</v>
      </c>
      <c r="V18" s="1558" t="s">
        <v>8</v>
      </c>
      <c r="W18" s="1559">
        <f>J18</f>
        <v>100</v>
      </c>
      <c r="X18" s="2544"/>
      <c r="Y18" s="3405"/>
      <c r="Z18" s="2543" t="str">
        <f>Q18</f>
        <v>基础设施水平</v>
      </c>
      <c r="AA18" s="1561">
        <f>D18/F18</f>
        <v>1</v>
      </c>
      <c r="AB18" s="1561">
        <f>D18/H18</f>
        <v>1</v>
      </c>
      <c r="AC18" s="1561">
        <f>D18/J18</f>
        <v>1</v>
      </c>
    </row>
    <row r="19" spans="1:29" ht="15">
      <c r="A19" s="515"/>
      <c r="B19" s="578"/>
      <c r="C19" s="873"/>
      <c r="D19" s="559"/>
      <c r="E19" s="576"/>
      <c r="F19" s="557"/>
      <c r="G19" s="576"/>
      <c r="H19" s="555"/>
      <c r="I19" s="576"/>
      <c r="J19" s="555"/>
      <c r="K19" s="2565"/>
      <c r="L19" s="2126"/>
      <c r="M19" s="2118"/>
      <c r="N19" s="2118"/>
      <c r="O19" s="2125"/>
      <c r="P19" s="3405"/>
      <c r="Q19" s="2542"/>
      <c r="R19" s="1558"/>
      <c r="S19" s="1559"/>
      <c r="T19" s="1558"/>
      <c r="U19" s="1559"/>
      <c r="V19" s="1558"/>
      <c r="W19" s="1559"/>
      <c r="X19" s="2544"/>
      <c r="Y19" s="3405"/>
      <c r="Z19" s="2543"/>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05"/>
      <c r="Q20" s="1557" t="str">
        <f>B20</f>
        <v>自然及人文环境</v>
      </c>
      <c r="R20" s="1558" t="s">
        <v>8</v>
      </c>
      <c r="S20" s="1559">
        <f>F20</f>
        <v>100</v>
      </c>
      <c r="T20" s="1558" t="s">
        <v>8</v>
      </c>
      <c r="U20" s="1559">
        <f>H20</f>
        <v>100</v>
      </c>
      <c r="V20" s="1558" t="s">
        <v>8</v>
      </c>
      <c r="W20" s="1559">
        <f>J20</f>
        <v>100</v>
      </c>
      <c r="X20" s="1552"/>
      <c r="Y20" s="3405"/>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05"/>
      <c r="Q21" s="1557"/>
      <c r="R21" s="1558"/>
      <c r="S21" s="1559"/>
      <c r="T21" s="1558"/>
      <c r="U21" s="1559"/>
      <c r="V21" s="1558"/>
      <c r="W21" s="1559"/>
      <c r="X21" s="1552"/>
      <c r="Y21" s="3405"/>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05"/>
      <c r="Q22" s="1557" t="str">
        <f>B22</f>
        <v>楼层</v>
      </c>
      <c r="R22" s="1558" t="s">
        <v>8</v>
      </c>
      <c r="S22" s="1559">
        <f>F22</f>
        <v>100</v>
      </c>
      <c r="T22" s="1558" t="s">
        <v>8</v>
      </c>
      <c r="U22" s="1559">
        <f>H22</f>
        <v>100</v>
      </c>
      <c r="V22" s="1558" t="s">
        <v>8</v>
      </c>
      <c r="W22" s="1559">
        <f>J22</f>
        <v>100</v>
      </c>
      <c r="X22" s="1552"/>
      <c r="Y22" s="3405"/>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05"/>
      <c r="Q23" s="1557">
        <f>B23</f>
        <v>111</v>
      </c>
      <c r="R23" s="1558" t="s">
        <v>8</v>
      </c>
      <c r="S23" s="1559">
        <f>F23</f>
        <v>100</v>
      </c>
      <c r="T23" s="1558" t="s">
        <v>8</v>
      </c>
      <c r="U23" s="1559">
        <f>H23</f>
        <v>100</v>
      </c>
      <c r="V23" s="1558" t="s">
        <v>8</v>
      </c>
      <c r="W23" s="1559">
        <f>J23</f>
        <v>100</v>
      </c>
      <c r="X23" s="1552"/>
      <c r="Y23" s="3405"/>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05"/>
      <c r="Q24" s="1557">
        <f t="shared" ref="Q24:Q36" si="8">B24</f>
        <v>111</v>
      </c>
      <c r="R24" s="1558" t="s">
        <v>8</v>
      </c>
      <c r="S24" s="1559">
        <f>F24</f>
        <v>100</v>
      </c>
      <c r="T24" s="1558" t="s">
        <v>8</v>
      </c>
      <c r="U24" s="1559">
        <f>H24</f>
        <v>100</v>
      </c>
      <c r="V24" s="1558" t="s">
        <v>8</v>
      </c>
      <c r="W24" s="1559">
        <f>J24</f>
        <v>100</v>
      </c>
      <c r="X24" s="1552"/>
      <c r="Y24" s="3405"/>
      <c r="Z24" s="1560">
        <f>Q24</f>
        <v>111</v>
      </c>
      <c r="AA24" s="1561">
        <f t="shared" si="3"/>
        <v>1</v>
      </c>
      <c r="AB24" s="1561">
        <f t="shared" si="4"/>
        <v>1</v>
      </c>
      <c r="AC24" s="1561">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05"/>
      <c r="Q25" s="1146">
        <f t="shared" si="8"/>
        <v>111</v>
      </c>
      <c r="R25" s="1553" t="s">
        <v>8</v>
      </c>
      <c r="S25" s="1554">
        <f>F25</f>
        <v>100</v>
      </c>
      <c r="T25" s="1553" t="s">
        <v>8</v>
      </c>
      <c r="U25" s="1554">
        <f>H25</f>
        <v>100</v>
      </c>
      <c r="V25" s="1553" t="s">
        <v>8</v>
      </c>
      <c r="W25" s="1554">
        <f>J25</f>
        <v>100</v>
      </c>
      <c r="X25" s="1555"/>
      <c r="Y25" s="3405"/>
      <c r="Z25" s="1145">
        <f>Q25</f>
        <v>111</v>
      </c>
      <c r="AA25" s="1561">
        <f>D25/F25</f>
        <v>1</v>
      </c>
      <c r="AB25" s="1561">
        <f>D25/H25</f>
        <v>1</v>
      </c>
      <c r="AC25" s="1561">
        <f>D25/J25</f>
        <v>1</v>
      </c>
    </row>
    <row r="26" spans="1:29" ht="15">
      <c r="A26" s="2861"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06" t="s">
        <v>550</v>
      </c>
      <c r="Q26" s="1557" t="str">
        <f t="shared" si="8"/>
        <v>配套类型</v>
      </c>
      <c r="R26" s="1558" t="s">
        <v>8</v>
      </c>
      <c r="S26" s="1559">
        <f t="shared" ref="S26:S36" si="9">F26</f>
        <v>100</v>
      </c>
      <c r="T26" s="1558" t="s">
        <v>8</v>
      </c>
      <c r="U26" s="1559">
        <f t="shared" ref="U26:U36" si="10">H26</f>
        <v>100</v>
      </c>
      <c r="V26" s="1558" t="s">
        <v>8</v>
      </c>
      <c r="W26" s="1559">
        <f t="shared" ref="W26:W36" si="11">J26</f>
        <v>100</v>
      </c>
      <c r="X26" s="1552"/>
      <c r="Y26" s="3407" t="s">
        <v>550</v>
      </c>
      <c r="Z26" s="1560" t="str">
        <f t="shared" ref="Z26:Z36" si="12">Q26</f>
        <v>配套类型</v>
      </c>
      <c r="AA26" s="1561">
        <f t="shared" si="3"/>
        <v>1</v>
      </c>
      <c r="AB26" s="1561">
        <f t="shared" si="4"/>
        <v>1</v>
      </c>
      <c r="AC26" s="1561">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07"/>
      <c r="Q27" s="1589" t="str">
        <f t="shared" si="8"/>
        <v>项目停车位配比</v>
      </c>
      <c r="R27" s="1562" t="s">
        <v>8</v>
      </c>
      <c r="S27" s="1563">
        <f t="shared" si="9"/>
        <v>100</v>
      </c>
      <c r="T27" s="1562" t="s">
        <v>8</v>
      </c>
      <c r="U27" s="1563">
        <f t="shared" si="10"/>
        <v>100</v>
      </c>
      <c r="V27" s="1562" t="s">
        <v>8</v>
      </c>
      <c r="W27" s="1563">
        <f t="shared" si="11"/>
        <v>100</v>
      </c>
      <c r="X27" s="1564"/>
      <c r="Y27" s="3407"/>
      <c r="Z27" s="1565" t="str">
        <f t="shared" si="12"/>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07"/>
      <c r="Q28" s="1557" t="str">
        <f t="shared" si="8"/>
        <v>公共部分装修</v>
      </c>
      <c r="R28" s="1558" t="s">
        <v>8</v>
      </c>
      <c r="S28" s="1559">
        <f t="shared" si="9"/>
        <v>100</v>
      </c>
      <c r="T28" s="1558" t="s">
        <v>8</v>
      </c>
      <c r="U28" s="1559">
        <f t="shared" si="10"/>
        <v>100</v>
      </c>
      <c r="V28" s="1558" t="s">
        <v>8</v>
      </c>
      <c r="W28" s="1559">
        <f t="shared" si="11"/>
        <v>100</v>
      </c>
      <c r="X28" s="1552"/>
      <c r="Y28" s="3407"/>
      <c r="Z28" s="1560" t="str">
        <f t="shared" si="12"/>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07"/>
      <c r="Q29" s="1557" t="str">
        <f t="shared" si="8"/>
        <v>成新率</v>
      </c>
      <c r="R29" s="1558" t="s">
        <v>8</v>
      </c>
      <c r="S29" s="1559" t="e">
        <f t="shared" si="9"/>
        <v>#N/A</v>
      </c>
      <c r="T29" s="1558" t="s">
        <v>8</v>
      </c>
      <c r="U29" s="1559" t="e">
        <f t="shared" si="10"/>
        <v>#N/A</v>
      </c>
      <c r="V29" s="1558" t="s">
        <v>8</v>
      </c>
      <c r="W29" s="1559" t="e">
        <f t="shared" si="11"/>
        <v>#N/A</v>
      </c>
      <c r="X29" s="1552"/>
      <c r="Y29" s="3407"/>
      <c r="Z29" s="1560" t="str">
        <f t="shared" si="12"/>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07"/>
      <c r="Q30" s="1557" t="str">
        <f t="shared" si="8"/>
        <v>物业等级</v>
      </c>
      <c r="R30" s="1558" t="s">
        <v>8</v>
      </c>
      <c r="S30" s="1559">
        <f t="shared" si="9"/>
        <v>100</v>
      </c>
      <c r="T30" s="1558" t="s">
        <v>8</v>
      </c>
      <c r="U30" s="1559">
        <f t="shared" si="10"/>
        <v>100</v>
      </c>
      <c r="V30" s="1558" t="s">
        <v>8</v>
      </c>
      <c r="W30" s="1559">
        <f t="shared" si="11"/>
        <v>100</v>
      </c>
      <c r="X30" s="1552"/>
      <c r="Y30" s="3407"/>
      <c r="Z30" s="1560" t="str">
        <f t="shared" si="12"/>
        <v>物业等级</v>
      </c>
      <c r="AA30" s="1561">
        <f t="shared" si="3"/>
        <v>1</v>
      </c>
      <c r="AB30" s="1561">
        <f t="shared" si="4"/>
        <v>1</v>
      </c>
      <c r="AC30" s="1561">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07"/>
      <c r="Q31" s="1146" t="str">
        <f t="shared" si="8"/>
        <v>停车位面积</v>
      </c>
      <c r="R31" s="1553" t="s">
        <v>8</v>
      </c>
      <c r="S31" s="1554" t="e">
        <f t="shared" si="9"/>
        <v>#N/A</v>
      </c>
      <c r="T31" s="1553" t="s">
        <v>8</v>
      </c>
      <c r="U31" s="1554" t="e">
        <f t="shared" si="10"/>
        <v>#N/A</v>
      </c>
      <c r="V31" s="1553" t="s">
        <v>8</v>
      </c>
      <c r="W31" s="1554" t="e">
        <f t="shared" si="11"/>
        <v>#N/A</v>
      </c>
      <c r="X31" s="1555"/>
      <c r="Y31" s="3407"/>
      <c r="Z31" s="1145" t="str">
        <f t="shared" si="12"/>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07" t="s">
        <v>550</v>
      </c>
      <c r="Q32" s="1557" t="str">
        <f t="shared" si="8"/>
        <v>车位类型</v>
      </c>
      <c r="R32" s="1558" t="s">
        <v>8</v>
      </c>
      <c r="S32" s="1559">
        <f t="shared" si="9"/>
        <v>100</v>
      </c>
      <c r="T32" s="1558" t="s">
        <v>8</v>
      </c>
      <c r="U32" s="1559">
        <f t="shared" si="10"/>
        <v>100</v>
      </c>
      <c r="V32" s="1558" t="s">
        <v>8</v>
      </c>
      <c r="W32" s="1559">
        <f t="shared" si="11"/>
        <v>100</v>
      </c>
      <c r="X32" s="1552"/>
      <c r="Y32" s="3407" t="s">
        <v>550</v>
      </c>
      <c r="Z32" s="1560" t="str">
        <f t="shared" si="12"/>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07"/>
      <c r="Q33" s="1557" t="str">
        <f t="shared" si="8"/>
        <v>是否直接入户</v>
      </c>
      <c r="R33" s="1558" t="s">
        <v>8</v>
      </c>
      <c r="S33" s="1559">
        <f t="shared" si="9"/>
        <v>100</v>
      </c>
      <c r="T33" s="1558" t="s">
        <v>8</v>
      </c>
      <c r="U33" s="1559">
        <f t="shared" si="10"/>
        <v>100</v>
      </c>
      <c r="V33" s="1558" t="s">
        <v>8</v>
      </c>
      <c r="W33" s="1559">
        <f t="shared" si="11"/>
        <v>100</v>
      </c>
      <c r="X33" s="1552"/>
      <c r="Y33" s="3407"/>
      <c r="Z33" s="1560" t="str">
        <f t="shared" si="12"/>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07"/>
      <c r="Q34" s="1557">
        <f t="shared" si="8"/>
        <v>111</v>
      </c>
      <c r="R34" s="1558" t="s">
        <v>8</v>
      </c>
      <c r="S34" s="1559">
        <f t="shared" si="9"/>
        <v>100</v>
      </c>
      <c r="T34" s="1558" t="s">
        <v>8</v>
      </c>
      <c r="U34" s="1559">
        <f t="shared" si="10"/>
        <v>100</v>
      </c>
      <c r="V34" s="1558" t="s">
        <v>8</v>
      </c>
      <c r="W34" s="1559">
        <f t="shared" si="11"/>
        <v>100</v>
      </c>
      <c r="X34" s="1552"/>
      <c r="Y34" s="3407"/>
      <c r="Z34" s="1560">
        <f t="shared" si="12"/>
        <v>111</v>
      </c>
      <c r="AA34" s="1561">
        <f t="shared" si="3"/>
        <v>1</v>
      </c>
      <c r="AB34" s="1561">
        <f t="shared" si="4"/>
        <v>1</v>
      </c>
      <c r="AC34" s="1561">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07"/>
      <c r="Q35" s="1589">
        <f t="shared" si="8"/>
        <v>111</v>
      </c>
      <c r="R35" s="1562" t="s">
        <v>8</v>
      </c>
      <c r="S35" s="1563">
        <f t="shared" si="9"/>
        <v>100</v>
      </c>
      <c r="T35" s="1562" t="s">
        <v>8</v>
      </c>
      <c r="U35" s="1563">
        <f t="shared" si="10"/>
        <v>100</v>
      </c>
      <c r="V35" s="1562" t="s">
        <v>8</v>
      </c>
      <c r="W35" s="1563">
        <f t="shared" si="11"/>
        <v>100</v>
      </c>
      <c r="X35" s="1564"/>
      <c r="Y35" s="3407"/>
      <c r="Z35" s="1565">
        <f t="shared" si="12"/>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07"/>
      <c r="Q36" s="1557">
        <f t="shared" si="8"/>
        <v>111</v>
      </c>
      <c r="R36" s="1558" t="s">
        <v>8</v>
      </c>
      <c r="S36" s="1559">
        <f t="shared" si="9"/>
        <v>100</v>
      </c>
      <c r="T36" s="1558" t="s">
        <v>8</v>
      </c>
      <c r="U36" s="1559">
        <f t="shared" si="10"/>
        <v>100</v>
      </c>
      <c r="V36" s="1558" t="s">
        <v>8</v>
      </c>
      <c r="W36" s="1559">
        <f t="shared" si="11"/>
        <v>100</v>
      </c>
      <c r="X36" s="1552"/>
      <c r="Y36" s="3407"/>
      <c r="Z36" s="1560">
        <f t="shared" si="12"/>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70" t="str">
        <f>A37</f>
        <v>成交单价</v>
      </c>
      <c r="Q37" s="3370"/>
      <c r="R37" s="3487">
        <f>E37</f>
        <v>0</v>
      </c>
      <c r="S37" s="3487"/>
      <c r="T37" s="3487">
        <f>G37</f>
        <v>0</v>
      </c>
      <c r="U37" s="3487"/>
      <c r="V37" s="3487">
        <f>I37</f>
        <v>0</v>
      </c>
      <c r="W37" s="3487"/>
      <c r="X37" s="1544"/>
      <c r="Y37" s="1566"/>
      <c r="Z37" s="1544"/>
      <c r="AA37" s="1544"/>
      <c r="AB37" s="1544"/>
      <c r="AC37" s="1544"/>
    </row>
    <row r="38" spans="1:29" ht="15.7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370" t="str">
        <f>A38</f>
        <v>比较价格（元/平方米）</v>
      </c>
      <c r="Q38" s="3370"/>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44"/>
      <c r="Y38" s="1544"/>
      <c r="Z38" s="1544"/>
      <c r="AA38" s="1544"/>
      <c r="AB38" s="1544"/>
      <c r="AC38" s="1544"/>
    </row>
    <row r="39" spans="1:29" ht="15.75" thickBot="1">
      <c r="A39" s="621" t="s">
        <v>2935</v>
      </c>
      <c r="B39" s="622"/>
      <c r="C39" s="2599" t="e">
        <f>R39</f>
        <v>#DIV/0!</v>
      </c>
      <c r="D39" s="2599"/>
      <c r="E39" s="2599"/>
      <c r="F39" s="2599"/>
      <c r="G39" s="2599"/>
      <c r="H39" s="2599"/>
      <c r="I39" s="2599"/>
      <c r="J39" s="2599"/>
      <c r="K39" s="1597"/>
      <c r="L39" s="2128"/>
      <c r="M39" s="2129"/>
      <c r="N39" s="2129"/>
      <c r="O39" s="2129"/>
      <c r="P39" s="3367" t="str">
        <f>A39</f>
        <v>估价对象XX用房的比较价格（楼面单价，元/平方米）</v>
      </c>
      <c r="Q39" s="3368"/>
      <c r="R39" s="3486" t="e">
        <f>IF(F1="售价",ROUND(AVERAGE(R38:V38),0),ROUND(AVERAGE(R38:V38),1))</f>
        <v>#DIV/0!</v>
      </c>
      <c r="S39" s="3486"/>
      <c r="T39" s="3486"/>
      <c r="U39" s="3486"/>
      <c r="V39" s="3486"/>
      <c r="W39" s="3486"/>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5" t="s">
        <v>529</v>
      </c>
      <c r="B48" s="646"/>
      <c r="C48" s="2756" t="str">
        <f>YEAR(C7)&amp;"-"&amp;MONTH(C7)</f>
        <v>2019-12</v>
      </c>
      <c r="D48" s="2758">
        <f>EDATE(C48,-1)</f>
        <v>43770</v>
      </c>
      <c r="E48" s="2758">
        <f t="shared" ref="E48:O48" si="13">EDATE(D48,-1)</f>
        <v>43739</v>
      </c>
      <c r="F48" s="2758">
        <f t="shared" si="13"/>
        <v>43709</v>
      </c>
      <c r="G48" s="2758">
        <f t="shared" si="13"/>
        <v>43678</v>
      </c>
      <c r="H48" s="2758">
        <f t="shared" si="13"/>
        <v>43647</v>
      </c>
      <c r="I48" s="2758">
        <f t="shared" si="13"/>
        <v>43617</v>
      </c>
      <c r="J48" s="2758">
        <f t="shared" si="13"/>
        <v>43586</v>
      </c>
      <c r="K48" s="2758">
        <f t="shared" si="13"/>
        <v>43556</v>
      </c>
      <c r="L48" s="2758">
        <f t="shared" si="13"/>
        <v>43525</v>
      </c>
      <c r="M48" s="2758">
        <f t="shared" si="13"/>
        <v>43497</v>
      </c>
      <c r="N48" s="2758">
        <f t="shared" si="13"/>
        <v>43466</v>
      </c>
      <c r="O48" s="2758">
        <f t="shared" si="13"/>
        <v>43435</v>
      </c>
      <c r="P48" s="2144"/>
      <c r="Q48" s="2145"/>
      <c r="R48" s="2145"/>
      <c r="S48" s="2145"/>
      <c r="T48" s="2145"/>
      <c r="U48" s="2145"/>
      <c r="V48" s="2145"/>
      <c r="W48" s="2145"/>
      <c r="X48" s="2145"/>
      <c r="Y48" s="2145"/>
      <c r="Z48" s="2145"/>
      <c r="AA48" s="2145"/>
      <c r="AB48" s="2145"/>
      <c r="AC48" s="2145"/>
    </row>
    <row r="49" spans="1:29" s="1215"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376" t="s">
        <v>798</v>
      </c>
      <c r="D4" s="3377"/>
      <c r="E4" s="3410" t="s">
        <v>799</v>
      </c>
      <c r="F4" s="3411"/>
      <c r="G4" s="3376" t="s">
        <v>800</v>
      </c>
      <c r="H4" s="3377"/>
      <c r="I4" s="3376" t="s">
        <v>801</v>
      </c>
      <c r="J4" s="3377"/>
      <c r="K4" s="514" t="s">
        <v>802</v>
      </c>
      <c r="L4" s="2117"/>
      <c r="M4" s="2118"/>
      <c r="N4" s="2118"/>
      <c r="O4" s="2118"/>
      <c r="P4" s="3378" t="s">
        <v>803</v>
      </c>
      <c r="Q4" s="3379"/>
      <c r="R4" s="3384" t="s">
        <v>799</v>
      </c>
      <c r="S4" s="3385"/>
      <c r="T4" s="3384" t="s">
        <v>800</v>
      </c>
      <c r="U4" s="3385"/>
      <c r="V4" s="3371" t="s">
        <v>801</v>
      </c>
      <c r="W4" s="3371"/>
      <c r="X4" s="1552"/>
      <c r="Y4" s="3384" t="s">
        <v>803</v>
      </c>
      <c r="Z4" s="3385"/>
      <c r="AA4" s="3373" t="s">
        <v>799</v>
      </c>
      <c r="AB4" s="3374" t="s">
        <v>800</v>
      </c>
      <c r="AC4" s="3373" t="s">
        <v>801</v>
      </c>
    </row>
    <row r="5" spans="1:29" ht="15">
      <c r="A5" s="515"/>
      <c r="B5" s="516"/>
      <c r="C5" s="3392" t="s">
        <v>2929</v>
      </c>
      <c r="D5" s="3393"/>
      <c r="E5" s="3412" t="s">
        <v>2930</v>
      </c>
      <c r="F5" s="3413"/>
      <c r="G5" s="3392" t="s">
        <v>2931</v>
      </c>
      <c r="H5" s="3393"/>
      <c r="I5" s="3392" t="s">
        <v>2932</v>
      </c>
      <c r="J5" s="3393"/>
      <c r="K5" s="514"/>
      <c r="L5" s="2117"/>
      <c r="M5" s="2118"/>
      <c r="N5" s="2118"/>
      <c r="O5" s="2118"/>
      <c r="P5" s="3380"/>
      <c r="Q5" s="3381"/>
      <c r="R5" s="3386"/>
      <c r="S5" s="3387"/>
      <c r="T5" s="3386"/>
      <c r="U5" s="3387"/>
      <c r="V5" s="3371"/>
      <c r="W5" s="3371"/>
      <c r="X5" s="1552"/>
      <c r="Y5" s="3386"/>
      <c r="Z5" s="3387"/>
      <c r="AA5" s="3374"/>
      <c r="AB5" s="3374"/>
      <c r="AC5" s="3374"/>
    </row>
    <row r="6" spans="1:29" ht="15.75" thickBot="1">
      <c r="A6" s="517"/>
      <c r="B6" s="518"/>
      <c r="C6" s="3390" t="s">
        <v>2933</v>
      </c>
      <c r="D6" s="3391"/>
      <c r="E6" s="3408" t="s">
        <v>2933</v>
      </c>
      <c r="F6" s="3409"/>
      <c r="G6" s="3390" t="s">
        <v>2933</v>
      </c>
      <c r="H6" s="3391"/>
      <c r="I6" s="3390" t="s">
        <v>2933</v>
      </c>
      <c r="J6" s="3391"/>
      <c r="K6" s="514" t="s">
        <v>528</v>
      </c>
      <c r="L6" s="2117"/>
      <c r="M6" s="2118"/>
      <c r="N6" s="2118"/>
      <c r="O6" s="2118"/>
      <c r="P6" s="3382"/>
      <c r="Q6" s="3383"/>
      <c r="R6" s="3386"/>
      <c r="S6" s="3387"/>
      <c r="T6" s="3388"/>
      <c r="U6" s="3389"/>
      <c r="V6" s="3371"/>
      <c r="W6" s="3371"/>
      <c r="X6" s="1552"/>
      <c r="Y6" s="3388"/>
      <c r="Z6" s="3389"/>
      <c r="AA6" s="3375"/>
      <c r="AB6" s="3375"/>
      <c r="AC6" s="3375"/>
    </row>
    <row r="7" spans="1:29" s="1215" customFormat="1" ht="15.75" thickBot="1">
      <c r="A7" s="2866"/>
      <c r="B7" s="2873" t="s">
        <v>529</v>
      </c>
      <c r="C7" s="519">
        <f>'数据-取费表'!B2</f>
        <v>43810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1" t="s">
        <v>530</v>
      </c>
      <c r="Q7" s="3403"/>
      <c r="R7" s="1553" t="s">
        <v>8</v>
      </c>
      <c r="S7" s="1554">
        <f t="shared" ref="S7:S14" si="0">F7</f>
        <v>0</v>
      </c>
      <c r="T7" s="1553" t="s">
        <v>8</v>
      </c>
      <c r="U7" s="1554">
        <f t="shared" ref="U7:U14" si="1">H7</f>
        <v>0</v>
      </c>
      <c r="V7" s="1553" t="s">
        <v>8</v>
      </c>
      <c r="W7" s="1554">
        <f t="shared" ref="W7:W14" si="2">J7</f>
        <v>0</v>
      </c>
      <c r="X7" s="1555"/>
      <c r="Y7" s="3401" t="s">
        <v>530</v>
      </c>
      <c r="Z7" s="3402"/>
      <c r="AA7" s="1556" t="e">
        <f>D7/F7</f>
        <v>#DIV/0!</v>
      </c>
      <c r="AB7" s="1556" t="e">
        <f>D7/H7</f>
        <v>#DIV/0!</v>
      </c>
      <c r="AC7" s="1556"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34" si="3">D8/F8</f>
        <v>#DIV/0!</v>
      </c>
      <c r="AB8" s="1556" t="e">
        <f t="shared" ref="AB8:AB34" si="4">D8/H8</f>
        <v>#DIV/0!</v>
      </c>
      <c r="AC8" s="1556" t="e">
        <f t="shared" ref="AC8:AC34" si="5">D8/J8</f>
        <v>#DIV/0!</v>
      </c>
    </row>
    <row r="9" spans="1:29" s="1215"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70" t="s">
        <v>535</v>
      </c>
      <c r="Q9" s="1146" t="str">
        <f t="shared" ref="Q9:Q14" si="6">B9</f>
        <v>用途</v>
      </c>
      <c r="R9" s="1553" t="s">
        <v>8</v>
      </c>
      <c r="S9" s="1554">
        <f t="shared" si="0"/>
        <v>100</v>
      </c>
      <c r="T9" s="1553" t="s">
        <v>8</v>
      </c>
      <c r="U9" s="1554">
        <f t="shared" si="1"/>
        <v>100</v>
      </c>
      <c r="V9" s="1553" t="s">
        <v>8</v>
      </c>
      <c r="W9" s="1554">
        <f t="shared" si="2"/>
        <v>100</v>
      </c>
      <c r="X9" s="1555"/>
      <c r="Y9" s="3316" t="s">
        <v>536</v>
      </c>
      <c r="Z9" s="1145" t="str">
        <f t="shared" ref="Z9:Z14" si="7">Q9</f>
        <v>用途</v>
      </c>
      <c r="AA9" s="1556">
        <f t="shared" si="3"/>
        <v>1</v>
      </c>
      <c r="AB9" s="1556">
        <f t="shared" si="4"/>
        <v>1</v>
      </c>
      <c r="AC9" s="1556">
        <f t="shared" si="5"/>
        <v>1</v>
      </c>
    </row>
    <row r="10" spans="1:29" s="1333"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70"/>
      <c r="Q10" s="1146" t="str">
        <f t="shared" si="6"/>
        <v>土地使用年限（年）</v>
      </c>
      <c r="R10" s="1553" t="s">
        <v>8</v>
      </c>
      <c r="S10" s="1554">
        <f t="shared" si="0"/>
        <v>100</v>
      </c>
      <c r="T10" s="1553" t="s">
        <v>8</v>
      </c>
      <c r="U10" s="1554">
        <f t="shared" si="1"/>
        <v>100</v>
      </c>
      <c r="V10" s="1553" t="s">
        <v>8</v>
      </c>
      <c r="W10" s="1554">
        <f t="shared" si="2"/>
        <v>100</v>
      </c>
      <c r="X10" s="1555"/>
      <c r="Y10" s="3316"/>
      <c r="Z10" s="1145"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70"/>
      <c r="Q11" s="1146">
        <f t="shared" si="6"/>
        <v>111</v>
      </c>
      <c r="R11" s="1553" t="s">
        <v>8</v>
      </c>
      <c r="S11" s="1554">
        <f t="shared" si="0"/>
        <v>100</v>
      </c>
      <c r="T11" s="1553" t="s">
        <v>8</v>
      </c>
      <c r="U11" s="1554">
        <f t="shared" si="1"/>
        <v>100</v>
      </c>
      <c r="V11" s="1553" t="s">
        <v>8</v>
      </c>
      <c r="W11" s="1554">
        <f t="shared" si="2"/>
        <v>100</v>
      </c>
      <c r="X11" s="1555"/>
      <c r="Y11" s="3316"/>
      <c r="Z11" s="1145">
        <f t="shared" si="7"/>
        <v>111</v>
      </c>
      <c r="AA11" s="1556">
        <f t="shared" si="3"/>
        <v>1</v>
      </c>
      <c r="AB11" s="1556">
        <f t="shared" si="4"/>
        <v>1</v>
      </c>
      <c r="AC11" s="1556">
        <f t="shared" si="5"/>
        <v>1</v>
      </c>
    </row>
    <row r="12" spans="1:29" s="1215"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70"/>
      <c r="Q12" s="1146">
        <f t="shared" si="6"/>
        <v>111</v>
      </c>
      <c r="R12" s="1553" t="s">
        <v>8</v>
      </c>
      <c r="S12" s="1554">
        <f t="shared" si="0"/>
        <v>100</v>
      </c>
      <c r="T12" s="1553" t="s">
        <v>8</v>
      </c>
      <c r="U12" s="1554">
        <f t="shared" si="1"/>
        <v>100</v>
      </c>
      <c r="V12" s="1553" t="s">
        <v>8</v>
      </c>
      <c r="W12" s="1554">
        <f t="shared" si="2"/>
        <v>100</v>
      </c>
      <c r="X12" s="1555"/>
      <c r="Y12" s="3316"/>
      <c r="Z12" s="1145">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70"/>
      <c r="Q13" s="1146">
        <f t="shared" si="6"/>
        <v>111</v>
      </c>
      <c r="R13" s="1553" t="s">
        <v>8</v>
      </c>
      <c r="S13" s="1554">
        <f t="shared" si="0"/>
        <v>100</v>
      </c>
      <c r="T13" s="1553" t="s">
        <v>8</v>
      </c>
      <c r="U13" s="1554">
        <f t="shared" si="1"/>
        <v>100</v>
      </c>
      <c r="V13" s="1553" t="s">
        <v>8</v>
      </c>
      <c r="W13" s="1554">
        <f t="shared" si="2"/>
        <v>100</v>
      </c>
      <c r="X13" s="1555"/>
      <c r="Y13" s="3316"/>
      <c r="Z13" s="1145">
        <f t="shared" si="7"/>
        <v>111</v>
      </c>
      <c r="AA13" s="1556">
        <f t="shared" si="3"/>
        <v>1</v>
      </c>
      <c r="AB13" s="1556">
        <f t="shared" si="4"/>
        <v>1</v>
      </c>
      <c r="AC13" s="1556">
        <f t="shared" si="5"/>
        <v>1</v>
      </c>
    </row>
    <row r="14" spans="1:29" ht="85.5">
      <c r="A14" s="2864"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04" t="s">
        <v>540</v>
      </c>
      <c r="Q14" s="1557" t="str">
        <f t="shared" si="6"/>
        <v>交通便捷度</v>
      </c>
      <c r="R14" s="1558" t="s">
        <v>8</v>
      </c>
      <c r="S14" s="1559">
        <f t="shared" si="0"/>
        <v>100</v>
      </c>
      <c r="T14" s="1558" t="s">
        <v>8</v>
      </c>
      <c r="U14" s="1559">
        <f t="shared" si="1"/>
        <v>100</v>
      </c>
      <c r="V14" s="1558" t="s">
        <v>8</v>
      </c>
      <c r="W14" s="1559">
        <f t="shared" si="2"/>
        <v>100</v>
      </c>
      <c r="X14" s="1552"/>
      <c r="Y14" s="3404"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05"/>
      <c r="Q15" s="1557"/>
      <c r="R15" s="1558"/>
      <c r="S15" s="1559"/>
      <c r="T15" s="1558"/>
      <c r="U15" s="1559"/>
      <c r="V15" s="1558"/>
      <c r="W15" s="1559"/>
      <c r="X15" s="1552"/>
      <c r="Y15" s="3405"/>
      <c r="Z15" s="1560"/>
      <c r="AA15" s="1561">
        <v>1</v>
      </c>
      <c r="AB15" s="1561">
        <v>1</v>
      </c>
      <c r="AC15" s="1561">
        <v>1</v>
      </c>
    </row>
    <row r="16" spans="1:29" ht="42.75">
      <c r="A16" s="532"/>
      <c r="B16" s="2566"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05"/>
      <c r="Q16" s="1557" t="str">
        <f>B16</f>
        <v>公共配套设施</v>
      </c>
      <c r="R16" s="1558" t="s">
        <v>8</v>
      </c>
      <c r="S16" s="1559">
        <f>F16</f>
        <v>100</v>
      </c>
      <c r="T16" s="1558" t="s">
        <v>8</v>
      </c>
      <c r="U16" s="1559">
        <f>H16</f>
        <v>100</v>
      </c>
      <c r="V16" s="1558" t="s">
        <v>8</v>
      </c>
      <c r="W16" s="1559">
        <f>J16</f>
        <v>100</v>
      </c>
      <c r="X16" s="1552"/>
      <c r="Y16" s="3405"/>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05"/>
      <c r="Q17" s="1557"/>
      <c r="R17" s="1558"/>
      <c r="S17" s="1559"/>
      <c r="T17" s="1558"/>
      <c r="U17" s="1559"/>
      <c r="V17" s="1558"/>
      <c r="W17" s="1559"/>
      <c r="X17" s="1552"/>
      <c r="Y17" s="3405"/>
      <c r="Z17" s="1560"/>
      <c r="AA17" s="1561">
        <v>1</v>
      </c>
      <c r="AB17" s="1561">
        <v>1</v>
      </c>
      <c r="AC17" s="1561">
        <v>1</v>
      </c>
    </row>
    <row r="18" spans="1:29" ht="28.5">
      <c r="A18" s="532"/>
      <c r="B18" s="2554"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05"/>
      <c r="Q18" s="2542" t="str">
        <f>B18</f>
        <v>基础设施水平</v>
      </c>
      <c r="R18" s="1558" t="s">
        <v>8</v>
      </c>
      <c r="S18" s="1559">
        <f>F18</f>
        <v>100</v>
      </c>
      <c r="T18" s="1558" t="s">
        <v>8</v>
      </c>
      <c r="U18" s="1559">
        <f>H18</f>
        <v>100</v>
      </c>
      <c r="V18" s="1558" t="s">
        <v>8</v>
      </c>
      <c r="W18" s="1559">
        <f>J18</f>
        <v>100</v>
      </c>
      <c r="X18" s="2544"/>
      <c r="Y18" s="3405"/>
      <c r="Z18" s="2543" t="str">
        <f>Q18</f>
        <v>基础设施水平</v>
      </c>
      <c r="AA18" s="1561">
        <f>D18/F18</f>
        <v>1</v>
      </c>
      <c r="AB18" s="1561">
        <f>D18/H18</f>
        <v>1</v>
      </c>
      <c r="AC18" s="1561">
        <f>D18/J18</f>
        <v>1</v>
      </c>
    </row>
    <row r="19" spans="1:29" ht="15">
      <c r="A19" s="532"/>
      <c r="B19" s="578"/>
      <c r="C19" s="873"/>
      <c r="D19" s="559"/>
      <c r="E19" s="873"/>
      <c r="F19" s="563"/>
      <c r="G19" s="873"/>
      <c r="H19" s="555"/>
      <c r="I19" s="576"/>
      <c r="J19" s="555"/>
      <c r="K19" s="2565"/>
      <c r="L19" s="2126"/>
      <c r="M19" s="2118"/>
      <c r="N19" s="2118"/>
      <c r="O19" s="2125"/>
      <c r="P19" s="3405"/>
      <c r="Q19" s="2542"/>
      <c r="R19" s="1558"/>
      <c r="S19" s="1559"/>
      <c r="T19" s="1558"/>
      <c r="U19" s="1559"/>
      <c r="V19" s="1558"/>
      <c r="W19" s="1559"/>
      <c r="X19" s="2544"/>
      <c r="Y19" s="3405"/>
      <c r="Z19" s="2543"/>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05"/>
      <c r="Q20" s="1557" t="str">
        <f>B20</f>
        <v>自然及人文环境</v>
      </c>
      <c r="R20" s="1558" t="s">
        <v>8</v>
      </c>
      <c r="S20" s="1559">
        <f>F20</f>
        <v>100</v>
      </c>
      <c r="T20" s="1558" t="s">
        <v>8</v>
      </c>
      <c r="U20" s="1559">
        <f>H20</f>
        <v>100</v>
      </c>
      <c r="V20" s="1558" t="s">
        <v>8</v>
      </c>
      <c r="W20" s="1559">
        <f>J20</f>
        <v>100</v>
      </c>
      <c r="X20" s="1552"/>
      <c r="Y20" s="3405"/>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05"/>
      <c r="Q21" s="1557"/>
      <c r="R21" s="1558"/>
      <c r="S21" s="1559"/>
      <c r="T21" s="1558"/>
      <c r="U21" s="1559"/>
      <c r="V21" s="1558"/>
      <c r="W21" s="1559"/>
      <c r="X21" s="1552"/>
      <c r="Y21" s="3405"/>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05"/>
      <c r="Q22" s="1557" t="str">
        <f>B22</f>
        <v>楼层</v>
      </c>
      <c r="R22" s="1558" t="s">
        <v>8</v>
      </c>
      <c r="S22" s="1559">
        <f>F22</f>
        <v>100</v>
      </c>
      <c r="T22" s="1558" t="s">
        <v>8</v>
      </c>
      <c r="U22" s="1559">
        <f>H22</f>
        <v>100</v>
      </c>
      <c r="V22" s="1558" t="s">
        <v>8</v>
      </c>
      <c r="W22" s="1559">
        <f>J22</f>
        <v>100</v>
      </c>
      <c r="X22" s="1552"/>
      <c r="Y22" s="3405"/>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05"/>
      <c r="Q23" s="1557">
        <f>B23</f>
        <v>111</v>
      </c>
      <c r="R23" s="1558" t="s">
        <v>8</v>
      </c>
      <c r="S23" s="1559">
        <f>F23</f>
        <v>100</v>
      </c>
      <c r="T23" s="1558" t="s">
        <v>8</v>
      </c>
      <c r="U23" s="1559">
        <f>H23</f>
        <v>100</v>
      </c>
      <c r="V23" s="1558" t="s">
        <v>8</v>
      </c>
      <c r="W23" s="1559">
        <f>J23</f>
        <v>100</v>
      </c>
      <c r="X23" s="1552"/>
      <c r="Y23" s="3405"/>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05"/>
      <c r="Q24" s="1557">
        <f t="shared" ref="Q24:Q34" si="8">B24</f>
        <v>111</v>
      </c>
      <c r="R24" s="1558" t="s">
        <v>8</v>
      </c>
      <c r="S24" s="1559">
        <f>F24</f>
        <v>100</v>
      </c>
      <c r="T24" s="1558" t="s">
        <v>8</v>
      </c>
      <c r="U24" s="1559">
        <f>H24</f>
        <v>100</v>
      </c>
      <c r="V24" s="1558" t="s">
        <v>8</v>
      </c>
      <c r="W24" s="1559">
        <f>J24</f>
        <v>100</v>
      </c>
      <c r="X24" s="1552"/>
      <c r="Y24" s="3405"/>
      <c r="Z24" s="1560">
        <f>Q24</f>
        <v>111</v>
      </c>
      <c r="AA24" s="1561">
        <f t="shared" si="3"/>
        <v>1</v>
      </c>
      <c r="AB24" s="1561">
        <f t="shared" si="4"/>
        <v>1</v>
      </c>
      <c r="AC24" s="1561">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05"/>
      <c r="Q25" s="1146">
        <f t="shared" si="8"/>
        <v>111</v>
      </c>
      <c r="R25" s="1553" t="s">
        <v>8</v>
      </c>
      <c r="S25" s="1554">
        <f>F25</f>
        <v>100</v>
      </c>
      <c r="T25" s="1553" t="s">
        <v>8</v>
      </c>
      <c r="U25" s="1554">
        <f>H25</f>
        <v>100</v>
      </c>
      <c r="V25" s="1553" t="s">
        <v>8</v>
      </c>
      <c r="W25" s="1554">
        <f>J25</f>
        <v>100</v>
      </c>
      <c r="X25" s="1555"/>
      <c r="Y25" s="3405"/>
      <c r="Z25" s="1145">
        <f>Q25</f>
        <v>111</v>
      </c>
      <c r="AA25" s="1561">
        <f>D25/F25</f>
        <v>1</v>
      </c>
      <c r="AB25" s="1561">
        <f>D25/H25</f>
        <v>1</v>
      </c>
      <c r="AC25" s="1561">
        <f>D25/J25</f>
        <v>1</v>
      </c>
    </row>
    <row r="26" spans="1:29" ht="15">
      <c r="A26" s="2861"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06" t="s">
        <v>821</v>
      </c>
      <c r="Q26" s="1557" t="str">
        <f t="shared" si="8"/>
        <v>公共部分装修</v>
      </c>
      <c r="R26" s="1558" t="s">
        <v>8</v>
      </c>
      <c r="S26" s="1559">
        <f t="shared" ref="S26:S34" si="9">F26</f>
        <v>100</v>
      </c>
      <c r="T26" s="1558" t="s">
        <v>8</v>
      </c>
      <c r="U26" s="1559">
        <f t="shared" ref="U26:U34" si="10">H26</f>
        <v>100</v>
      </c>
      <c r="V26" s="1558" t="s">
        <v>8</v>
      </c>
      <c r="W26" s="1559">
        <f t="shared" ref="W26:W34" si="11">J26</f>
        <v>100</v>
      </c>
      <c r="X26" s="1552"/>
      <c r="Y26" s="3407" t="s">
        <v>821</v>
      </c>
      <c r="Z26" s="1560" t="str">
        <f t="shared" ref="Z26:Z34" si="12">Q26</f>
        <v>公共部分装修</v>
      </c>
      <c r="AA26" s="1561">
        <f t="shared" si="3"/>
        <v>1</v>
      </c>
      <c r="AB26" s="1561">
        <f t="shared" si="4"/>
        <v>1</v>
      </c>
      <c r="AC26" s="1561">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07"/>
      <c r="Q27" s="1589" t="str">
        <f t="shared" si="8"/>
        <v>成新率</v>
      </c>
      <c r="R27" s="1562" t="s">
        <v>8</v>
      </c>
      <c r="S27" s="1563" t="e">
        <f t="shared" si="9"/>
        <v>#N/A</v>
      </c>
      <c r="T27" s="1562" t="s">
        <v>8</v>
      </c>
      <c r="U27" s="1563" t="e">
        <f t="shared" si="10"/>
        <v>#N/A</v>
      </c>
      <c r="V27" s="1562" t="s">
        <v>8</v>
      </c>
      <c r="W27" s="1563" t="e">
        <f t="shared" si="11"/>
        <v>#N/A</v>
      </c>
      <c r="X27" s="1564"/>
      <c r="Y27" s="3407"/>
      <c r="Z27" s="1565" t="str">
        <f t="shared" si="12"/>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07"/>
      <c r="Q28" s="1557" t="str">
        <f t="shared" si="8"/>
        <v>物业等级</v>
      </c>
      <c r="R28" s="1558" t="s">
        <v>8</v>
      </c>
      <c r="S28" s="1559">
        <f t="shared" si="9"/>
        <v>100</v>
      </c>
      <c r="T28" s="1558" t="s">
        <v>8</v>
      </c>
      <c r="U28" s="1559">
        <f t="shared" si="10"/>
        <v>100</v>
      </c>
      <c r="V28" s="1558" t="s">
        <v>8</v>
      </c>
      <c r="W28" s="1559">
        <f t="shared" si="11"/>
        <v>100</v>
      </c>
      <c r="X28" s="1552"/>
      <c r="Y28" s="3407"/>
      <c r="Z28" s="1560" t="str">
        <f t="shared" si="12"/>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07"/>
      <c r="Q29" s="1557" t="str">
        <f t="shared" si="8"/>
        <v>有无电梯</v>
      </c>
      <c r="R29" s="1558" t="s">
        <v>8</v>
      </c>
      <c r="S29" s="1559">
        <f t="shared" si="9"/>
        <v>100</v>
      </c>
      <c r="T29" s="1558" t="s">
        <v>8</v>
      </c>
      <c r="U29" s="1559">
        <f t="shared" si="10"/>
        <v>100</v>
      </c>
      <c r="V29" s="1558" t="s">
        <v>8</v>
      </c>
      <c r="W29" s="1559">
        <f t="shared" si="11"/>
        <v>100</v>
      </c>
      <c r="X29" s="1552"/>
      <c r="Y29" s="3407"/>
      <c r="Z29" s="1560" t="str">
        <f t="shared" si="12"/>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07"/>
      <c r="Q30" s="1557" t="str">
        <f t="shared" si="8"/>
        <v>建筑面积</v>
      </c>
      <c r="R30" s="1558" t="s">
        <v>8</v>
      </c>
      <c r="S30" s="1559" t="e">
        <f t="shared" si="9"/>
        <v>#N/A</v>
      </c>
      <c r="T30" s="1558" t="s">
        <v>8</v>
      </c>
      <c r="U30" s="1559" t="e">
        <f t="shared" si="10"/>
        <v>#N/A</v>
      </c>
      <c r="V30" s="1558" t="s">
        <v>8</v>
      </c>
      <c r="W30" s="1559" t="e">
        <f t="shared" si="11"/>
        <v>#N/A</v>
      </c>
      <c r="X30" s="1552"/>
      <c r="Y30" s="3407"/>
      <c r="Z30" s="1560" t="str">
        <f t="shared" si="12"/>
        <v>建筑面积</v>
      </c>
      <c r="AA30" s="1561" t="e">
        <f t="shared" si="3"/>
        <v>#N/A</v>
      </c>
      <c r="AB30" s="1561" t="e">
        <f t="shared" si="4"/>
        <v>#N/A</v>
      </c>
      <c r="AC30" s="1561"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07"/>
      <c r="Q31" s="1146" t="str">
        <f t="shared" si="8"/>
        <v>是否封闭</v>
      </c>
      <c r="R31" s="1553" t="s">
        <v>8</v>
      </c>
      <c r="S31" s="1554">
        <f t="shared" si="9"/>
        <v>100</v>
      </c>
      <c r="T31" s="1553" t="s">
        <v>8</v>
      </c>
      <c r="U31" s="1554">
        <f t="shared" si="10"/>
        <v>100</v>
      </c>
      <c r="V31" s="1553" t="s">
        <v>8</v>
      </c>
      <c r="W31" s="1554">
        <f t="shared" si="11"/>
        <v>100</v>
      </c>
      <c r="X31" s="1555"/>
      <c r="Y31" s="3407"/>
      <c r="Z31" s="1145" t="str">
        <f t="shared" si="12"/>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07" t="s">
        <v>550</v>
      </c>
      <c r="Q32" s="1557">
        <f t="shared" si="8"/>
        <v>111</v>
      </c>
      <c r="R32" s="1558" t="s">
        <v>8</v>
      </c>
      <c r="S32" s="1559">
        <f t="shared" si="9"/>
        <v>100</v>
      </c>
      <c r="T32" s="1558" t="s">
        <v>8</v>
      </c>
      <c r="U32" s="1559">
        <f t="shared" si="10"/>
        <v>100</v>
      </c>
      <c r="V32" s="1558" t="s">
        <v>8</v>
      </c>
      <c r="W32" s="1559">
        <f t="shared" si="11"/>
        <v>100</v>
      </c>
      <c r="X32" s="1552"/>
      <c r="Y32" s="3407" t="s">
        <v>550</v>
      </c>
      <c r="Z32" s="1560">
        <f t="shared" si="12"/>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07"/>
      <c r="Q33" s="1557">
        <f t="shared" si="8"/>
        <v>111</v>
      </c>
      <c r="R33" s="1558" t="s">
        <v>8</v>
      </c>
      <c r="S33" s="1559">
        <f t="shared" si="9"/>
        <v>100</v>
      </c>
      <c r="T33" s="1558" t="s">
        <v>8</v>
      </c>
      <c r="U33" s="1559">
        <f t="shared" si="10"/>
        <v>100</v>
      </c>
      <c r="V33" s="1558" t="s">
        <v>8</v>
      </c>
      <c r="W33" s="1559">
        <f t="shared" si="11"/>
        <v>100</v>
      </c>
      <c r="X33" s="1552"/>
      <c r="Y33" s="3407"/>
      <c r="Z33" s="1560">
        <f t="shared" si="12"/>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07"/>
      <c r="Q34" s="1557">
        <f t="shared" si="8"/>
        <v>111</v>
      </c>
      <c r="R34" s="1558" t="s">
        <v>8</v>
      </c>
      <c r="S34" s="1559">
        <f t="shared" si="9"/>
        <v>100</v>
      </c>
      <c r="T34" s="1558" t="s">
        <v>8</v>
      </c>
      <c r="U34" s="1559">
        <f t="shared" si="10"/>
        <v>100</v>
      </c>
      <c r="V34" s="1558" t="s">
        <v>8</v>
      </c>
      <c r="W34" s="1559">
        <f t="shared" si="11"/>
        <v>100</v>
      </c>
      <c r="X34" s="1552"/>
      <c r="Y34" s="3407"/>
      <c r="Z34" s="1560">
        <f t="shared" si="12"/>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370" t="str">
        <f>A35</f>
        <v>成交单价（元/平方米）</v>
      </c>
      <c r="Q35" s="3370"/>
      <c r="R35" s="3487">
        <f>E35</f>
        <v>0</v>
      </c>
      <c r="S35" s="3487"/>
      <c r="T35" s="3487">
        <f>G35</f>
        <v>0</v>
      </c>
      <c r="U35" s="3487"/>
      <c r="V35" s="3487">
        <f>I35</f>
        <v>0</v>
      </c>
      <c r="W35" s="3487"/>
      <c r="X35" s="1544"/>
      <c r="Y35" s="1566"/>
      <c r="Z35" s="1544"/>
      <c r="AA35" s="1544"/>
      <c r="AB35" s="1544"/>
      <c r="AC35" s="1544"/>
    </row>
    <row r="36" spans="1:29" ht="15.7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370" t="str">
        <f>A36</f>
        <v>比较价格（元/平方米）</v>
      </c>
      <c r="Q36" s="3370"/>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44"/>
      <c r="Y36" s="1544"/>
      <c r="Z36" s="1544"/>
      <c r="AA36" s="1544"/>
      <c r="AB36" s="1544"/>
      <c r="AC36" s="1544"/>
    </row>
    <row r="37" spans="1:29" ht="15.75" thickBot="1">
      <c r="A37" s="621" t="s">
        <v>2935</v>
      </c>
      <c r="B37" s="622"/>
      <c r="C37" s="2599" t="e">
        <f>R37</f>
        <v>#DIV/0!</v>
      </c>
      <c r="D37" s="2599"/>
      <c r="E37" s="2599"/>
      <c r="F37" s="2599"/>
      <c r="G37" s="2599"/>
      <c r="H37" s="2599"/>
      <c r="I37" s="2599"/>
      <c r="J37" s="2599"/>
      <c r="K37" s="1597"/>
      <c r="L37" s="2128"/>
      <c r="M37" s="2129"/>
      <c r="N37" s="2129"/>
      <c r="O37" s="2129"/>
      <c r="P37" s="3367" t="str">
        <f>A37</f>
        <v>估价对象XX用房的比较价格（楼面单价，元/平方米）</v>
      </c>
      <c r="Q37" s="3368"/>
      <c r="R37" s="3486" t="e">
        <f>IF(F1="售价",ROUND(AVERAGE(R36:V36),0),ROUND(AVERAGE(R36:V36),1))</f>
        <v>#DIV/0!</v>
      </c>
      <c r="S37" s="3486"/>
      <c r="T37" s="3486"/>
      <c r="U37" s="3486"/>
      <c r="V37" s="3486"/>
      <c r="W37" s="3486"/>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5" t="s">
        <v>529</v>
      </c>
      <c r="B46" s="646"/>
      <c r="C46" s="2756" t="str">
        <f>YEAR(C7)&amp;"-"&amp;MONTH(C7)</f>
        <v>2019-12</v>
      </c>
      <c r="D46" s="2758">
        <f>EDATE(C46,-1)</f>
        <v>43770</v>
      </c>
      <c r="E46" s="2758">
        <f t="shared" ref="E46:O46" si="13">EDATE(D46,-1)</f>
        <v>43739</v>
      </c>
      <c r="F46" s="2758">
        <f t="shared" si="13"/>
        <v>43709</v>
      </c>
      <c r="G46" s="2758">
        <f t="shared" si="13"/>
        <v>43678</v>
      </c>
      <c r="H46" s="2758">
        <f t="shared" si="13"/>
        <v>43647</v>
      </c>
      <c r="I46" s="2758">
        <f t="shared" si="13"/>
        <v>43617</v>
      </c>
      <c r="J46" s="2758">
        <f t="shared" si="13"/>
        <v>43586</v>
      </c>
      <c r="K46" s="2758">
        <f t="shared" si="13"/>
        <v>43556</v>
      </c>
      <c r="L46" s="2758">
        <f t="shared" si="13"/>
        <v>43525</v>
      </c>
      <c r="M46" s="2758">
        <f t="shared" si="13"/>
        <v>43497</v>
      </c>
      <c r="N46" s="2758">
        <f t="shared" si="13"/>
        <v>43466</v>
      </c>
      <c r="O46" s="2758">
        <f t="shared" si="13"/>
        <v>43435</v>
      </c>
      <c r="P46" s="2144"/>
      <c r="Q46" s="2145"/>
      <c r="R46" s="2145"/>
      <c r="S46" s="2145"/>
      <c r="T46" s="2145"/>
      <c r="U46" s="2145"/>
      <c r="V46" s="2145"/>
      <c r="W46" s="2145"/>
      <c r="X46" s="2145"/>
      <c r="Y46" s="2145"/>
      <c r="Z46" s="2145"/>
      <c r="AA46" s="2145"/>
      <c r="AB46" s="2145"/>
      <c r="AC46" s="2145"/>
    </row>
    <row r="47" spans="1:29" s="1215"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111025.1平方米。根据《建设工程规划许可证》[]、《出让合同》[]，估价对象规划建筑面积为248359.16平方米。</v>
      </c>
    </row>
    <row r="7" spans="1:4" ht="93.75">
      <c r="A7" s="2827" t="s">
        <v>2746</v>
      </c>
    </row>
    <row r="8" spans="1:4" ht="18.75">
      <c r="A8" s="1778" t="s">
        <v>1906</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2019年12月11日（评估专业人员勘察现场之日）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根据《国有土地使用证》[]，估价对象（分摊）出让国有建设用地使用权面积为111025.1平方米。根据《建设工程规划许可证》[]、《出让合同》[]，估价对象规划建筑面积为248359.16平方米。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2747</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2303</v>
      </c>
      <c r="C1" s="3496" t="s">
        <v>2304</v>
      </c>
      <c r="D1" s="3497"/>
      <c r="E1" s="3497"/>
      <c r="F1" s="3497"/>
      <c r="G1" s="3497"/>
      <c r="H1" s="3497"/>
      <c r="I1" s="3497"/>
      <c r="J1" s="3497"/>
      <c r="K1" s="3497"/>
      <c r="L1" s="3497"/>
      <c r="M1" s="3497"/>
      <c r="N1" s="3497"/>
      <c r="O1" s="3497"/>
      <c r="P1" s="3497"/>
      <c r="Q1" s="3497"/>
      <c r="R1" s="3497"/>
      <c r="S1" s="3498"/>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2">D6-$T5</f>
        <v>100</v>
      </c>
      <c r="F6" s="1953">
        <f t="shared" si="2"/>
        <v>100</v>
      </c>
      <c r="G6" s="1953">
        <f t="shared" si="2"/>
        <v>100</v>
      </c>
      <c r="H6" s="1953">
        <f t="shared" si="2"/>
        <v>100</v>
      </c>
      <c r="I6" s="1953">
        <f t="shared" si="2"/>
        <v>100</v>
      </c>
      <c r="J6" s="1953">
        <f t="shared" si="2"/>
        <v>100</v>
      </c>
      <c r="K6" s="1953">
        <f t="shared" si="2"/>
        <v>100</v>
      </c>
      <c r="L6" s="1953">
        <f t="shared" si="2"/>
        <v>100</v>
      </c>
      <c r="M6" s="1953">
        <f t="shared" si="2"/>
        <v>100</v>
      </c>
      <c r="N6" s="1953">
        <f t="shared" si="2"/>
        <v>100</v>
      </c>
      <c r="O6" s="1953">
        <f t="shared" si="2"/>
        <v>100</v>
      </c>
      <c r="P6" s="1953">
        <f t="shared" si="2"/>
        <v>100</v>
      </c>
      <c r="Q6" s="1953">
        <f t="shared" si="2"/>
        <v>100</v>
      </c>
      <c r="R6" s="1953">
        <f t="shared" si="2"/>
        <v>100</v>
      </c>
      <c r="S6" s="1953">
        <f t="shared" si="2"/>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4">D10-$T9</f>
        <v>100</v>
      </c>
      <c r="F10" s="2251">
        <f t="shared" si="4"/>
        <v>100</v>
      </c>
      <c r="G10" s="2251">
        <f t="shared" si="4"/>
        <v>100</v>
      </c>
      <c r="H10" s="2251">
        <f t="shared" si="4"/>
        <v>100</v>
      </c>
      <c r="I10" s="2251">
        <f t="shared" si="4"/>
        <v>100</v>
      </c>
      <c r="J10" s="2251">
        <f t="shared" si="4"/>
        <v>100</v>
      </c>
      <c r="K10" s="2251">
        <f t="shared" si="4"/>
        <v>100</v>
      </c>
      <c r="L10" s="2251">
        <f t="shared" si="4"/>
        <v>100</v>
      </c>
      <c r="M10" s="2251">
        <f t="shared" si="4"/>
        <v>100</v>
      </c>
      <c r="N10" s="2251">
        <f t="shared" si="4"/>
        <v>100</v>
      </c>
      <c r="O10" s="2251">
        <f t="shared" si="4"/>
        <v>100</v>
      </c>
      <c r="P10" s="2251">
        <f t="shared" si="4"/>
        <v>100</v>
      </c>
      <c r="Q10" s="2251">
        <f t="shared" si="4"/>
        <v>100</v>
      </c>
      <c r="R10" s="2251">
        <f t="shared" si="4"/>
        <v>100</v>
      </c>
      <c r="S10" s="2251">
        <f t="shared" si="4"/>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493" t="s">
        <v>20</v>
      </c>
      <c r="D22" s="3494"/>
      <c r="E22" s="3494"/>
      <c r="F22" s="3494"/>
      <c r="G22" s="3494"/>
      <c r="H22" s="3494"/>
      <c r="I22" s="3494"/>
      <c r="J22" s="3494"/>
      <c r="K22" s="3494"/>
      <c r="L22" s="3494"/>
      <c r="M22" s="3494"/>
      <c r="N22" s="3494"/>
      <c r="O22" s="3494"/>
      <c r="P22" s="3494"/>
      <c r="Q22" s="3495"/>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E44" sqref="E44"/>
    </sheetView>
  </sheetViews>
  <sheetFormatPr defaultRowHeight="13.5"/>
  <cols>
    <col min="1" max="1" width="10.5" customWidth="1"/>
    <col min="2" max="2" width="12.875" customWidth="1"/>
    <col min="3" max="3" width="8.75" customWidth="1"/>
  </cols>
  <sheetData>
    <row r="1" spans="1:13" ht="14.25">
      <c r="A1" s="3465" t="s">
        <v>2471</v>
      </c>
      <c r="B1" s="3466"/>
      <c r="C1" s="3467"/>
      <c r="D1" s="3468">
        <f>SUM(I10,I15,I20,I21,I23)</f>
        <v>0</v>
      </c>
      <c r="E1" s="3468"/>
      <c r="F1" s="3468"/>
      <c r="G1" s="3468"/>
      <c r="H1" s="3468"/>
      <c r="I1" s="3469"/>
    </row>
    <row r="2" spans="1:13">
      <c r="A2" s="3470" t="s">
        <v>2472</v>
      </c>
      <c r="B2" s="3471" t="s">
        <v>2473</v>
      </c>
      <c r="C2" s="3471"/>
      <c r="D2" s="3189" t="s">
        <v>2474</v>
      </c>
      <c r="E2" s="3189" t="s">
        <v>2475</v>
      </c>
      <c r="F2" s="3189" t="s">
        <v>2476</v>
      </c>
      <c r="G2" s="3189" t="s">
        <v>2477</v>
      </c>
      <c r="H2" s="3189" t="s">
        <v>2478</v>
      </c>
      <c r="I2" s="2471" t="s">
        <v>2479</v>
      </c>
    </row>
    <row r="3" spans="1:13">
      <c r="A3" s="3470"/>
      <c r="B3" s="3471" t="s">
        <v>2480</v>
      </c>
      <c r="C3" s="3471"/>
      <c r="D3" s="2472"/>
      <c r="E3" s="3189"/>
      <c r="F3" s="2473"/>
      <c r="G3" s="2473"/>
      <c r="H3" s="2474"/>
      <c r="I3" s="2475">
        <f>ROUND(D3*E3*F3*G3*H3/10000,0)</f>
        <v>0</v>
      </c>
    </row>
    <row r="4" spans="1:13">
      <c r="A4" s="3470"/>
      <c r="B4" s="3471" t="s">
        <v>2481</v>
      </c>
      <c r="C4" s="3471"/>
      <c r="D4" s="2472"/>
      <c r="E4" s="3189"/>
      <c r="F4" s="2473"/>
      <c r="G4" s="2473"/>
      <c r="H4" s="2474"/>
      <c r="I4" s="2475">
        <f t="shared" ref="I4:I9" si="0">ROUND(D4*E4*F4*G4*H4/10000,0)</f>
        <v>0</v>
      </c>
    </row>
    <row r="5" spans="1:13">
      <c r="A5" s="3470"/>
      <c r="B5" s="3471" t="s">
        <v>2482</v>
      </c>
      <c r="C5" s="3471"/>
      <c r="D5" s="2472"/>
      <c r="E5" s="3189"/>
      <c r="F5" s="2473"/>
      <c r="G5" s="2473"/>
      <c r="H5" s="2474"/>
      <c r="I5" s="2475">
        <f t="shared" si="0"/>
        <v>0</v>
      </c>
      <c r="K5">
        <v>40</v>
      </c>
      <c r="L5">
        <v>772</v>
      </c>
      <c r="M5">
        <f>K5*L5</f>
        <v>30880</v>
      </c>
    </row>
    <row r="6" spans="1:13">
      <c r="A6" s="3470"/>
      <c r="B6" s="3471" t="s">
        <v>2483</v>
      </c>
      <c r="C6" s="3471"/>
      <c r="D6" s="2472"/>
      <c r="E6" s="3189"/>
      <c r="F6" s="2473"/>
      <c r="G6" s="2473"/>
      <c r="H6" s="2474"/>
      <c r="I6" s="2475">
        <f t="shared" si="0"/>
        <v>0</v>
      </c>
      <c r="K6">
        <v>80</v>
      </c>
      <c r="L6">
        <v>360</v>
      </c>
      <c r="M6">
        <f>K6*L6</f>
        <v>28800</v>
      </c>
    </row>
    <row r="7" spans="1:13">
      <c r="A7" s="3470"/>
      <c r="B7" s="3471" t="s">
        <v>2484</v>
      </c>
      <c r="C7" s="3471"/>
      <c r="D7" s="2472"/>
      <c r="E7" s="3189"/>
      <c r="F7" s="2473"/>
      <c r="G7" s="2473"/>
      <c r="H7" s="2474"/>
      <c r="I7" s="2475">
        <f t="shared" si="0"/>
        <v>0</v>
      </c>
    </row>
    <row r="8" spans="1:13">
      <c r="A8" s="3470"/>
      <c r="B8" s="3471" t="s">
        <v>2485</v>
      </c>
      <c r="C8" s="3471"/>
      <c r="D8" s="2472"/>
      <c r="E8" s="3189"/>
      <c r="F8" s="2473"/>
      <c r="G8" s="2473"/>
      <c r="H8" s="2474"/>
      <c r="I8" s="2475">
        <f t="shared" si="0"/>
        <v>0</v>
      </c>
    </row>
    <row r="9" spans="1:13">
      <c r="A9" s="3470"/>
      <c r="B9" s="3471" t="s">
        <v>2486</v>
      </c>
      <c r="C9" s="3471"/>
      <c r="D9" s="2472"/>
      <c r="E9" s="3189"/>
      <c r="F9" s="2473"/>
      <c r="G9" s="2473"/>
      <c r="H9" s="2474"/>
      <c r="I9" s="2475">
        <f t="shared" si="0"/>
        <v>0</v>
      </c>
    </row>
    <row r="10" spans="1:13">
      <c r="A10" s="3470"/>
      <c r="B10" s="3472" t="s">
        <v>2487</v>
      </c>
      <c r="C10" s="3472"/>
      <c r="D10" s="2476">
        <v>527</v>
      </c>
      <c r="E10" s="2476" t="e">
        <f>ROUND(D1*10000/D10/H9,0)</f>
        <v>#DIV/0!</v>
      </c>
      <c r="F10" s="2477"/>
      <c r="G10" s="2477"/>
      <c r="H10" s="2478"/>
      <c r="I10" s="2479">
        <f>SUM(I3:I9)</f>
        <v>0</v>
      </c>
    </row>
    <row r="11" spans="1:13" ht="14.25">
      <c r="A11" s="3470" t="s">
        <v>2488</v>
      </c>
      <c r="B11" s="3471" t="s">
        <v>2489</v>
      </c>
      <c r="C11" s="3471"/>
      <c r="D11" s="2472" t="s">
        <v>2490</v>
      </c>
      <c r="E11" s="2472" t="s">
        <v>2491</v>
      </c>
      <c r="F11" s="2473" t="s">
        <v>2492</v>
      </c>
      <c r="G11" s="2473" t="s">
        <v>2478</v>
      </c>
      <c r="H11" s="2480" t="s">
        <v>2494</v>
      </c>
      <c r="I11" s="2471" t="s">
        <v>2479</v>
      </c>
    </row>
    <row r="12" spans="1:13">
      <c r="A12" s="3470"/>
      <c r="B12" s="3471" t="s">
        <v>2496</v>
      </c>
      <c r="C12" s="3471"/>
      <c r="D12" s="2472"/>
      <c r="E12" s="2472"/>
      <c r="F12" s="2473"/>
      <c r="G12" s="2474"/>
      <c r="H12" s="2481"/>
      <c r="I12" s="2471">
        <f>ROUND(D12*E12*F12*G12/10000,0)</f>
        <v>0</v>
      </c>
    </row>
    <row r="13" spans="1:13">
      <c r="A13" s="3470"/>
      <c r="B13" s="3471" t="s">
        <v>2497</v>
      </c>
      <c r="C13" s="3471"/>
      <c r="D13" s="2472"/>
      <c r="E13" s="2472"/>
      <c r="F13" s="2473"/>
      <c r="G13" s="2474"/>
      <c r="H13" s="2481"/>
      <c r="I13" s="2471">
        <f>ROUND(D13*E13*F13*G13/10000,0)</f>
        <v>0</v>
      </c>
    </row>
    <row r="14" spans="1:13">
      <c r="A14" s="3470"/>
      <c r="B14" s="3471" t="s">
        <v>2498</v>
      </c>
      <c r="C14" s="3471"/>
      <c r="D14" s="2472"/>
      <c r="E14" s="2472"/>
      <c r="F14" s="2473"/>
      <c r="G14" s="2474"/>
      <c r="H14" s="2481"/>
      <c r="I14" s="2471">
        <f>ROUND(D14*E14*F14*G14/10000,0)</f>
        <v>0</v>
      </c>
    </row>
    <row r="15" spans="1:13">
      <c r="A15" s="3470"/>
      <c r="B15" s="3472" t="s">
        <v>2487</v>
      </c>
      <c r="C15" s="3472"/>
      <c r="D15" s="2476"/>
      <c r="E15" s="2476">
        <f>SUM(E12:E14)</f>
        <v>0</v>
      </c>
      <c r="F15" s="2477"/>
      <c r="G15" s="2474"/>
      <c r="H15" s="2481"/>
      <c r="I15" s="2482">
        <f>SUM(I12:I14)</f>
        <v>0</v>
      </c>
    </row>
    <row r="16" spans="1:13" ht="24">
      <c r="A16" s="3470" t="s">
        <v>2499</v>
      </c>
      <c r="B16" s="3471" t="s">
        <v>2500</v>
      </c>
      <c r="C16" s="3471"/>
      <c r="D16" s="2472" t="s">
        <v>2474</v>
      </c>
      <c r="E16" s="2483" t="s">
        <v>2502</v>
      </c>
      <c r="F16" s="2473" t="s">
        <v>2503</v>
      </c>
      <c r="G16" s="2474" t="s">
        <v>2478</v>
      </c>
      <c r="H16" s="2480" t="s">
        <v>2494</v>
      </c>
      <c r="I16" s="2471" t="s">
        <v>2479</v>
      </c>
    </row>
    <row r="17" spans="1:9" ht="14.25">
      <c r="A17" s="3470"/>
      <c r="B17" s="3471" t="s">
        <v>2504</v>
      </c>
      <c r="C17" s="3471"/>
      <c r="D17" s="2472"/>
      <c r="E17" s="2472"/>
      <c r="F17" s="2473"/>
      <c r="G17" s="2474"/>
      <c r="H17" s="2484"/>
      <c r="I17" s="2485">
        <f>ROUND(D17*E17*F17*G17/10000,0)</f>
        <v>0</v>
      </c>
    </row>
    <row r="18" spans="1:9" ht="14.25">
      <c r="A18" s="3470"/>
      <c r="B18" s="3471" t="s">
        <v>2505</v>
      </c>
      <c r="C18" s="3471"/>
      <c r="D18" s="2472"/>
      <c r="E18" s="2472"/>
      <c r="F18" s="2473"/>
      <c r="G18" s="2474"/>
      <c r="H18" s="2484"/>
      <c r="I18" s="2485">
        <f>ROUND(D18*E18*F18*G18/10000,0)</f>
        <v>0</v>
      </c>
    </row>
    <row r="19" spans="1:9" ht="14.25">
      <c r="A19" s="3470"/>
      <c r="B19" s="3471" t="s">
        <v>2506</v>
      </c>
      <c r="C19" s="3471"/>
      <c r="D19" s="2472"/>
      <c r="E19" s="2472"/>
      <c r="F19" s="2473"/>
      <c r="G19" s="2474"/>
      <c r="H19" s="2484"/>
      <c r="I19" s="2485">
        <f>ROUND(D19*E19*F19*G19/10000,0)</f>
        <v>0</v>
      </c>
    </row>
    <row r="20" spans="1:9">
      <c r="A20" s="3470"/>
      <c r="B20" s="3472" t="s">
        <v>2487</v>
      </c>
      <c r="C20" s="3472"/>
      <c r="D20" s="2476">
        <f>SUM(D17:D19)</f>
        <v>0</v>
      </c>
      <c r="E20" s="2476"/>
      <c r="F20" s="2477"/>
      <c r="G20" s="2474"/>
      <c r="H20" s="2481"/>
      <c r="I20" s="2482">
        <f>SUM(I17:I19)</f>
        <v>0</v>
      </c>
    </row>
    <row r="21" spans="1:9">
      <c r="A21" s="3470" t="s">
        <v>2507</v>
      </c>
      <c r="B21" s="3474"/>
      <c r="C21" s="3474"/>
      <c r="D21" s="3474"/>
      <c r="E21" s="3474"/>
      <c r="F21" s="3474"/>
      <c r="G21" s="3474"/>
      <c r="H21" s="2486">
        <v>0.1</v>
      </c>
      <c r="I21" s="2479">
        <f>ROUND(I10*H21,0)</f>
        <v>0</v>
      </c>
    </row>
    <row r="22" spans="1:9" ht="14.25">
      <c r="A22" s="3475" t="s">
        <v>2508</v>
      </c>
      <c r="B22" s="3476"/>
      <c r="C22" s="3477"/>
      <c r="D22" s="2487" t="s">
        <v>1959</v>
      </c>
      <c r="E22" s="2487" t="s">
        <v>2510</v>
      </c>
      <c r="F22" s="2488" t="s">
        <v>2478</v>
      </c>
      <c r="G22" s="2488" t="s">
        <v>2512</v>
      </c>
      <c r="H22" s="2480" t="s">
        <v>2494</v>
      </c>
      <c r="I22" s="2471" t="s">
        <v>2479</v>
      </c>
    </row>
    <row r="23" spans="1:9" ht="14.25" thickBot="1">
      <c r="A23" s="3478"/>
      <c r="B23" s="3479"/>
      <c r="C23" s="3480"/>
      <c r="D23" s="2489"/>
      <c r="E23" s="2489"/>
      <c r="F23" s="2489"/>
      <c r="G23" s="2490"/>
      <c r="H23" s="2491"/>
      <c r="I23" s="2492">
        <f>ROUND(E23*D23*F23*(1-G23)/10000,0)</f>
        <v>0</v>
      </c>
    </row>
    <row r="26" spans="1:9">
      <c r="A26" s="2493" t="s">
        <v>2515</v>
      </c>
      <c r="B26" s="2493"/>
      <c r="C26" s="2493"/>
      <c r="D26" s="2493"/>
      <c r="E26" s="3481">
        <f>C27-C30-C31-C32</f>
        <v>18000</v>
      </c>
      <c r="F26" s="3481"/>
      <c r="G26" s="3481"/>
      <c r="H26" s="2994" t="s">
        <v>2841</v>
      </c>
    </row>
    <row r="27" spans="1:9">
      <c r="A27" s="3191">
        <v>1</v>
      </c>
      <c r="B27" s="3190" t="s">
        <v>2516</v>
      </c>
      <c r="C27" s="3190">
        <f>C28+C29</f>
        <v>75000</v>
      </c>
      <c r="D27" s="3190"/>
      <c r="E27" s="3482"/>
      <c r="F27" s="3482"/>
      <c r="G27" s="3482"/>
    </row>
    <row r="28" spans="1:9">
      <c r="A28" s="2496" t="s">
        <v>1870</v>
      </c>
      <c r="B28" s="3190" t="s">
        <v>2518</v>
      </c>
      <c r="C28" s="3190">
        <f>80000*0.75</f>
        <v>60000</v>
      </c>
      <c r="D28" s="3190"/>
      <c r="E28" s="3482"/>
      <c r="F28" s="3482"/>
      <c r="G28" s="3482"/>
    </row>
    <row r="29" spans="1:9">
      <c r="A29" s="2496" t="s">
        <v>1871</v>
      </c>
      <c r="B29" s="3190" t="s">
        <v>2460</v>
      </c>
      <c r="C29" s="3190">
        <f>20000*0.75</f>
        <v>15000</v>
      </c>
      <c r="D29" s="3190"/>
      <c r="E29" s="3190" t="s">
        <v>2520</v>
      </c>
      <c r="F29" s="3190"/>
      <c r="G29" s="3190"/>
    </row>
    <row r="30" spans="1:9">
      <c r="A30" s="3191">
        <v>2</v>
      </c>
      <c r="B30" s="3190" t="s">
        <v>3129</v>
      </c>
      <c r="C30" s="3190">
        <f>C28*D30</f>
        <v>42000</v>
      </c>
      <c r="D30" s="2497">
        <f>酒店收入计算!D30</f>
        <v>0.7</v>
      </c>
      <c r="E30" s="3190" t="s">
        <v>2521</v>
      </c>
      <c r="F30" s="3190"/>
      <c r="G30" s="3190"/>
    </row>
    <row r="31" spans="1:9">
      <c r="A31" s="3191">
        <v>3</v>
      </c>
      <c r="B31" s="3190" t="s">
        <v>3130</v>
      </c>
      <c r="C31" s="3190">
        <f>C29*D31</f>
        <v>7500</v>
      </c>
      <c r="D31" s="2497">
        <f>酒店收入计算!D31</f>
        <v>0.5</v>
      </c>
      <c r="E31" s="3190" t="s">
        <v>2522</v>
      </c>
      <c r="F31" s="3190"/>
      <c r="G31" s="3190"/>
    </row>
    <row r="32" spans="1:9">
      <c r="A32" s="3191">
        <v>4</v>
      </c>
      <c r="B32" s="3190" t="s">
        <v>2523</v>
      </c>
      <c r="C32" s="3190">
        <f>C27*D32</f>
        <v>7500</v>
      </c>
      <c r="D32" s="2497">
        <v>0.1</v>
      </c>
      <c r="E32" s="3473"/>
      <c r="F32" s="3473"/>
      <c r="G32" s="3473"/>
    </row>
    <row r="33" spans="1:7" hidden="1">
      <c r="A33" s="3483" t="s">
        <v>2524</v>
      </c>
      <c r="B33" s="3484"/>
      <c r="C33" s="3484"/>
      <c r="D33" s="3485"/>
      <c r="E33" s="3481"/>
      <c r="F33" s="3481"/>
      <c r="G33" s="3481"/>
    </row>
    <row r="34" spans="1:7" hidden="1">
      <c r="A34" s="2498">
        <v>1</v>
      </c>
      <c r="B34" s="3190" t="s">
        <v>2525</v>
      </c>
      <c r="C34" s="3190"/>
      <c r="D34" s="3190"/>
      <c r="E34" s="3482"/>
      <c r="F34" s="3482"/>
      <c r="G34" s="3482"/>
    </row>
    <row r="35" spans="1:7" hidden="1">
      <c r="A35" s="2498">
        <v>2</v>
      </c>
      <c r="B35" s="3190" t="s">
        <v>2526</v>
      </c>
      <c r="C35" s="3190"/>
      <c r="D35" s="3190"/>
      <c r="E35" s="3482"/>
      <c r="F35" s="3482"/>
      <c r="G35" s="3482"/>
    </row>
    <row r="36" spans="1:7" hidden="1">
      <c r="A36" s="2498">
        <v>3</v>
      </c>
      <c r="B36" s="3190" t="s">
        <v>2527</v>
      </c>
      <c r="C36" s="3190"/>
      <c r="D36" s="3190"/>
      <c r="E36" s="3482"/>
      <c r="F36" s="3482"/>
      <c r="G36" s="3482"/>
    </row>
    <row r="37" spans="1:7" hidden="1">
      <c r="A37" s="2498">
        <v>4</v>
      </c>
      <c r="B37" s="3190" t="s">
        <v>2528</v>
      </c>
      <c r="C37" s="3190"/>
      <c r="D37" s="3190"/>
      <c r="E37" s="3482"/>
      <c r="F37" s="3482"/>
      <c r="G37" s="3482"/>
    </row>
    <row r="38" spans="1:7" hidden="1">
      <c r="A38" s="3483" t="s">
        <v>2529</v>
      </c>
      <c r="B38" s="3484"/>
      <c r="C38" s="3484"/>
      <c r="D38" s="3485"/>
      <c r="E38" s="3481"/>
      <c r="F38" s="3481"/>
      <c r="G38" s="34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43810</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3" sqref="A33"/>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2038</v>
      </c>
      <c r="B1" s="3207"/>
      <c r="C1" s="3207"/>
      <c r="D1" s="3207"/>
      <c r="E1" s="3207"/>
      <c r="F1" s="3207"/>
      <c r="G1" s="3207"/>
      <c r="H1" s="3207"/>
      <c r="I1" s="3207"/>
      <c r="J1" s="3207"/>
      <c r="K1" s="3207"/>
      <c r="L1" s="3207"/>
      <c r="M1" s="3207"/>
      <c r="N1" s="3207"/>
      <c r="O1" s="3207"/>
      <c r="P1" s="3207"/>
      <c r="Q1" s="3207"/>
      <c r="R1" s="3207"/>
    </row>
    <row r="2" spans="1:18">
      <c r="A2" s="1791" t="s">
        <v>2040</v>
      </c>
      <c r="B2" s="1791"/>
      <c r="C2" s="1791"/>
      <c r="D2" s="1791"/>
      <c r="E2" s="1791"/>
      <c r="F2" s="1791"/>
      <c r="G2" s="1791"/>
      <c r="H2" s="1791"/>
      <c r="I2" s="1792"/>
      <c r="J2" s="1792"/>
      <c r="K2" s="1793" t="str">
        <f>"估价期日："&amp;TEXT(项目基本情况!D3,"yyyy年m月d日;;")</f>
        <v>估价期日：2019年12月11日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8" t="s">
        <v>2029</v>
      </c>
      <c r="B3" s="3208" t="s">
        <v>2729</v>
      </c>
      <c r="C3" s="3209" t="s">
        <v>2030</v>
      </c>
      <c r="D3" s="3208" t="s">
        <v>2733</v>
      </c>
      <c r="E3" s="3203" t="s">
        <v>2031</v>
      </c>
      <c r="F3" s="3203"/>
      <c r="G3" s="3203"/>
      <c r="H3" s="3203" t="s">
        <v>2032</v>
      </c>
      <c r="I3" s="3203"/>
      <c r="J3" s="3203"/>
      <c r="K3" s="3209" t="s">
        <v>2033</v>
      </c>
      <c r="L3" s="3209" t="s">
        <v>2034</v>
      </c>
      <c r="M3" s="3208" t="s">
        <v>2730</v>
      </c>
      <c r="N3" s="3210" t="str">
        <f>"（分摊）"&amp;项目基本情况!B16&amp;"国有建设用地使用权面积/㎡"</f>
        <v>（分摊）出让国有建设用地使用权面积/㎡</v>
      </c>
      <c r="O3" s="3208" t="s">
        <v>2063</v>
      </c>
      <c r="P3" s="3209" t="s">
        <v>2043</v>
      </c>
      <c r="Q3" s="3209" t="s">
        <v>2064</v>
      </c>
      <c r="R3" s="3209" t="s">
        <v>2035</v>
      </c>
    </row>
    <row r="4" spans="1:18" ht="36.75" customHeight="1">
      <c r="A4" s="3208"/>
      <c r="B4" s="3208"/>
      <c r="C4" s="3209"/>
      <c r="D4" s="3208"/>
      <c r="E4" s="2612" t="s">
        <v>2042</v>
      </c>
      <c r="F4" s="2612" t="s">
        <v>2742</v>
      </c>
      <c r="G4" s="2612" t="s">
        <v>2036</v>
      </c>
      <c r="H4" s="2612" t="s">
        <v>2037</v>
      </c>
      <c r="I4" s="2612" t="s">
        <v>2743</v>
      </c>
      <c r="J4" s="2612" t="s">
        <v>2036</v>
      </c>
      <c r="K4" s="3209"/>
      <c r="L4" s="3209"/>
      <c r="M4" s="3208"/>
      <c r="N4" s="3210"/>
      <c r="O4" s="3208"/>
      <c r="P4" s="3209"/>
      <c r="Q4" s="3209"/>
      <c r="R4" s="3209"/>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111025.1</v>
      </c>
      <c r="O5" s="1794">
        <f>项目基本情况!C21</f>
        <v>248359.16</v>
      </c>
      <c r="P5" s="1794">
        <f ca="1">结果表!E42</f>
        <v>948</v>
      </c>
      <c r="Q5" s="1794">
        <f ca="1">结果表!D42</f>
        <v>424</v>
      </c>
      <c r="R5" s="1795">
        <f ca="1">结果表!C42</f>
        <v>10526</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6"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6"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2" t="s">
        <v>2065</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2066</v>
      </c>
      <c r="B5" s="3211"/>
      <c r="C5" s="3211"/>
      <c r="D5" s="3211"/>
    </row>
    <row r="6" spans="1:4">
      <c r="A6" s="3212" t="s">
        <v>2044</v>
      </c>
      <c r="B6" s="3212"/>
      <c r="C6" s="3212"/>
      <c r="D6" s="3212"/>
    </row>
    <row r="7" spans="1:4" ht="33" customHeight="1">
      <c r="A7" s="3212" t="s">
        <v>2573</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1" t="s">
        <v>2068</v>
      </c>
      <c r="B12" s="3211"/>
      <c r="C12" s="3211"/>
      <c r="D12" s="3211"/>
    </row>
    <row r="13" spans="1:4">
      <c r="A13" s="3215" t="s">
        <v>2744</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2700</v>
      </c>
      <c r="B17" s="3212"/>
      <c r="C17" s="3212"/>
      <c r="D17" s="3212"/>
    </row>
    <row r="18" spans="1:4">
      <c r="A18" s="3212" t="s">
        <v>2692</v>
      </c>
      <c r="B18" s="3212"/>
      <c r="C18" s="3212"/>
      <c r="D18" s="3212"/>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12" t="s">
        <v>2697</v>
      </c>
      <c r="B23" s="3212"/>
      <c r="C23" s="3212"/>
      <c r="D23" s="3212"/>
    </row>
    <row r="24" spans="1:4">
      <c r="A24" s="2822" t="s">
        <v>2693</v>
      </c>
      <c r="B24" s="2822" t="s">
        <v>2698</v>
      </c>
      <c r="C24" s="2822" t="s">
        <v>2695</v>
      </c>
      <c r="D24" s="2822" t="s">
        <v>2696</v>
      </c>
    </row>
    <row r="25" spans="1:4">
      <c r="A25" s="2825" t="s">
        <v>2699</v>
      </c>
      <c r="B25" s="2822" t="s">
        <v>952</v>
      </c>
      <c r="C25" s="2824"/>
      <c r="D25" s="1784" t="s">
        <v>2702</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3" t="s">
        <v>53</v>
      </c>
      <c r="B15" s="3224" t="s">
        <v>846</v>
      </c>
      <c r="C15" s="3220"/>
    </row>
    <row r="16" spans="1:7" ht="14.25">
      <c r="A16" s="3223"/>
      <c r="B16" s="3221" t="s">
        <v>54</v>
      </c>
      <c r="C16" s="1167" t="s">
        <v>53</v>
      </c>
    </row>
    <row r="17" spans="1:3" ht="14.25">
      <c r="A17" s="3223"/>
      <c r="B17" s="3221"/>
      <c r="C17" s="1167" t="s">
        <v>55</v>
      </c>
    </row>
    <row r="18" spans="1:3" ht="14.25">
      <c r="A18" s="3223"/>
      <c r="B18" s="3221"/>
      <c r="C18" s="1167" t="s">
        <v>56</v>
      </c>
    </row>
    <row r="19" spans="1:3" ht="14.25">
      <c r="A19" s="3223"/>
      <c r="B19" s="3219" t="s">
        <v>57</v>
      </c>
      <c r="C19" s="3220"/>
    </row>
    <row r="20" spans="1:3" ht="14.25">
      <c r="A20" s="1168" t="s">
        <v>58</v>
      </c>
      <c r="B20" s="1169"/>
      <c r="C20" s="1170"/>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1" t="s">
        <v>837</v>
      </c>
    </row>
    <row r="25" spans="1:3" ht="14.25">
      <c r="A25" s="3222"/>
      <c r="B25" s="3226"/>
      <c r="C25" s="1171" t="s">
        <v>838</v>
      </c>
    </row>
    <row r="26" spans="1:3" ht="14.25">
      <c r="A26" s="3222"/>
      <c r="B26" s="3226"/>
      <c r="C26" s="1171" t="s">
        <v>839</v>
      </c>
    </row>
    <row r="27" spans="1:3" ht="14.25">
      <c r="A27" s="3222"/>
      <c r="B27" s="3226"/>
      <c r="C27" s="1171" t="s">
        <v>840</v>
      </c>
    </row>
    <row r="28" spans="1:3" ht="14.25">
      <c r="A28" s="3222"/>
      <c r="B28" s="3226"/>
      <c r="C28" s="1171" t="s">
        <v>841</v>
      </c>
    </row>
    <row r="29" spans="1:3" ht="14.25">
      <c r="A29" s="3222"/>
      <c r="B29" s="3226"/>
      <c r="C29" s="1171" t="s">
        <v>842</v>
      </c>
    </row>
    <row r="30" spans="1:3" ht="14.25">
      <c r="A30" s="3222"/>
      <c r="B30" s="3226"/>
      <c r="C30" s="1171" t="s">
        <v>843</v>
      </c>
    </row>
    <row r="31" spans="1:3" ht="14.25">
      <c r="A31" s="3222"/>
      <c r="B31" s="3226"/>
      <c r="C31" s="1171" t="s">
        <v>844</v>
      </c>
    </row>
    <row r="32" spans="1:3" ht="14.25">
      <c r="A32" s="3222"/>
      <c r="B32" s="3226"/>
      <c r="C32" s="1171" t="s">
        <v>1646</v>
      </c>
    </row>
    <row r="33" spans="1:3" ht="14.25">
      <c r="A33" s="3222"/>
      <c r="B33" s="3216" t="s">
        <v>1652</v>
      </c>
      <c r="C33" s="1171" t="s">
        <v>1647</v>
      </c>
    </row>
    <row r="34" spans="1:3" ht="14.25">
      <c r="A34" s="3222"/>
      <c r="B34" s="3217"/>
      <c r="C34" s="1176" t="s">
        <v>1648</v>
      </c>
    </row>
    <row r="35" spans="1:3" ht="14.25">
      <c r="A35" s="3222"/>
      <c r="B35" s="3217"/>
      <c r="C35" s="1177" t="s">
        <v>1649</v>
      </c>
    </row>
    <row r="36" spans="1:3" ht="14.25">
      <c r="A36" s="3222"/>
      <c r="B36" s="3217"/>
      <c r="C36" s="1177" t="s">
        <v>1650</v>
      </c>
    </row>
    <row r="37" spans="1:3" ht="14.25">
      <c r="A37" s="3222"/>
      <c r="B37" s="3218"/>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43811</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2572</v>
      </c>
      <c r="B15" s="3130">
        <f ca="1">IF(C15&lt;B2,"已过期",1120070085)</f>
        <v>1120070085</v>
      </c>
      <c r="C15" s="3134">
        <v>43814</v>
      </c>
      <c r="D15" s="3130" t="s">
        <v>2982</v>
      </c>
      <c r="E15" s="3130">
        <f ca="1">IF(F15&lt;B2,"已过期",2004110128)</f>
        <v>2004110128</v>
      </c>
      <c r="F15" s="3136">
        <v>47118</v>
      </c>
    </row>
    <row r="16" spans="1:6" ht="20.25" customHeight="1">
      <c r="A16" s="3130" t="s">
        <v>1923</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t="s">
        <v>2997</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27" t="s">
        <v>1926</v>
      </c>
      <c r="B25" s="3227"/>
      <c r="C25" s="3227"/>
      <c r="D25" s="3227"/>
      <c r="E25" s="3227"/>
      <c r="F25" s="3227"/>
      <c r="G25" s="3227"/>
    </row>
    <row r="26" spans="1:7" ht="20.25" customHeight="1">
      <c r="A26" s="3228" t="s">
        <v>1927</v>
      </c>
      <c r="B26" s="3228"/>
      <c r="C26" s="3228"/>
      <c r="D26" s="3228" t="s">
        <v>1928</v>
      </c>
      <c r="E26" s="3228"/>
      <c r="F26" s="3228"/>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44820</v>
      </c>
      <c r="D28" s="3141" t="s">
        <v>1934</v>
      </c>
      <c r="E28" s="3141" t="s">
        <v>1935</v>
      </c>
      <c r="F28" s="3142">
        <v>44377</v>
      </c>
    </row>
    <row r="29" spans="1:7" s="3125" customFormat="1" ht="20.25" customHeight="1">
      <c r="A29" s="3141"/>
      <c r="B29" s="3141"/>
      <c r="C29" s="3143"/>
      <c r="D29" s="3141" t="s">
        <v>1936</v>
      </c>
      <c r="E29" s="3141" t="s">
        <v>2998</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2954</v>
      </c>
      <c r="C18" s="1539"/>
    </row>
    <row r="19" spans="1:3">
      <c r="A19" s="8" t="s">
        <v>120</v>
      </c>
      <c r="B19" s="3063" t="s">
        <v>2962</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29"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c r="D53" s="1751"/>
      <c r="E53" s="1751"/>
    </row>
    <row r="54" spans="1:5">
      <c r="A54" s="3229"/>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9"/>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9"/>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9"/>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酒店收入计算 (2)</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2019-12-12T08:36:45Z</dcterms:modified>
</cp:coreProperties>
</file>