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30清林东路\F02-13层\"/>
    </mc:Choice>
  </mc:AlternateContent>
  <xr:revisionPtr revIDLastSave="0" documentId="13_ncr:1_{C336A098-2F98-4FC8-8AD1-19F76F9B6A44}" xr6:coauthVersionLast="45" xr6:coauthVersionMax="45"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3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9" i="67" l="1"/>
  <c r="J18" i="67"/>
  <c r="AA18" i="1"/>
  <c r="M19" i="1"/>
  <c r="Z19" i="1"/>
  <c r="N6" i="1"/>
  <c r="B14" i="74"/>
  <c r="G48" i="34"/>
  <c r="I34" i="34"/>
  <c r="G34" i="34"/>
  <c r="E34" i="34"/>
  <c r="C37" i="34"/>
  <c r="I37" i="34"/>
  <c r="E37" i="34"/>
  <c r="G37" i="34"/>
  <c r="I7" i="34"/>
  <c r="G7" i="34"/>
  <c r="E7" i="34"/>
  <c r="P54" i="80"/>
  <c r="P55" i="80"/>
  <c r="I48" i="34"/>
  <c r="P53" i="80"/>
  <c r="E48" i="34"/>
  <c r="F19" i="6"/>
  <c r="C34" i="34"/>
  <c r="D14" i="9"/>
  <c r="Y6" i="1"/>
  <c r="D33" i="43"/>
  <c r="D3" i="4"/>
  <c r="A15" i="51" s="1"/>
  <c r="B12" i="72" s="1"/>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s="1"/>
  <c r="D6" i="78" s="1"/>
  <c r="C7"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T23" i="79"/>
  <c r="W23" i="79"/>
  <c r="L29" i="79"/>
  <c r="I29" i="79"/>
  <c r="AD29" i="79"/>
  <c r="AB25" i="79"/>
  <c r="AA25" i="79"/>
  <c r="Z25" i="79"/>
  <c r="N25" i="79"/>
  <c r="U23" i="79"/>
  <c r="M25" i="79"/>
  <c r="L25" i="79"/>
  <c r="L23" i="79"/>
  <c r="I25" i="79"/>
  <c r="AD25" i="79"/>
  <c r="AA23" i="79"/>
  <c r="AD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M14" i="79"/>
  <c r="T14" i="79"/>
  <c r="W14" i="79"/>
  <c r="L14" i="79"/>
  <c r="K14" i="79"/>
  <c r="R14" i="79"/>
  <c r="I14" i="79"/>
  <c r="AC13" i="79"/>
  <c r="AB13" i="79"/>
  <c r="AA13" i="79"/>
  <c r="AD13" i="79"/>
  <c r="Z13" i="79"/>
  <c r="Y13" i="79"/>
  <c r="O13" i="79"/>
  <c r="N13" i="79"/>
  <c r="M13" i="79"/>
  <c r="P13" i="79"/>
  <c r="L13" i="79"/>
  <c r="K13" i="79"/>
  <c r="I13" i="79"/>
  <c r="AC12" i="79"/>
  <c r="AB12" i="79"/>
  <c r="AA12" i="79"/>
  <c r="AD12" i="79"/>
  <c r="Z12" i="79"/>
  <c r="Y12" i="79"/>
  <c r="O12" i="79"/>
  <c r="N12" i="79"/>
  <c r="M12" i="79"/>
  <c r="L12" i="79"/>
  <c r="K12" i="79"/>
  <c r="I12" i="79"/>
  <c r="AC11" i="79"/>
  <c r="AB11" i="79"/>
  <c r="AA11" i="79"/>
  <c r="AD11" i="79"/>
  <c r="Z11" i="79"/>
  <c r="Y11" i="79"/>
  <c r="O11" i="79"/>
  <c r="N11" i="79"/>
  <c r="M11" i="79"/>
  <c r="P11" i="79"/>
  <c r="L11" i="79"/>
  <c r="K11" i="79"/>
  <c r="I11" i="79"/>
  <c r="AC10" i="79"/>
  <c r="AB10" i="79"/>
  <c r="AA10" i="79"/>
  <c r="AD10" i="79"/>
  <c r="Z10" i="79"/>
  <c r="Y10" i="79"/>
  <c r="O10" i="79"/>
  <c r="N10" i="79"/>
  <c r="M10" i="79"/>
  <c r="L10" i="79"/>
  <c r="K10" i="79"/>
  <c r="I10" i="79"/>
  <c r="AC9" i="79"/>
  <c r="AB9" i="79"/>
  <c r="AA9" i="79"/>
  <c r="AD9" i="79"/>
  <c r="Z9" i="79"/>
  <c r="Z3" i="79"/>
  <c r="Y9" i="79"/>
  <c r="O9" i="79"/>
  <c r="N9" i="79"/>
  <c r="M9" i="79"/>
  <c r="L9" i="79"/>
  <c r="K9" i="79"/>
  <c r="I9" i="79"/>
  <c r="AC5" i="79"/>
  <c r="AB5" i="79"/>
  <c r="AA5" i="79"/>
  <c r="AD5" i="79"/>
  <c r="Z5" i="79"/>
  <c r="Y5" i="79"/>
  <c r="O5" i="79"/>
  <c r="N5" i="79"/>
  <c r="M5" i="79"/>
  <c r="P5" i="79"/>
  <c r="L5" i="79"/>
  <c r="K5" i="79"/>
  <c r="I5" i="79"/>
  <c r="AB3" i="79"/>
  <c r="V3" i="79"/>
  <c r="O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M3" i="79"/>
  <c r="P3" i="79"/>
  <c r="T3" i="79"/>
  <c r="W3" i="79"/>
  <c r="S3" i="79"/>
  <c r="U3" i="79"/>
  <c r="Y3" i="79"/>
  <c r="AC3" i="79"/>
  <c r="R10" i="79"/>
  <c r="T10" i="79"/>
  <c r="W10" i="79"/>
  <c r="V10" i="79"/>
  <c r="S11" i="79"/>
  <c r="U11" i="79"/>
  <c r="R12" i="79"/>
  <c r="T12" i="79"/>
  <c r="W12" i="79"/>
  <c r="V12" i="79"/>
  <c r="R13" i="79"/>
  <c r="V13" i="79"/>
  <c r="S14" i="79"/>
  <c r="U14" i="79"/>
  <c r="L3" i="79"/>
  <c r="N3" i="79"/>
  <c r="AA3" i="79"/>
  <c r="AD3" i="79"/>
  <c r="S10" i="79"/>
  <c r="U10" i="79"/>
  <c r="R11" i="79"/>
  <c r="V11" i="79"/>
  <c r="S12" i="79"/>
  <c r="U12" i="79"/>
  <c r="S13" i="79"/>
  <c r="U13" i="79"/>
  <c r="N23" i="79"/>
  <c r="AD30" i="79"/>
  <c r="S31" i="79"/>
  <c r="U31" i="79"/>
  <c r="AD32" i="79"/>
  <c r="T32" i="79"/>
  <c r="W32" i="79"/>
  <c r="S33" i="79"/>
  <c r="U33" i="79"/>
  <c r="AD34" i="79"/>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D7" i="78"/>
  <c r="C18" i="78"/>
  <c r="C15"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D29" i="77"/>
  <c r="E23" i="77"/>
  <c r="D26" i="77"/>
  <c r="D32" i="77"/>
  <c r="C29" i="77"/>
  <c r="C32" i="77"/>
  <c r="C38" i="77"/>
  <c r="C3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F24" i="71"/>
  <c r="F23" i="71"/>
  <c r="F22" i="71"/>
  <c r="P24" i="71"/>
  <c r="O24" i="71"/>
  <c r="C24" i="71"/>
  <c r="C23" i="71"/>
  <c r="Q25" i="71"/>
  <c r="P25" i="71"/>
  <c r="E24" i="71"/>
  <c r="E23" i="71"/>
  <c r="E22"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A22" i="51"/>
  <c r="B17" i="72"/>
  <c r="A21" i="51"/>
  <c r="B16" i="72"/>
  <c r="A20" i="51"/>
  <c r="A15" i="62"/>
  <c r="B61" i="72"/>
  <c r="A14" i="62"/>
  <c r="A13" i="62"/>
  <c r="B59" i="72"/>
  <c r="A19" i="62"/>
  <c r="A12" i="62"/>
  <c r="B58" i="72"/>
  <c r="A120" i="9"/>
  <c r="A6" i="52"/>
  <c r="B57" i="72"/>
  <c r="H2" i="52"/>
  <c r="A1" i="52"/>
  <c r="A3" i="53"/>
  <c r="Q26" i="71"/>
  <c r="P26" i="71"/>
  <c r="O26" i="71"/>
  <c r="N26" i="7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E111" i="9"/>
  <c r="A126" i="9"/>
  <c r="A12" i="52"/>
  <c r="B56" i="72"/>
  <c r="E109" i="9"/>
  <c r="A124" i="9"/>
  <c r="A10" i="52"/>
  <c r="B55" i="72"/>
  <c r="B44" i="72"/>
  <c r="B42" i="72"/>
  <c r="B69" i="72"/>
  <c r="B68" i="72"/>
  <c r="B63" i="72"/>
  <c r="B62" i="72"/>
  <c r="B65" i="72"/>
  <c r="B60" i="72"/>
  <c r="B66" i="72"/>
  <c r="B10" i="72"/>
  <c r="C53" i="10"/>
  <c r="B51" i="10"/>
  <c r="A18" i="51"/>
  <c r="B13" i="72" s="1"/>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C68" i="71"/>
  <c r="B68" i="71"/>
  <c r="S68" i="71"/>
  <c r="F67" i="71"/>
  <c r="D65" i="71"/>
  <c r="Q64" i="71"/>
  <c r="P64" i="71"/>
  <c r="O64" i="71"/>
  <c r="N64" i="71"/>
  <c r="Q63" i="71"/>
  <c r="P63" i="71"/>
  <c r="O63" i="71"/>
  <c r="N63" i="71"/>
  <c r="Q62" i="71"/>
  <c r="P62" i="71"/>
  <c r="O62" i="71"/>
  <c r="C63"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E55" i="71"/>
  <c r="E56" i="71"/>
  <c r="U56"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D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AB38" i="71"/>
  <c r="P38" i="71"/>
  <c r="AA37" i="71"/>
  <c r="O38" i="71"/>
  <c r="Y38" i="71"/>
  <c r="Z38" i="71"/>
  <c r="N38" i="71"/>
  <c r="Q37" i="71"/>
  <c r="F38" i="71"/>
  <c r="F39" i="71"/>
  <c r="F40" i="71"/>
  <c r="V40" i="71"/>
  <c r="P37" i="71"/>
  <c r="O37" i="71"/>
  <c r="C38" i="71"/>
  <c r="N37" i="71"/>
  <c r="D37" i="71"/>
  <c r="Q36" i="71"/>
  <c r="P36" i="71"/>
  <c r="O36" i="71"/>
  <c r="Y36" i="71"/>
  <c r="Z36" i="71"/>
  <c r="N36" i="71"/>
  <c r="Q35" i="71"/>
  <c r="AB35" i="71"/>
  <c r="P35" i="71"/>
  <c r="O35" i="71"/>
  <c r="N35" i="71"/>
  <c r="Q34" i="71"/>
  <c r="P34" i="71"/>
  <c r="O34" i="71"/>
  <c r="N34" i="71"/>
  <c r="Q33" i="71"/>
  <c r="F34" i="71"/>
  <c r="F35" i="71"/>
  <c r="P33" i="71"/>
  <c r="O33" i="71"/>
  <c r="N33" i="71"/>
  <c r="D33" i="71"/>
  <c r="Q32" i="71"/>
  <c r="P32" i="71"/>
  <c r="O32" i="71"/>
  <c r="N32" i="71"/>
  <c r="Q31" i="71"/>
  <c r="P31" i="71"/>
  <c r="AA31" i="71"/>
  <c r="O31" i="71"/>
  <c r="N31" i="71"/>
  <c r="X31" i="71"/>
  <c r="Q30" i="71"/>
  <c r="P30" i="71"/>
  <c r="AA30" i="71"/>
  <c r="O30" i="71"/>
  <c r="Y30" i="71"/>
  <c r="Z30" i="71"/>
  <c r="N30" i="71"/>
  <c r="Q29" i="71"/>
  <c r="P29" i="71"/>
  <c r="E30" i="71"/>
  <c r="O29" i="71"/>
  <c r="N29" i="71"/>
  <c r="D29" i="71"/>
  <c r="O28" i="71"/>
  <c r="N28" i="71"/>
  <c r="B30" i="71"/>
  <c r="B31" i="71"/>
  <c r="X29" i="71"/>
  <c r="B34" i="71"/>
  <c r="B35" i="71"/>
  <c r="X33" i="71"/>
  <c r="B38" i="71"/>
  <c r="B39" i="71"/>
  <c r="B40" i="71"/>
  <c r="S40" i="71"/>
  <c r="E38" i="71"/>
  <c r="E39" i="71"/>
  <c r="E40" i="71"/>
  <c r="U40" i="71"/>
  <c r="N68" i="71"/>
  <c r="E34" i="71"/>
  <c r="AA33" i="71"/>
  <c r="X30" i="71"/>
  <c r="X32" i="71"/>
  <c r="C34" i="71"/>
  <c r="C35" i="71"/>
  <c r="Y33" i="71"/>
  <c r="Z33" i="71"/>
  <c r="AB33" i="71"/>
  <c r="AA34" i="71"/>
  <c r="AA35" i="71"/>
  <c r="AA36" i="71"/>
  <c r="Y37" i="71"/>
  <c r="Z37" i="71"/>
  <c r="AB37" i="71"/>
  <c r="AA38" i="71"/>
  <c r="F51" i="71"/>
  <c r="F52" i="71"/>
  <c r="V52" i="71"/>
  <c r="C28" i="71"/>
  <c r="C27" i="71"/>
  <c r="C26" i="71"/>
  <c r="D26" i="71"/>
  <c r="Y26" i="71"/>
  <c r="Z26" i="71"/>
  <c r="Y28" i="71"/>
  <c r="Z28" i="71"/>
  <c r="X25" i="71"/>
  <c r="X27" i="71"/>
  <c r="D34" i="71"/>
  <c r="C43" i="71"/>
  <c r="C44" i="71"/>
  <c r="C47" i="71"/>
  <c r="D47" i="71"/>
  <c r="C51" i="71"/>
  <c r="C52" i="71"/>
  <c r="P28" i="71"/>
  <c r="E59" i="71"/>
  <c r="E60" i="71"/>
  <c r="U60" i="71"/>
  <c r="E63" i="71"/>
  <c r="E64" i="71"/>
  <c r="U64" i="71"/>
  <c r="U68" i="71"/>
  <c r="Q28" i="71"/>
  <c r="D54" i="71"/>
  <c r="D58" i="71"/>
  <c r="D62" i="71"/>
  <c r="T68" i="71"/>
  <c r="D68" i="71"/>
  <c r="Q68" i="71"/>
  <c r="C71" i="71"/>
  <c r="E71" i="71"/>
  <c r="E70" i="71"/>
  <c r="D72" i="71"/>
  <c r="C75" i="71"/>
  <c r="D76" i="71"/>
  <c r="C79" i="71"/>
  <c r="E79" i="71"/>
  <c r="E78" i="71"/>
  <c r="D80" i="71"/>
  <c r="C83" i="71"/>
  <c r="C82" i="71"/>
  <c r="D82" i="71"/>
  <c r="C87" i="71"/>
  <c r="C86" i="71"/>
  <c r="D86" i="71"/>
  <c r="T28" i="71"/>
  <c r="F28" i="71"/>
  <c r="F27" i="71"/>
  <c r="F26" i="71"/>
  <c r="AB28" i="71"/>
  <c r="AA25" i="71"/>
  <c r="AA27" i="71"/>
  <c r="D28" i="71"/>
  <c r="U28" i="71"/>
  <c r="C64" i="71"/>
  <c r="D64" i="71"/>
  <c r="D63" i="71"/>
  <c r="D83" i="71"/>
  <c r="D75" i="71"/>
  <c r="C74" i="71"/>
  <c r="D74" i="71"/>
  <c r="D87" i="71"/>
  <c r="D79" i="71"/>
  <c r="C78" i="71"/>
  <c r="D78" i="71"/>
  <c r="D71" i="71"/>
  <c r="C70" i="71"/>
  <c r="D70" i="71"/>
  <c r="C60" i="71"/>
  <c r="D59" i="71"/>
  <c r="C56" i="71"/>
  <c r="D55" i="71"/>
  <c r="D51" i="71"/>
  <c r="D43" i="71"/>
  <c r="C36" i="71"/>
  <c r="D35" i="71"/>
  <c r="T36" i="71"/>
  <c r="D36"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H21" i="34"/>
  <c r="AB21" i="34"/>
  <c r="H21" i="33"/>
  <c r="U21" i="33"/>
  <c r="F21" i="33"/>
  <c r="AA21" i="33"/>
  <c r="E83" i="21"/>
  <c r="F83" i="21"/>
  <c r="H1" i="69"/>
  <c r="W25" i="40"/>
  <c r="U25" i="40"/>
  <c r="U29" i="39"/>
  <c r="W29" i="39"/>
  <c r="W18" i="36"/>
  <c r="AB21" i="37"/>
  <c r="U21" i="37"/>
  <c r="S21" i="37"/>
  <c r="AB21" i="33"/>
  <c r="S21" i="33"/>
  <c r="U18" i="35"/>
  <c r="AC18" i="35"/>
  <c r="W18" i="35"/>
  <c r="J21" i="37"/>
  <c r="W21" i="37"/>
  <c r="J21" i="34"/>
  <c r="W21" i="34"/>
  <c r="J21" i="33"/>
  <c r="W21" i="33"/>
  <c r="H21" i="21"/>
  <c r="U21" i="21"/>
  <c r="F38" i="69"/>
  <c r="E37" i="69"/>
  <c r="F36" i="69"/>
  <c r="F35" i="69"/>
  <c r="F21" i="69"/>
  <c r="F40" i="69"/>
  <c r="F20" i="69"/>
  <c r="F39" i="69"/>
  <c r="E10" i="69"/>
  <c r="E9" i="69"/>
  <c r="AC21" i="34"/>
  <c r="AC21" i="33"/>
  <c r="G83" i="21"/>
  <c r="J21" i="21"/>
  <c r="C40" i="69"/>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F8" i="1"/>
  <c r="G8" i="1" s="1"/>
  <c r="A7" i="1"/>
  <c r="B7" i="1"/>
  <c r="E7" i="1"/>
  <c r="A8" i="1"/>
  <c r="B8" i="1"/>
  <c r="E8" i="1"/>
  <c r="A9" i="1"/>
  <c r="A10" i="1"/>
  <c r="A11" i="1"/>
  <c r="B11" i="1"/>
  <c r="E11" i="1"/>
  <c r="A12" i="1"/>
  <c r="A13" i="1"/>
  <c r="A6" i="1"/>
  <c r="F3" i="35" s="1"/>
  <c r="B13" i="1"/>
  <c r="E13"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c r="D15" i="4"/>
  <c r="F7" i="1"/>
  <c r="G7" i="1" s="1"/>
  <c r="C15" i="4"/>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c r="J38" i="34"/>
  <c r="W38" i="34"/>
  <c r="D114" i="34"/>
  <c r="E114" i="34"/>
  <c r="F38" i="34"/>
  <c r="S38" i="34"/>
  <c r="D112" i="34"/>
  <c r="E112" i="34"/>
  <c r="F112" i="34"/>
  <c r="G112" i="34"/>
  <c r="H112" i="34"/>
  <c r="I112" i="34"/>
  <c r="J112" i="34"/>
  <c r="K112" i="34"/>
  <c r="L112" i="34"/>
  <c r="M112" i="34"/>
  <c r="F40" i="33"/>
  <c r="AA40" i="33"/>
  <c r="J41" i="33"/>
  <c r="W41" i="33"/>
  <c r="D113" i="33"/>
  <c r="F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F40" i="40"/>
  <c r="AA40" i="40"/>
  <c r="Q39" i="40"/>
  <c r="Z39" i="40"/>
  <c r="Q38" i="40"/>
  <c r="Z38" i="40"/>
  <c r="H38" i="40"/>
  <c r="AB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AA34" i="39"/>
  <c r="D106" i="39"/>
  <c r="E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F25" i="37"/>
  <c r="AA25" i="37"/>
  <c r="B110" i="37"/>
  <c r="B108" i="37"/>
  <c r="H38" i="37"/>
  <c r="AB3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J28" i="37"/>
  <c r="B84" i="37"/>
  <c r="H27" i="37"/>
  <c r="U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AA28"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C20" i="20"/>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H30" i="21"/>
  <c r="B94" i="21"/>
  <c r="J29" i="21"/>
  <c r="B92" i="21"/>
  <c r="F28" i="21"/>
  <c r="B90" i="21"/>
  <c r="J27" i="21"/>
  <c r="B74" i="21"/>
  <c r="J1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c r="BD586" i="3"/>
  <c r="BE586" i="3"/>
  <c r="BF586" i="3"/>
  <c r="BG586" i="3"/>
  <c r="BH586" i="3"/>
  <c r="BI586" i="3"/>
  <c r="BJ586" i="3"/>
  <c r="BK586" i="3"/>
  <c r="BM586" i="3"/>
  <c r="BN586" i="3"/>
  <c r="BO586" i="3"/>
  <c r="BP586" i="3"/>
  <c r="BQ586" i="3"/>
  <c r="BR586" i="3"/>
  <c r="BS586" i="3"/>
  <c r="BT586" i="3"/>
  <c r="BB587" i="3"/>
  <c r="BC587" i="3"/>
  <c r="BA587" i="3"/>
  <c r="AZ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J26" i="21"/>
  <c r="W26" i="21"/>
  <c r="F26" i="21"/>
  <c r="S26" i="21"/>
  <c r="AB41" i="21"/>
  <c r="AA41" i="21"/>
  <c r="J44" i="39"/>
  <c r="AC44" i="39"/>
  <c r="J35" i="39"/>
  <c r="AC35" i="39"/>
  <c r="F35" i="39"/>
  <c r="AA35" i="39"/>
  <c r="U9" i="39"/>
  <c r="W40" i="39"/>
  <c r="U30" i="37"/>
  <c r="W31" i="37"/>
  <c r="E103" i="37"/>
  <c r="F103" i="37"/>
  <c r="G103" i="37"/>
  <c r="H103" i="37"/>
  <c r="I103" i="37"/>
  <c r="J103" i="37"/>
  <c r="K103" i="37"/>
  <c r="L103" i="37"/>
  <c r="M103" i="37"/>
  <c r="U14" i="37"/>
  <c r="F29" i="36"/>
  <c r="AA29" i="36"/>
  <c r="F16" i="36"/>
  <c r="AA16" i="36"/>
  <c r="U31" i="36"/>
  <c r="J33" i="36"/>
  <c r="AC33" i="36"/>
  <c r="H22" i="35"/>
  <c r="AB22" i="35"/>
  <c r="W28" i="35"/>
  <c r="W22" i="35"/>
  <c r="S31" i="35"/>
  <c r="F36" i="34"/>
  <c r="S36" i="34"/>
  <c r="J35" i="34"/>
  <c r="W35" i="34"/>
  <c r="H39" i="33"/>
  <c r="AB39" i="33"/>
  <c r="F26" i="33"/>
  <c r="AA26" i="33"/>
  <c r="U33" i="33"/>
  <c r="S40" i="33"/>
  <c r="W39" i="33"/>
  <c r="S27" i="35"/>
  <c r="F11" i="40"/>
  <c r="AA11" i="40"/>
  <c r="H11" i="40"/>
  <c r="AB11" i="40"/>
  <c r="AC40" i="40"/>
  <c r="AA9" i="40"/>
  <c r="AC9" i="40"/>
  <c r="U9" i="40"/>
  <c r="S34" i="40"/>
  <c r="U38" i="40"/>
  <c r="S40" i="40"/>
  <c r="W31" i="40"/>
  <c r="F42" i="39"/>
  <c r="AA42" i="39"/>
  <c r="F41" i="39"/>
  <c r="S41" i="39"/>
  <c r="H40" i="39"/>
  <c r="AB40" i="39"/>
  <c r="H39" i="39"/>
  <c r="U39" i="39"/>
  <c r="S38" i="39"/>
  <c r="S34" i="39"/>
  <c r="H34" i="39"/>
  <c r="U34" i="39"/>
  <c r="H31" i="39"/>
  <c r="AB31" i="39"/>
  <c r="F31" i="39"/>
  <c r="AA31" i="39"/>
  <c r="H19" i="39"/>
  <c r="AB19" i="39"/>
  <c r="F19" i="39"/>
  <c r="AA19" i="39"/>
  <c r="H17" i="39"/>
  <c r="AB17" i="39"/>
  <c r="F17" i="39"/>
  <c r="AA17" i="39"/>
  <c r="J23" i="40"/>
  <c r="AC23" i="40"/>
  <c r="F21" i="40"/>
  <c r="AA21" i="40"/>
  <c r="J21" i="40"/>
  <c r="W21" i="40"/>
  <c r="H42" i="39"/>
  <c r="AB42" i="39"/>
  <c r="J34" i="39"/>
  <c r="AC34" i="39"/>
  <c r="J31" i="39"/>
  <c r="H27" i="39"/>
  <c r="U27" i="39"/>
  <c r="J19" i="39"/>
  <c r="AC19" i="39"/>
  <c r="J17" i="39"/>
  <c r="J27" i="39"/>
  <c r="AC27" i="39"/>
  <c r="F27" i="39"/>
  <c r="F11" i="21"/>
  <c r="S11" i="2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B12" i="36"/>
  <c r="F37" i="39"/>
  <c r="AA37" i="39"/>
  <c r="J34" i="36"/>
  <c r="W34" i="36"/>
  <c r="J30" i="35"/>
  <c r="W30" i="35"/>
  <c r="H30" i="35"/>
  <c r="AB30" i="35"/>
  <c r="F22" i="35"/>
  <c r="AA22" i="35"/>
  <c r="H10" i="35"/>
  <c r="U10" i="35"/>
  <c r="AC16" i="36"/>
  <c r="F33" i="36"/>
  <c r="AA33" i="36"/>
  <c r="W30" i="36"/>
  <c r="H16" i="36"/>
  <c r="AB16" i="36"/>
  <c r="F85" i="36"/>
  <c r="G85" i="36"/>
  <c r="H85" i="36"/>
  <c r="I85" i="36"/>
  <c r="J85" i="36"/>
  <c r="K85" i="36"/>
  <c r="L85" i="36"/>
  <c r="M85" i="36"/>
  <c r="J29" i="36"/>
  <c r="AC29" i="36"/>
  <c r="F12"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B34" i="37"/>
  <c r="J33" i="37"/>
  <c r="AC33" i="37"/>
  <c r="U42" i="34"/>
  <c r="H40" i="34"/>
  <c r="U40" i="34"/>
  <c r="H36" i="34"/>
  <c r="U36" i="34"/>
  <c r="S35" i="34"/>
  <c r="F27" i="34"/>
  <c r="AA27" i="34"/>
  <c r="F25" i="34"/>
  <c r="S25" i="34"/>
  <c r="H23" i="34"/>
  <c r="U23" i="34"/>
  <c r="J23" i="34"/>
  <c r="F19" i="34"/>
  <c r="H17" i="34"/>
  <c r="U17" i="34"/>
  <c r="F15" i="34"/>
  <c r="S15" i="34"/>
  <c r="J15" i="34"/>
  <c r="H15" i="34"/>
  <c r="AB15"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S12" i="36"/>
  <c r="AA12" i="36"/>
  <c r="AB30" i="36"/>
  <c r="U33" i="35"/>
  <c r="F29" i="35"/>
  <c r="S29" i="35"/>
  <c r="H29" i="35"/>
  <c r="AB29" i="35"/>
  <c r="H33" i="37"/>
  <c r="AB33" i="37"/>
  <c r="F33" i="37"/>
  <c r="AA33" i="37"/>
  <c r="U34" i="37"/>
  <c r="S34" i="37"/>
  <c r="AA34" i="37"/>
  <c r="J43" i="34"/>
  <c r="AC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41" i="33"/>
  <c r="F113" i="33"/>
  <c r="G113" i="33"/>
  <c r="H113" i="33"/>
  <c r="I113" i="33"/>
  <c r="J113" i="33"/>
  <c r="K113" i="33"/>
  <c r="L113" i="33"/>
  <c r="M113" i="33"/>
  <c r="H37" i="33"/>
  <c r="AB37" i="33"/>
  <c r="H15" i="33"/>
  <c r="AB15" i="33"/>
  <c r="H11" i="33"/>
  <c r="AB11" i="33"/>
  <c r="F28" i="40"/>
  <c r="AA28" i="40"/>
  <c r="AA42" i="34"/>
  <c r="AC38" i="34"/>
  <c r="AA38" i="34"/>
  <c r="J37" i="34"/>
  <c r="AC37" i="34"/>
  <c r="J11" i="33"/>
  <c r="W11" i="33"/>
  <c r="U23" i="40"/>
  <c r="J42" i="21"/>
  <c r="AC42" i="21"/>
  <c r="H42" i="21"/>
  <c r="U42" i="21"/>
  <c r="J44" i="34"/>
  <c r="W44" i="34"/>
  <c r="F44" i="34"/>
  <c r="AA44" i="34"/>
  <c r="J10" i="35"/>
  <c r="AC10" i="35"/>
  <c r="BL587" i="3"/>
  <c r="F14" i="21"/>
  <c r="S14" i="21"/>
  <c r="H28" i="21"/>
  <c r="AB28" i="21"/>
  <c r="J28" i="21"/>
  <c r="W28" i="21"/>
  <c r="F30" i="21"/>
  <c r="S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H28" i="37"/>
  <c r="U28" i="37"/>
  <c r="J38" i="37"/>
  <c r="AC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4" i="33"/>
  <c r="J36" i="37"/>
  <c r="AC36" i="37"/>
  <c r="G105" i="37"/>
  <c r="J10" i="36"/>
  <c r="AC10" i="36"/>
  <c r="AB26" i="33"/>
  <c r="W31" i="34"/>
  <c r="W13" i="36"/>
  <c r="AB46" i="34"/>
  <c r="AA14" i="34"/>
  <c r="AB45" i="33"/>
  <c r="U31" i="33"/>
  <c r="AC28" i="21"/>
  <c r="BA585" i="3"/>
  <c r="F17" i="21"/>
  <c r="AA17" i="21"/>
  <c r="H17" i="21"/>
  <c r="AB17" i="21"/>
  <c r="F15" i="21"/>
  <c r="S15"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AZ560" i="3"/>
  <c r="BL554" i="3"/>
  <c r="BL546" i="3"/>
  <c r="AZ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AZ522" i="3"/>
  <c r="BA520" i="3"/>
  <c r="BA518" i="3"/>
  <c r="AZ518" i="3"/>
  <c r="BA516" i="3"/>
  <c r="AZ516" i="3"/>
  <c r="BA514" i="3"/>
  <c r="BA512" i="3"/>
  <c r="AZ512" i="3"/>
  <c r="BA510" i="3"/>
  <c r="AZ510" i="3"/>
  <c r="BA508" i="3"/>
  <c r="BA506" i="3"/>
  <c r="AZ506" i="3"/>
  <c r="BA504" i="3"/>
  <c r="AZ504" i="3"/>
  <c r="BA502" i="3"/>
  <c r="BA500" i="3"/>
  <c r="AZ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BQ517" i="3"/>
  <c r="BL517" i="3"/>
  <c r="BQ515" i="3"/>
  <c r="BL515" i="3"/>
  <c r="AZ515" i="3"/>
  <c r="BQ513" i="3"/>
  <c r="BL513" i="3"/>
  <c r="BQ511" i="3"/>
  <c r="BL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AZ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U35" i="35"/>
  <c r="AA12" i="35"/>
  <c r="AB28" i="37"/>
  <c r="W47" i="34"/>
  <c r="AB13" i="34"/>
  <c r="AC31" i="33"/>
  <c r="W44" i="33"/>
  <c r="U19" i="21"/>
  <c r="U26" i="21"/>
  <c r="AB38" i="21"/>
  <c r="F43" i="33"/>
  <c r="AA43" i="33"/>
  <c r="W15" i="34"/>
  <c r="AC15" i="34"/>
  <c r="W16" i="35"/>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4" i="40"/>
  <c r="AC13" i="40"/>
  <c r="W23" i="39"/>
  <c r="AC43" i="39"/>
  <c r="W43" i="39"/>
  <c r="AB44" i="39"/>
  <c r="U44" i="39"/>
  <c r="H37" i="39"/>
  <c r="AC37" i="39"/>
  <c r="W37" i="39"/>
  <c r="H25" i="39"/>
  <c r="J25" i="39"/>
  <c r="AC25" i="39"/>
  <c r="F25" i="39"/>
  <c r="AA25" i="39"/>
  <c r="F15" i="39"/>
  <c r="H15" i="39"/>
  <c r="U15" i="39"/>
  <c r="J15" i="39"/>
  <c r="W15" i="39"/>
  <c r="H41" i="39"/>
  <c r="AB41" i="39"/>
  <c r="W27" i="39"/>
  <c r="AB34" i="39"/>
  <c r="U40" i="39"/>
  <c r="S42" i="39"/>
  <c r="AA41" i="39"/>
  <c r="W9" i="39"/>
  <c r="W8" i="39"/>
  <c r="J19" i="40"/>
  <c r="AC19" i="40"/>
  <c r="J50" i="40"/>
  <c r="H103" i="9"/>
  <c r="D8" i="53"/>
  <c r="B16" i="53"/>
  <c r="B33" i="72"/>
  <c r="C7" i="34"/>
  <c r="W35" i="40"/>
  <c r="A118" i="9"/>
  <c r="A4" i="52"/>
  <c r="B41" i="72"/>
  <c r="J11" i="39"/>
  <c r="W11" i="39"/>
  <c r="F11" i="39"/>
  <c r="AA11" i="39"/>
  <c r="S11" i="39"/>
  <c r="G4" i="4"/>
  <c r="I4" i="4"/>
  <c r="A2" i="9"/>
  <c r="F61" i="43"/>
  <c r="H64" i="43"/>
  <c r="AZ24" i="3"/>
  <c r="AZ28" i="3"/>
  <c r="AZ497" i="3"/>
  <c r="BL549" i="3"/>
  <c r="AZ494" i="3"/>
  <c r="AZ514" i="3"/>
  <c r="AZ530" i="3"/>
  <c r="G546" i="3"/>
  <c r="G524" i="3"/>
  <c r="G303" i="3"/>
  <c r="BL304" i="3"/>
  <c r="G305" i="3"/>
  <c r="BL306" i="3"/>
  <c r="BA308" i="3"/>
  <c r="AZ308" i="3"/>
  <c r="BA309" i="3"/>
  <c r="BL309" i="3"/>
  <c r="AZ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G379" i="3"/>
  <c r="BA380" i="3"/>
  <c r="AZ380" i="3"/>
  <c r="G388" i="3"/>
  <c r="BL389" i="3"/>
  <c r="G390" i="3"/>
  <c r="BL391" i="3"/>
  <c r="BA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BL152" i="3"/>
  <c r="G153" i="3"/>
  <c r="BA155" i="3"/>
  <c r="BL156" i="3"/>
  <c r="AZ156" i="3"/>
  <c r="G157" i="3"/>
  <c r="BA159" i="3"/>
  <c r="AZ159" i="3"/>
  <c r="BL160" i="3"/>
  <c r="AZ160" i="3"/>
  <c r="G161" i="3"/>
  <c r="BA163" i="3"/>
  <c r="BL164" i="3"/>
  <c r="AZ164" i="3"/>
  <c r="G165" i="3"/>
  <c r="BA167" i="3"/>
  <c r="AZ167" i="3"/>
  <c r="BL168" i="3"/>
  <c r="G169" i="3"/>
  <c r="BA171" i="3"/>
  <c r="AZ171" i="3"/>
  <c r="BL172" i="3"/>
  <c r="AZ172" i="3"/>
  <c r="G173" i="3"/>
  <c r="BA175" i="3"/>
  <c r="BL176" i="3"/>
  <c r="G177" i="3"/>
  <c r="BA179" i="3"/>
  <c r="BL180" i="3"/>
  <c r="AZ180" i="3"/>
  <c r="G181" i="3"/>
  <c r="BA183" i="3"/>
  <c r="AZ183" i="3"/>
  <c r="BL184" i="3"/>
  <c r="G185" i="3"/>
  <c r="BA187" i="3"/>
  <c r="AZ187" i="3"/>
  <c r="BL188" i="3"/>
  <c r="AZ188" i="3"/>
  <c r="G189" i="3"/>
  <c r="BA191" i="3"/>
  <c r="BL192" i="3"/>
  <c r="AZ192" i="3"/>
  <c r="G193" i="3"/>
  <c r="BA195" i="3"/>
  <c r="AZ195" i="3"/>
  <c r="BL196" i="3"/>
  <c r="AZ196" i="3"/>
  <c r="G197" i="3"/>
  <c r="BA199" i="3"/>
  <c r="AZ199" i="3"/>
  <c r="BL200" i="3"/>
  <c r="G201" i="3"/>
  <c r="BA203" i="3"/>
  <c r="AZ203" i="3"/>
  <c r="BL204" i="3"/>
  <c r="AZ51" i="3"/>
  <c r="AZ55" i="3"/>
  <c r="AZ67" i="3"/>
  <c r="AZ71" i="3"/>
  <c r="AZ75" i="3"/>
  <c r="AZ79" i="3"/>
  <c r="AZ152" i="3"/>
  <c r="AZ176" i="3"/>
  <c r="AZ200" i="3"/>
  <c r="AZ89" i="3"/>
  <c r="AZ97" i="3"/>
  <c r="AZ105" i="3"/>
  <c r="AZ120" i="3"/>
  <c r="G534" i="3"/>
  <c r="G530" i="3"/>
  <c r="G522" i="3"/>
  <c r="G516" i="3"/>
  <c r="G512" i="3"/>
  <c r="G506" i="3"/>
  <c r="G498" i="3"/>
  <c r="G494" i="3"/>
  <c r="G16" i="3"/>
  <c r="G15" i="3"/>
  <c r="BA304" i="3"/>
  <c r="AZ304" i="3"/>
  <c r="BA305" i="3"/>
  <c r="BL305" i="3"/>
  <c r="G306" i="3"/>
  <c r="G309" i="3"/>
  <c r="BL310" i="3"/>
  <c r="BA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AZ356" i="3"/>
  <c r="BL356" i="3"/>
  <c r="G357" i="3"/>
  <c r="G360" i="3"/>
  <c r="BL361" i="3"/>
  <c r="BA363" i="3"/>
  <c r="BA364" i="3"/>
  <c r="BL364" i="3"/>
  <c r="G365" i="3"/>
  <c r="G368" i="3"/>
  <c r="BL369" i="3"/>
  <c r="BA371" i="3"/>
  <c r="AZ371" i="3"/>
  <c r="BA372" i="3"/>
  <c r="BL372" i="3"/>
  <c r="G373" i="3"/>
  <c r="G376" i="3"/>
  <c r="BL377" i="3"/>
  <c r="BL379" i="3"/>
  <c r="BA381" i="3"/>
  <c r="BA382" i="3"/>
  <c r="BL382" i="3"/>
  <c r="AZ382" i="3"/>
  <c r="G383" i="3"/>
  <c r="G386" i="3"/>
  <c r="BL387" i="3"/>
  <c r="BA389" i="3"/>
  <c r="BA390" i="3"/>
  <c r="BL390" i="3"/>
  <c r="G391" i="3"/>
  <c r="G394" i="3"/>
  <c r="AZ138" i="3"/>
  <c r="AZ146" i="3"/>
  <c r="AZ158" i="3"/>
  <c r="AZ170" i="3"/>
  <c r="AZ186" i="3"/>
  <c r="AZ194" i="3"/>
  <c r="AZ198" i="3"/>
  <c r="BA16" i="3"/>
  <c r="AZ16" i="3"/>
  <c r="BL303" i="3"/>
  <c r="G304" i="3"/>
  <c r="BA306" i="3"/>
  <c r="AZ306" i="3"/>
  <c r="BL307" i="3"/>
  <c r="G308" i="3"/>
  <c r="BA310" i="3"/>
  <c r="AZ310" i="3"/>
  <c r="BL311" i="3"/>
  <c r="G312" i="3"/>
  <c r="BA314" i="3"/>
  <c r="AZ314" i="3"/>
  <c r="BL315" i="3"/>
  <c r="AZ315" i="3"/>
  <c r="G316" i="3"/>
  <c r="BA318" i="3"/>
  <c r="AZ318" i="3"/>
  <c r="BL319" i="3"/>
  <c r="AZ319" i="3"/>
  <c r="G320" i="3"/>
  <c r="BA322" i="3"/>
  <c r="BL323" i="3"/>
  <c r="AZ323" i="3"/>
  <c r="G324" i="3"/>
  <c r="BA326" i="3"/>
  <c r="AZ326" i="3"/>
  <c r="BL327" i="3"/>
  <c r="AZ327" i="3"/>
  <c r="G328" i="3"/>
  <c r="BA330" i="3"/>
  <c r="BL331" i="3"/>
  <c r="AZ331" i="3"/>
  <c r="G332" i="3"/>
  <c r="BA334" i="3"/>
  <c r="AZ334" i="3"/>
  <c r="BL335" i="3"/>
  <c r="G336" i="3"/>
  <c r="BA338" i="3"/>
  <c r="AZ338" i="3"/>
  <c r="BL339" i="3"/>
  <c r="G340" i="3"/>
  <c r="BL343" i="3"/>
  <c r="G344" i="3"/>
  <c r="G348" i="3"/>
  <c r="G355" i="3"/>
  <c r="AZ214" i="3"/>
  <c r="AZ222" i="3"/>
  <c r="G342" i="3"/>
  <c r="BL345" i="3"/>
  <c r="AZ345" i="3"/>
  <c r="G346" i="3"/>
  <c r="BL349" i="3"/>
  <c r="AZ349" i="3"/>
  <c r="BL352" i="3"/>
  <c r="G353" i="3"/>
  <c r="BA357" i="3"/>
  <c r="AZ357" i="3"/>
  <c r="BL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41" i="3"/>
  <c r="AZ245" i="3"/>
  <c r="AZ249" i="3"/>
  <c r="AZ253" i="3"/>
  <c r="AZ257" i="3"/>
  <c r="AZ261" i="3"/>
  <c r="AZ265" i="3"/>
  <c r="BA379" i="3"/>
  <c r="AZ379" i="3"/>
  <c r="BL380" i="3"/>
  <c r="G381" i="3"/>
  <c r="BA383" i="3"/>
  <c r="AZ383" i="3"/>
  <c r="BL384" i="3"/>
  <c r="AZ384" i="3"/>
  <c r="G385" i="3"/>
  <c r="BA387" i="3"/>
  <c r="AZ387" i="3"/>
  <c r="BL388" i="3"/>
  <c r="G389" i="3"/>
  <c r="BA391" i="3"/>
  <c r="BL392" i="3"/>
  <c r="AZ392" i="3"/>
  <c r="G393" i="3"/>
  <c r="AZ263" i="3"/>
  <c r="AZ279" i="3"/>
  <c r="AZ283" i="3"/>
  <c r="AZ291" i="3"/>
  <c r="BO5" i="3"/>
  <c r="BJ5" i="3"/>
  <c r="AZ325" i="3"/>
  <c r="AZ333" i="3"/>
  <c r="AZ341" i="3"/>
  <c r="AZ549" i="3"/>
  <c r="AZ496" i="3"/>
  <c r="G548" i="3"/>
  <c r="G538" i="3"/>
  <c r="G520" i="3"/>
  <c r="G502" i="3"/>
  <c r="BS5" i="3"/>
  <c r="BP5" i="3"/>
  <c r="BN5" i="3"/>
  <c r="BK5" i="3"/>
  <c r="BI5" i="3"/>
  <c r="BG5" i="3"/>
  <c r="BE5" i="3"/>
  <c r="BC5" i="3"/>
  <c r="G17" i="3"/>
  <c r="BA17" i="3"/>
  <c r="BT5" i="3"/>
  <c r="AZ350" i="3"/>
  <c r="AZ364" i="3"/>
  <c r="AZ368" i="3"/>
  <c r="BB5" i="3"/>
  <c r="BR5" i="3"/>
  <c r="AZ388" i="3"/>
  <c r="AZ509" i="3"/>
  <c r="G509" i="3"/>
  <c r="BL493" i="3"/>
  <c r="AZ390" i="3"/>
  <c r="U36" i="40"/>
  <c r="F83" i="43"/>
  <c r="H85" i="43"/>
  <c r="F50" i="43"/>
  <c r="H54" i="43"/>
  <c r="F72" i="43"/>
  <c r="H75" i="43"/>
  <c r="U17" i="39"/>
  <c r="S14" i="35"/>
  <c r="U43" i="21"/>
  <c r="U35" i="21"/>
  <c r="AC35" i="21"/>
  <c r="G10" i="1"/>
  <c r="AC11" i="39"/>
  <c r="AZ563" i="3"/>
  <c r="W37" i="37"/>
  <c r="AC44" i="34"/>
  <c r="S15" i="37"/>
  <c r="U12" i="40"/>
  <c r="J37" i="33"/>
  <c r="F106" i="33"/>
  <c r="G106" i="33"/>
  <c r="H106" i="33"/>
  <c r="I106" i="33"/>
  <c r="J106" i="33"/>
  <c r="K106" i="33"/>
  <c r="L106" i="33"/>
  <c r="M106" i="33"/>
  <c r="J34" i="33"/>
  <c r="W34" i="33"/>
  <c r="F33" i="34"/>
  <c r="W12" i="36"/>
  <c r="AC12" i="36"/>
  <c r="H20" i="36"/>
  <c r="U20" i="36"/>
  <c r="J20" i="36"/>
  <c r="W20" i="36"/>
  <c r="J27" i="36"/>
  <c r="W27" i="36"/>
  <c r="AC33" i="40"/>
  <c r="F111" i="40"/>
  <c r="G111" i="40"/>
  <c r="H111" i="40"/>
  <c r="I111" i="40"/>
  <c r="J111" i="40"/>
  <c r="K111" i="40"/>
  <c r="L111" i="40"/>
  <c r="M111" i="40"/>
  <c r="H35" i="40"/>
  <c r="AB35" i="40"/>
  <c r="AC29" i="35"/>
  <c r="W29" i="35"/>
  <c r="H35" i="37"/>
  <c r="U35" i="37"/>
  <c r="AC14" i="35"/>
  <c r="H20" i="35"/>
  <c r="F20" i="35"/>
  <c r="AA20" i="35"/>
  <c r="AB23" i="35"/>
  <c r="AB29" i="36"/>
  <c r="U29" i="36"/>
  <c r="H32" i="37"/>
  <c r="AB32" i="37"/>
  <c r="F96" i="37"/>
  <c r="H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C40" i="11"/>
  <c r="AZ215" i="3"/>
  <c r="AZ227" i="3"/>
  <c r="AZ240" i="3"/>
  <c r="AZ243" i="3"/>
  <c r="AZ248" i="3"/>
  <c r="AZ251" i="3"/>
  <c r="AZ256" i="3"/>
  <c r="AZ259" i="3"/>
  <c r="AZ268" i="3"/>
  <c r="AZ296" i="3"/>
  <c r="AZ114" i="3"/>
  <c r="AZ130" i="3"/>
  <c r="AZ133" i="3"/>
  <c r="AZ21" i="3"/>
  <c r="AZ50" i="3"/>
  <c r="AZ53" i="3"/>
  <c r="AZ66" i="3"/>
  <c r="AZ69" i="3"/>
  <c r="AZ72" i="3"/>
  <c r="AZ77"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D93" i="9"/>
  <c r="AP6" i="1"/>
  <c r="AC26" i="33"/>
  <c r="W26" i="33"/>
  <c r="W27" i="34"/>
  <c r="AB34" i="36"/>
  <c r="U34" i="36"/>
  <c r="AB33" i="36"/>
  <c r="U33" i="36"/>
  <c r="AC12" i="39"/>
  <c r="W12" i="39"/>
  <c r="AZ401" i="3"/>
  <c r="AZ417" i="3"/>
  <c r="AZ433" i="3"/>
  <c r="AZ465" i="3"/>
  <c r="W12" i="33"/>
  <c r="AC12" i="33"/>
  <c r="AA32" i="36"/>
  <c r="S32" i="36"/>
  <c r="AZ408" i="3"/>
  <c r="AZ457" i="3"/>
  <c r="AZ473" i="3"/>
  <c r="AA39" i="34"/>
  <c r="BL14" i="3"/>
  <c r="AZ266" i="3"/>
  <c r="U30" i="33"/>
  <c r="AA47" i="34"/>
  <c r="S19" i="39"/>
  <c r="F12" i="33"/>
  <c r="H12" i="39"/>
  <c r="AB12" i="39"/>
  <c r="F39" i="40"/>
  <c r="BA14" i="3"/>
  <c r="AZ14" i="3"/>
  <c r="AZ213" i="3"/>
  <c r="AZ224" i="3"/>
  <c r="AZ238" i="3"/>
  <c r="AZ250" i="3"/>
  <c r="AZ281" i="3"/>
  <c r="AZ157" i="3"/>
  <c r="AZ165" i="3"/>
  <c r="AZ181" i="3"/>
  <c r="AZ19" i="3"/>
  <c r="AZ26" i="3"/>
  <c r="B12" i="1"/>
  <c r="E12" i="1"/>
  <c r="B10" i="1"/>
  <c r="E10" i="1"/>
  <c r="K12" i="1"/>
  <c r="M12" i="1"/>
  <c r="S13" i="1"/>
  <c r="AR13" i="1"/>
  <c r="R13" i="1"/>
  <c r="C42" i="1"/>
  <c r="AC34" i="33"/>
  <c r="AA34" i="33"/>
  <c r="B41" i="1"/>
  <c r="AB37" i="40"/>
  <c r="S35" i="40"/>
  <c r="U35" i="40"/>
  <c r="AC36" i="40"/>
  <c r="AA32" i="40"/>
  <c r="S17" i="40"/>
  <c r="S23" i="40"/>
  <c r="AC17" i="40"/>
  <c r="AC15" i="40"/>
  <c r="S28" i="40"/>
  <c r="U21" i="40"/>
  <c r="AB19" i="40"/>
  <c r="S43" i="39"/>
  <c r="S37" i="39"/>
  <c r="U35" i="39"/>
  <c r="F32" i="39"/>
  <c r="F106" i="39"/>
  <c r="G106" i="39"/>
  <c r="H106" i="39"/>
  <c r="I106" i="39"/>
  <c r="J106" i="39"/>
  <c r="K106" i="39"/>
  <c r="L106" i="39"/>
  <c r="M106" i="39"/>
  <c r="AB27" i="39"/>
  <c r="U31" i="39"/>
  <c r="J21" i="39"/>
  <c r="W21" i="39"/>
  <c r="F21" i="39"/>
  <c r="G94" i="39"/>
  <c r="H21" i="39"/>
  <c r="W19" i="39"/>
  <c r="U19" i="39"/>
  <c r="S17" i="39"/>
  <c r="AA12" i="39"/>
  <c r="S9" i="39"/>
  <c r="U14" i="39"/>
  <c r="AC13" i="39"/>
  <c r="U13" i="36"/>
  <c r="U26" i="36"/>
  <c r="S33" i="36"/>
  <c r="AA34" i="36"/>
  <c r="AC26" i="36"/>
  <c r="AA22" i="36"/>
  <c r="AB14" i="36"/>
  <c r="U22" i="36"/>
  <c r="S16"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W13" i="35"/>
  <c r="F9" i="35"/>
  <c r="S9" i="35"/>
  <c r="H9" i="35"/>
  <c r="U9" i="35"/>
  <c r="AB40" i="37"/>
  <c r="W27" i="37"/>
  <c r="AC29" i="37"/>
  <c r="U29" i="37"/>
  <c r="S32" i="37"/>
  <c r="AB31" i="37"/>
  <c r="W30" i="37"/>
  <c r="S36" i="37"/>
  <c r="U32" i="37"/>
  <c r="AC35" i="37"/>
  <c r="S30" i="37"/>
  <c r="S37" i="37"/>
  <c r="AC15" i="37"/>
  <c r="J17" i="37"/>
  <c r="W17" i="37"/>
  <c r="G73" i="37"/>
  <c r="F17" i="37"/>
  <c r="AA17" i="37"/>
  <c r="AB17" i="37"/>
  <c r="F75" i="37"/>
  <c r="G75" i="37"/>
  <c r="F19" i="37"/>
  <c r="F79" i="37"/>
  <c r="G79" i="37"/>
  <c r="F23" i="37"/>
  <c r="S23" i="37"/>
  <c r="U23" i="37"/>
  <c r="U15" i="37"/>
  <c r="AC13" i="37"/>
  <c r="AA13" i="37"/>
  <c r="H10" i="37"/>
  <c r="AB10" i="37"/>
  <c r="F63" i="37"/>
  <c r="G63" i="37"/>
  <c r="H63" i="37"/>
  <c r="F11" i="37"/>
  <c r="S11" i="37"/>
  <c r="S27" i="34"/>
  <c r="W25" i="34"/>
  <c r="AB8" i="34"/>
  <c r="U44" i="34"/>
  <c r="U43" i="34"/>
  <c r="AC39" i="34"/>
  <c r="W41" i="34"/>
  <c r="AC42" i="34"/>
  <c r="U39" i="34"/>
  <c r="AB41" i="34"/>
  <c r="AA25" i="34"/>
  <c r="U28" i="34"/>
  <c r="S17" i="34"/>
  <c r="AA29"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F36" i="33"/>
  <c r="G111" i="33"/>
  <c r="J35" i="33"/>
  <c r="AC35" i="33"/>
  <c r="S37" i="33"/>
  <c r="AA37" i="33"/>
  <c r="S39" i="33"/>
  <c r="F101" i="33"/>
  <c r="G101" i="33"/>
  <c r="H101" i="33"/>
  <c r="I101" i="33"/>
  <c r="J101" i="33"/>
  <c r="K101" i="33"/>
  <c r="L101" i="33"/>
  <c r="M101" i="33"/>
  <c r="J32" i="33"/>
  <c r="S46" i="33"/>
  <c r="S43" i="33"/>
  <c r="F91" i="33"/>
  <c r="H27" i="33"/>
  <c r="AB27" i="33"/>
  <c r="F87" i="33"/>
  <c r="H25" i="33"/>
  <c r="AB25" i="33"/>
  <c r="F25" i="33"/>
  <c r="J23" i="33"/>
  <c r="AC23" i="33"/>
  <c r="F85" i="33"/>
  <c r="H23" i="33"/>
  <c r="AB23" i="33"/>
  <c r="F81" i="33"/>
  <c r="F19" i="33"/>
  <c r="W19" i="33"/>
  <c r="J17" i="33"/>
  <c r="F79" i="33"/>
  <c r="S15" i="33"/>
  <c r="W15" i="33"/>
  <c r="U9" i="33"/>
  <c r="J10" i="33"/>
  <c r="W10" i="33"/>
  <c r="H10" i="33"/>
  <c r="U10" i="33"/>
  <c r="AC11" i="33"/>
  <c r="AB14" i="33"/>
  <c r="W43" i="21"/>
  <c r="W36" i="21"/>
  <c r="W41" i="21"/>
  <c r="AB39" i="21"/>
  <c r="AA43" i="21"/>
  <c r="S39" i="21"/>
  <c r="AA38" i="21"/>
  <c r="AA36" i="21"/>
  <c r="AC40" i="21"/>
  <c r="J15" i="21"/>
  <c r="W15"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s="1"/>
  <c r="C69" i="39" s="1"/>
  <c r="C7" i="35"/>
  <c r="C48" i="35" s="1"/>
  <c r="D48" i="35" s="1"/>
  <c r="C7" i="21"/>
  <c r="G23" i="43"/>
  <c r="A4" i="51"/>
  <c r="B6" i="72"/>
  <c r="H67" i="43"/>
  <c r="L20" i="6"/>
  <c r="B6" i="1"/>
  <c r="E6" i="1" s="1"/>
  <c r="K11" i="1"/>
  <c r="M11" i="1" s="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U38" i="34"/>
  <c r="AC40" i="34"/>
  <c r="W40" i="34"/>
  <c r="AA19" i="34"/>
  <c r="S19" i="34"/>
  <c r="S46" i="34"/>
  <c r="AA46" i="34"/>
  <c r="U32" i="34"/>
  <c r="AB32" i="34"/>
  <c r="U14" i="34"/>
  <c r="AB14" i="34"/>
  <c r="W43" i="34"/>
  <c r="W23" i="34"/>
  <c r="AC23" i="34"/>
  <c r="AC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F37" i="21"/>
  <c r="AA37" i="21"/>
  <c r="AA26" i="21"/>
  <c r="AB46" i="21"/>
  <c r="U40" i="21"/>
  <c r="AB31" i="21"/>
  <c r="U31" i="21"/>
  <c r="S35" i="21"/>
  <c r="J37" i="21"/>
  <c r="W37" i="21"/>
  <c r="H15" i="21"/>
  <c r="U15" i="21"/>
  <c r="J17" i="21"/>
  <c r="AC17" i="21"/>
  <c r="AC19" i="21"/>
  <c r="W39" i="21"/>
  <c r="S46" i="21"/>
  <c r="H45" i="21"/>
  <c r="F29" i="21"/>
  <c r="S29" i="21"/>
  <c r="F13" i="21"/>
  <c r="AA13" i="21"/>
  <c r="AC38" i="21"/>
  <c r="H32" i="21"/>
  <c r="H9" i="21"/>
  <c r="U9" i="21"/>
  <c r="J9" i="21"/>
  <c r="J32" i="21"/>
  <c r="W32" i="21"/>
  <c r="F32" i="21"/>
  <c r="AA31" i="21"/>
  <c r="U17" i="21"/>
  <c r="S19" i="21"/>
  <c r="S9" i="21"/>
  <c r="AA9" i="21"/>
  <c r="K141" i="21"/>
  <c r="K144" i="21"/>
  <c r="K143" i="21"/>
  <c r="U27" i="21"/>
  <c r="AB25" i="21"/>
  <c r="AB44" i="21"/>
  <c r="AA30" i="21"/>
  <c r="W13" i="21"/>
  <c r="W42" i="21"/>
  <c r="AC45" i="21"/>
  <c r="F10" i="21"/>
  <c r="AA10" i="21"/>
  <c r="K145" i="21"/>
  <c r="W25" i="21"/>
  <c r="AA29" i="21"/>
  <c r="W31" i="21"/>
  <c r="S27" i="21"/>
  <c r="S17" i="21"/>
  <c r="AA15" i="21"/>
  <c r="AC26" i="21"/>
  <c r="AB29" i="21"/>
  <c r="AC34" i="21"/>
  <c r="W12" i="21"/>
  <c r="AB36" i="21"/>
  <c r="W30" i="40"/>
  <c r="C19" i="39"/>
  <c r="C15" i="40"/>
  <c r="C17" i="40"/>
  <c r="C23" i="40"/>
  <c r="C21" i="40"/>
  <c r="U30" i="40"/>
  <c r="B56" i="43"/>
  <c r="B67" i="43"/>
  <c r="B51" i="43"/>
  <c r="B54" i="43"/>
  <c r="B58" i="43"/>
  <c r="B62" i="43"/>
  <c r="B65" i="43"/>
  <c r="B69" i="43"/>
  <c r="D23" i="15"/>
  <c r="D22" i="15"/>
  <c r="E4" i="4"/>
  <c r="B5" i="62"/>
  <c r="B73" i="72"/>
  <c r="F30" i="68"/>
  <c r="F48" i="68"/>
  <c r="F28" i="67"/>
  <c r="C28" i="67"/>
  <c r="F52" i="9"/>
  <c r="F32" i="67"/>
  <c r="F60" i="67"/>
  <c r="F32" i="15"/>
  <c r="F60" i="15"/>
  <c r="F28" i="15"/>
  <c r="AA39" i="40"/>
  <c r="S39" i="40"/>
  <c r="S12" i="33"/>
  <c r="AA12" i="33"/>
  <c r="F54" i="9"/>
  <c r="J32" i="39"/>
  <c r="H32" i="39"/>
  <c r="AA32" i="39"/>
  <c r="S32" i="39"/>
  <c r="AB21" i="39"/>
  <c r="U21" i="39"/>
  <c r="AA21" i="39"/>
  <c r="S21" i="39"/>
  <c r="AC17" i="37"/>
  <c r="S17" i="37"/>
  <c r="J19" i="37"/>
  <c r="S19" i="37"/>
  <c r="AA19" i="37"/>
  <c r="AA23" i="37"/>
  <c r="J23" i="37"/>
  <c r="W23" i="37"/>
  <c r="J10" i="37"/>
  <c r="W10" i="37"/>
  <c r="H11" i="37"/>
  <c r="AB11" i="37"/>
  <c r="G70" i="34"/>
  <c r="H11" i="34"/>
  <c r="U11" i="34"/>
  <c r="J10" i="34"/>
  <c r="AC10" i="34"/>
  <c r="AB41" i="33"/>
  <c r="U41" i="33"/>
  <c r="H111" i="33"/>
  <c r="I111" i="33"/>
  <c r="J111" i="33"/>
  <c r="K111" i="33"/>
  <c r="L111" i="33"/>
  <c r="M111" i="33"/>
  <c r="J36" i="33"/>
  <c r="W36" i="33"/>
  <c r="H36" i="33"/>
  <c r="U36" i="33"/>
  <c r="AC32" i="33"/>
  <c r="W32" i="33"/>
  <c r="U27" i="33"/>
  <c r="G91" i="33"/>
  <c r="H91" i="33"/>
  <c r="I91" i="33"/>
  <c r="J91" i="33"/>
  <c r="K91" i="33"/>
  <c r="L91" i="33"/>
  <c r="M91" i="33"/>
  <c r="J27" i="33"/>
  <c r="AC27" i="33"/>
  <c r="U25" i="33"/>
  <c r="S25" i="33"/>
  <c r="AA25" i="33"/>
  <c r="G87" i="33"/>
  <c r="H87" i="33"/>
  <c r="I87" i="33"/>
  <c r="J87" i="33"/>
  <c r="K87" i="33"/>
  <c r="L87" i="33"/>
  <c r="M87" i="33"/>
  <c r="J25" i="33"/>
  <c r="AC25" i="33"/>
  <c r="U23" i="33"/>
  <c r="F23" i="33"/>
  <c r="G85" i="33"/>
  <c r="W23" i="33"/>
  <c r="H19" i="33"/>
  <c r="U19" i="33"/>
  <c r="G81" i="33"/>
  <c r="G79" i="33"/>
  <c r="H17" i="33"/>
  <c r="F17" i="33"/>
  <c r="W17" i="33"/>
  <c r="AC17" i="33"/>
  <c r="S37" i="21"/>
  <c r="AA23" i="21"/>
  <c r="AB15" i="21"/>
  <c r="J23" i="21"/>
  <c r="W23" i="21"/>
  <c r="F85" i="21"/>
  <c r="G85" i="21"/>
  <c r="H23" i="21"/>
  <c r="S13" i="21"/>
  <c r="D6" i="52"/>
  <c r="AP7" i="1"/>
  <c r="AA32" i="21"/>
  <c r="S32" i="21"/>
  <c r="W9" i="21"/>
  <c r="AC9" i="21"/>
  <c r="AB32" i="21"/>
  <c r="U32" i="21"/>
  <c r="A18" i="62"/>
  <c r="B64" i="72"/>
  <c r="AC32" i="39"/>
  <c r="W32" i="39"/>
  <c r="W19" i="37"/>
  <c r="AC19" i="37"/>
  <c r="AC23" i="37"/>
  <c r="I63" i="37"/>
  <c r="J63" i="37"/>
  <c r="K63" i="37"/>
  <c r="L63" i="37"/>
  <c r="M63" i="37"/>
  <c r="J11" i="37"/>
  <c r="AC11" i="37"/>
  <c r="H70" i="34"/>
  <c r="I70" i="34"/>
  <c r="J70" i="34"/>
  <c r="K70" i="34"/>
  <c r="L70" i="34"/>
  <c r="M70" i="34"/>
  <c r="J11" i="34"/>
  <c r="W11" i="34"/>
  <c r="AB36" i="33"/>
  <c r="W27" i="33"/>
  <c r="W25" i="33"/>
  <c r="AA23" i="33"/>
  <c r="S23" i="33"/>
  <c r="U17" i="33"/>
  <c r="AB17" i="33"/>
  <c r="U23" i="21"/>
  <c r="AB23" i="21"/>
  <c r="H109" i="9"/>
  <c r="H112" i="9"/>
  <c r="D21" i="53"/>
  <c r="B39" i="72"/>
  <c r="H111" i="9"/>
  <c r="AD3" i="71"/>
  <c r="J1" i="73"/>
  <c r="H69"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E19" i="71"/>
  <c r="E18" i="71"/>
  <c r="E17" i="71"/>
  <c r="E16" i="71"/>
  <c r="C20" i="71"/>
  <c r="C19" i="71"/>
  <c r="C18" i="71"/>
  <c r="C17" i="71"/>
  <c r="D21" i="71"/>
  <c r="D18" i="71"/>
  <c r="T20" i="71"/>
  <c r="D19" i="71"/>
  <c r="D20" i="71"/>
  <c r="U20" i="71"/>
  <c r="S17" i="33"/>
  <c r="AA17" i="33"/>
  <c r="AA36" i="33"/>
  <c r="S36" i="33"/>
  <c r="AB37" i="39"/>
  <c r="U37" i="39"/>
  <c r="AZ493" i="3"/>
  <c r="AB26" i="37"/>
  <c r="U26" i="37"/>
  <c r="AC28" i="37"/>
  <c r="W28" i="37"/>
  <c r="U27" i="40"/>
  <c r="AB27" i="40"/>
  <c r="U20" i="35"/>
  <c r="AB20" i="35"/>
  <c r="S33" i="34"/>
  <c r="AA33" i="34"/>
  <c r="AA15" i="39"/>
  <c r="S15" i="39"/>
  <c r="H50" i="43"/>
  <c r="AB9" i="21"/>
  <c r="W35" i="33"/>
  <c r="AB32" i="39"/>
  <c r="U32" i="39"/>
  <c r="U45" i="21"/>
  <c r="AB45" i="21"/>
  <c r="S19" i="33"/>
  <c r="AA19" i="33"/>
  <c r="S25" i="37"/>
  <c r="S30" i="40"/>
  <c r="F48" i="9"/>
  <c r="O52" i="9"/>
  <c r="F30" i="11"/>
  <c r="C48" i="11"/>
  <c r="F31" i="12"/>
  <c r="M18" i="67"/>
  <c r="F30" i="69"/>
  <c r="F48" i="69"/>
  <c r="M18" i="15"/>
  <c r="D68" i="9"/>
  <c r="W37" i="33"/>
  <c r="AC37" i="33"/>
  <c r="AZ389" i="3"/>
  <c r="AZ347" i="3"/>
  <c r="AZ378" i="3"/>
  <c r="AB25" i="39"/>
  <c r="U25" i="39"/>
  <c r="S19" i="40"/>
  <c r="AA19" i="40"/>
  <c r="W14" i="21"/>
  <c r="AC14" i="21"/>
  <c r="AA28" i="21"/>
  <c r="S28" i="21"/>
  <c r="U30" i="21"/>
  <c r="AB30" i="21"/>
  <c r="W43" i="33"/>
  <c r="S42" i="33"/>
  <c r="AA45" i="34"/>
  <c r="W38" i="37"/>
  <c r="AA25" i="35"/>
  <c r="AA25" i="36"/>
  <c r="W14" i="36"/>
  <c r="AA26" i="36"/>
  <c r="AC13" i="34"/>
  <c r="AC17" i="34"/>
  <c r="AA12" i="40"/>
  <c r="U13" i="37"/>
  <c r="G29" i="6"/>
  <c r="AC5" i="3"/>
  <c r="AZ391" i="3"/>
  <c r="AZ322" i="3"/>
  <c r="AZ311" i="3"/>
  <c r="AZ372" i="3"/>
  <c r="AZ337" i="3"/>
  <c r="AZ320" i="3"/>
  <c r="AZ305" i="3"/>
  <c r="AZ376" i="3"/>
  <c r="AZ362" i="3"/>
  <c r="AZ360" i="3"/>
  <c r="AZ343" i="3"/>
  <c r="AB33" i="40"/>
  <c r="W40" i="37"/>
  <c r="AC46" i="21"/>
  <c r="W44" i="21"/>
  <c r="U11" i="33"/>
  <c r="AC45" i="33"/>
  <c r="AA13" i="33"/>
  <c r="U33" i="37"/>
  <c r="W14" i="37"/>
  <c r="AZ511" i="3"/>
  <c r="AZ519" i="3"/>
  <c r="AZ569" i="3"/>
  <c r="AZ577" i="3"/>
  <c r="AZ495" i="3"/>
  <c r="AZ513" i="3"/>
  <c r="AZ517" i="3"/>
  <c r="AZ567" i="3"/>
  <c r="AZ571" i="3"/>
  <c r="AZ575" i="3"/>
  <c r="AZ579" i="3"/>
  <c r="AZ568" i="3"/>
  <c r="AZ576" i="3"/>
  <c r="W29" i="33"/>
  <c r="S45" i="33"/>
  <c r="AC30" i="34"/>
  <c r="S11" i="36"/>
  <c r="AA14" i="37"/>
  <c r="U31" i="34"/>
  <c r="F38" i="37"/>
  <c r="J30" i="21"/>
  <c r="H14" i="21"/>
  <c r="AA29" i="35"/>
  <c r="H37" i="34"/>
  <c r="U37" i="34"/>
  <c r="AC11" i="40"/>
  <c r="J28" i="34"/>
  <c r="W28" i="34"/>
  <c r="F37" i="34"/>
  <c r="S44" i="39"/>
  <c r="B101" i="43"/>
  <c r="C25" i="39"/>
  <c r="AC33" i="33"/>
  <c r="W33" i="33"/>
  <c r="J23" i="35"/>
  <c r="H12" i="35"/>
  <c r="J12" i="35"/>
  <c r="W27" i="35"/>
  <c r="AC27" i="35"/>
  <c r="AC28" i="36"/>
  <c r="W28" i="36"/>
  <c r="H9" i="36"/>
  <c r="J9" i="36"/>
  <c r="J24" i="36"/>
  <c r="H24" i="36"/>
  <c r="F24" i="36"/>
  <c r="J39" i="37"/>
  <c r="F39" i="37"/>
  <c r="H39" i="37"/>
  <c r="AC8" i="40"/>
  <c r="W8" i="40"/>
  <c r="AB34" i="40"/>
  <c r="U34" i="40"/>
  <c r="AB40" i="40"/>
  <c r="U40" i="40"/>
  <c r="AC32" i="40"/>
  <c r="W32" i="40"/>
  <c r="F38" i="40"/>
  <c r="J38" i="40"/>
  <c r="AB31" i="35"/>
  <c r="U31" i="35"/>
  <c r="F36" i="39"/>
  <c r="H36" i="39"/>
  <c r="J36" i="39"/>
  <c r="BA551" i="3"/>
  <c r="AZ551" i="3"/>
  <c r="BL550" i="3"/>
  <c r="BA550" i="3"/>
  <c r="AZ581" i="3"/>
  <c r="F12" i="21"/>
  <c r="H12" i="21"/>
  <c r="AB35" i="33"/>
  <c r="U35" i="33"/>
  <c r="J26" i="37"/>
  <c r="F26" i="37"/>
  <c r="H25" i="37"/>
  <c r="J25" i="37"/>
  <c r="U8" i="39"/>
  <c r="AB8" i="39"/>
  <c r="AA40" i="39"/>
  <c r="S40" i="39"/>
  <c r="H45" i="39"/>
  <c r="F45" i="39"/>
  <c r="J45" i="39"/>
  <c r="J39" i="40"/>
  <c r="H39" i="40"/>
  <c r="BL586" i="3"/>
  <c r="AZ586" i="3"/>
  <c r="BL585" i="3"/>
  <c r="AZ585" i="3"/>
  <c r="G574" i="3"/>
  <c r="G558" i="3"/>
  <c r="G542" i="3"/>
  <c r="BF5" i="3"/>
  <c r="BA15" i="3"/>
  <c r="BQ5" i="3"/>
  <c r="F28" i="6"/>
  <c r="AZ418" i="3"/>
  <c r="AZ422" i="3"/>
  <c r="AZ434" i="3"/>
  <c r="AZ450" i="3"/>
  <c r="AZ454" i="3"/>
  <c r="AZ459" i="3"/>
  <c r="AZ477" i="3"/>
  <c r="AZ226" i="3"/>
  <c r="AZ267" i="3"/>
  <c r="AZ284" i="3"/>
  <c r="AZ302" i="3"/>
  <c r="G134" i="3"/>
  <c r="BL134" i="3"/>
  <c r="BA136" i="3"/>
  <c r="AZ136" i="3"/>
  <c r="BL137" i="3"/>
  <c r="G140" i="3"/>
  <c r="BL142" i="3"/>
  <c r="AZ142" i="3"/>
  <c r="BA398" i="3"/>
  <c r="AZ398" i="3"/>
  <c r="G401" i="3"/>
  <c r="G402" i="3"/>
  <c r="G406" i="3"/>
  <c r="G408" i="3"/>
  <c r="G409" i="3"/>
  <c r="BL409" i="3"/>
  <c r="BA410" i="3"/>
  <c r="AZ410" i="3"/>
  <c r="BL412" i="3"/>
  <c r="AZ412" i="3"/>
  <c r="BA413" i="3"/>
  <c r="AZ413" i="3"/>
  <c r="G416" i="3"/>
  <c r="BL416" i="3"/>
  <c r="BA419" i="3"/>
  <c r="AZ419" i="3"/>
  <c r="BL419" i="3"/>
  <c r="BA420" i="3"/>
  <c r="AZ420" i="3"/>
  <c r="G425" i="3"/>
  <c r="BL425" i="3"/>
  <c r="BA426" i="3"/>
  <c r="AZ426" i="3"/>
  <c r="BL428" i="3"/>
  <c r="AZ428" i="3"/>
  <c r="BA429" i="3"/>
  <c r="AZ429" i="3"/>
  <c r="G432" i="3"/>
  <c r="BL432" i="3"/>
  <c r="BA435" i="3"/>
  <c r="AZ435" i="3"/>
  <c r="BL435" i="3"/>
  <c r="BA436" i="3"/>
  <c r="AZ436" i="3"/>
  <c r="BA437" i="3"/>
  <c r="AZ437" i="3"/>
  <c r="BA438" i="3"/>
  <c r="AZ438" i="3"/>
  <c r="BL438" i="3"/>
  <c r="BA439" i="3"/>
  <c r="AZ439" i="3"/>
  <c r="BL441" i="3"/>
  <c r="AZ441" i="3"/>
  <c r="G443" i="3"/>
  <c r="G445" i="3"/>
  <c r="BL445" i="3"/>
  <c r="G447" i="3"/>
  <c r="BL447" i="3"/>
  <c r="AZ447" i="3"/>
  <c r="BA448" i="3"/>
  <c r="AZ448" i="3"/>
  <c r="BA451" i="3"/>
  <c r="AZ451" i="3"/>
  <c r="BL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BA217" i="3"/>
  <c r="AZ217" i="3"/>
  <c r="BA218" i="3"/>
  <c r="AZ218" i="3"/>
  <c r="G221" i="3"/>
  <c r="BL221" i="3"/>
  <c r="AZ221" i="3"/>
  <c r="BL223" i="3"/>
  <c r="AZ223" i="3"/>
  <c r="G226" i="3"/>
  <c r="BL226" i="3"/>
  <c r="G229" i="3"/>
  <c r="G230" i="3"/>
  <c r="BL230" i="3"/>
  <c r="AZ230" i="3"/>
  <c r="BA231" i="3"/>
  <c r="AZ231" i="3"/>
  <c r="BA232" i="3"/>
  <c r="AZ232" i="3"/>
  <c r="BA233" i="3"/>
  <c r="AZ233" i="3"/>
  <c r="BA234" i="3"/>
  <c r="AZ234" i="3"/>
  <c r="BA235" i="3"/>
  <c r="AZ235" i="3"/>
  <c r="BL237" i="3"/>
  <c r="AZ237" i="3"/>
  <c r="G240" i="3"/>
  <c r="G241" i="3"/>
  <c r="G242" i="3"/>
  <c r="BL242" i="3"/>
  <c r="AZ242" i="3"/>
  <c r="G245" i="3"/>
  <c r="G246" i="3"/>
  <c r="BL246" i="3"/>
  <c r="G248" i="3"/>
  <c r="G249" i="3"/>
  <c r="G250" i="3"/>
  <c r="G251" i="3"/>
  <c r="G252" i="3"/>
  <c r="BL252" i="3"/>
  <c r="BL254" i="3"/>
  <c r="AZ254" i="3"/>
  <c r="G256" i="3"/>
  <c r="G257" i="3"/>
  <c r="G258" i="3"/>
  <c r="BL258" i="3"/>
  <c r="G261" i="3"/>
  <c r="G262" i="3"/>
  <c r="BL262" i="3"/>
  <c r="AZ262" i="3"/>
  <c r="G265" i="3"/>
  <c r="G266" i="3"/>
  <c r="G267" i="3"/>
  <c r="BL267" i="3"/>
  <c r="BL269" i="3"/>
  <c r="AZ269" i="3"/>
  <c r="BA270" i="3"/>
  <c r="AZ270" i="3"/>
  <c r="BA271" i="3"/>
  <c r="AZ271" i="3"/>
  <c r="BL273" i="3"/>
  <c r="AZ273" i="3"/>
  <c r="BA274" i="3"/>
  <c r="AZ274" i="3"/>
  <c r="BA275" i="3"/>
  <c r="AZ275" i="3"/>
  <c r="G278" i="3"/>
  <c r="BL278" i="3"/>
  <c r="AZ278" i="3"/>
  <c r="BL280" i="3"/>
  <c r="AZ280" i="3"/>
  <c r="G283" i="3"/>
  <c r="G284" i="3"/>
  <c r="BL284" i="3"/>
  <c r="BA285" i="3"/>
  <c r="AZ285" i="3"/>
  <c r="BA286" i="3"/>
  <c r="AZ286" i="3"/>
  <c r="BA287" i="3"/>
  <c r="AZ287" i="3"/>
  <c r="BA288" i="3"/>
  <c r="AZ288" i="3"/>
  <c r="G291" i="3"/>
  <c r="G292" i="3"/>
  <c r="BL292" i="3"/>
  <c r="AZ292" i="3"/>
  <c r="BA293" i="3"/>
  <c r="AZ293" i="3"/>
  <c r="BL295" i="3"/>
  <c r="AZ295" i="3"/>
  <c r="BL297" i="3"/>
  <c r="AZ297" i="3"/>
  <c r="BA298" i="3"/>
  <c r="AZ298" i="3"/>
  <c r="BA299" i="3"/>
  <c r="AZ299" i="3"/>
  <c r="G302" i="3"/>
  <c r="BL302" i="3"/>
  <c r="BL113" i="3"/>
  <c r="AZ113" i="3"/>
  <c r="G116" i="3"/>
  <c r="BA117" i="3"/>
  <c r="AZ117" i="3"/>
  <c r="G120" i="3"/>
  <c r="G123" i="3"/>
  <c r="G126" i="3"/>
  <c r="BL126" i="3"/>
  <c r="AZ126" i="3"/>
  <c r="BA128" i="3"/>
  <c r="AZ128" i="3"/>
  <c r="BL129" i="3"/>
  <c r="AZ129" i="3"/>
  <c r="G132" i="3"/>
  <c r="AZ169" i="3"/>
  <c r="AZ27" i="3"/>
  <c r="D52" i="71"/>
  <c r="T52" i="71"/>
  <c r="D44" i="71"/>
  <c r="T44" i="71"/>
  <c r="BA144" i="3"/>
  <c r="AZ144" i="3"/>
  <c r="BL145" i="3"/>
  <c r="G148" i="3"/>
  <c r="BA149" i="3"/>
  <c r="AZ149" i="3"/>
  <c r="BA150" i="3"/>
  <c r="AZ150" i="3"/>
  <c r="BL151" i="3"/>
  <c r="AZ151" i="3"/>
  <c r="BA153" i="3"/>
  <c r="AZ153" i="3"/>
  <c r="BA154" i="3"/>
  <c r="AZ154" i="3"/>
  <c r="BL155" i="3"/>
  <c r="AZ155" i="3"/>
  <c r="G159" i="3"/>
  <c r="BA161" i="3"/>
  <c r="AZ161" i="3"/>
  <c r="BA162" i="3"/>
  <c r="AZ162" i="3"/>
  <c r="BL163" i="3"/>
  <c r="AZ163" i="3"/>
  <c r="BL166" i="3"/>
  <c r="AZ166" i="3"/>
  <c r="BA168" i="3"/>
  <c r="AZ168" i="3"/>
  <c r="BL169" i="3"/>
  <c r="G172" i="3"/>
  <c r="BA173" i="3"/>
  <c r="AZ173" i="3"/>
  <c r="BA174" i="3"/>
  <c r="AZ174" i="3"/>
  <c r="BL175" i="3"/>
  <c r="AZ175" i="3"/>
  <c r="BA177" i="3"/>
  <c r="AZ177" i="3"/>
  <c r="BA178" i="3"/>
  <c r="AZ178" i="3"/>
  <c r="BL179" i="3"/>
  <c r="AZ179" i="3"/>
  <c r="BL182" i="3"/>
  <c r="AZ182" i="3"/>
  <c r="BA184" i="3"/>
  <c r="AZ184" i="3"/>
  <c r="BL185" i="3"/>
  <c r="G188" i="3"/>
  <c r="BA189" i="3"/>
  <c r="AZ189" i="3"/>
  <c r="BA190" i="3"/>
  <c r="AZ190" i="3"/>
  <c r="BL191" i="3"/>
  <c r="AZ191" i="3"/>
  <c r="G194" i="3"/>
  <c r="G195" i="3"/>
  <c r="BL197" i="3"/>
  <c r="AZ197" i="3"/>
  <c r="G200" i="3"/>
  <c r="BL202" i="3"/>
  <c r="AZ202" i="3"/>
  <c r="BA204" i="3"/>
  <c r="AZ204" i="3"/>
  <c r="BL206" i="3"/>
  <c r="AZ206" i="3"/>
  <c r="BA207" i="3"/>
  <c r="AZ207" i="3"/>
  <c r="BA18" i="3"/>
  <c r="AZ18" i="3"/>
  <c r="BL18" i="3"/>
  <c r="BL20" i="3"/>
  <c r="AZ20" i="3"/>
  <c r="G23" i="3"/>
  <c r="BL23" i="3"/>
  <c r="AZ23" i="3"/>
  <c r="G26" i="3"/>
  <c r="G27" i="3"/>
  <c r="BL27" i="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AZ52" i="3"/>
  <c r="G55" i="3"/>
  <c r="G56" i="3"/>
  <c r="BL56" i="3"/>
  <c r="AZ56" i="3"/>
  <c r="BA57" i="3"/>
  <c r="AZ57" i="3"/>
  <c r="BA58" i="3"/>
  <c r="AZ58" i="3"/>
  <c r="BA59" i="3"/>
  <c r="AZ59" i="3"/>
  <c r="BL61" i="3"/>
  <c r="AZ61" i="3"/>
  <c r="BA62" i="3"/>
  <c r="AZ62" i="3"/>
  <c r="BA63" i="3"/>
  <c r="AZ63" i="3"/>
  <c r="G66" i="3"/>
  <c r="G67" i="3"/>
  <c r="G68" i="3"/>
  <c r="BL68" i="3"/>
  <c r="AZ68" i="3"/>
  <c r="G71" i="3"/>
  <c r="G72" i="3"/>
  <c r="G73" i="3"/>
  <c r="BL74" i="3"/>
  <c r="AZ74" i="3"/>
  <c r="G77" i="3"/>
  <c r="G78" i="3"/>
  <c r="BL78" i="3"/>
  <c r="BL80" i="3"/>
  <c r="AZ80" i="3"/>
  <c r="BA81" i="3"/>
  <c r="AZ81" i="3"/>
  <c r="BA82" i="3"/>
  <c r="AZ82" i="3"/>
  <c r="BA83" i="3"/>
  <c r="AZ83" i="3"/>
  <c r="BA84" i="3"/>
  <c r="AZ84" i="3"/>
  <c r="BA85" i="3"/>
  <c r="AZ85" i="3"/>
  <c r="BA86" i="3"/>
  <c r="AZ86" i="3"/>
  <c r="BL88" i="3"/>
  <c r="AZ88" i="3"/>
  <c r="G91" i="3"/>
  <c r="BL91" i="3"/>
  <c r="BA92" i="3"/>
  <c r="AZ92" i="3"/>
  <c r="BA93" i="3"/>
  <c r="AZ93" i="3"/>
  <c r="BA94" i="3"/>
  <c r="AZ94" i="3"/>
  <c r="G97" i="3"/>
  <c r="G98" i="3"/>
  <c r="BL98" i="3"/>
  <c r="BA99" i="3"/>
  <c r="AZ99" i="3"/>
  <c r="BL101" i="3"/>
  <c r="AZ101" i="3"/>
  <c r="G104" i="3"/>
  <c r="BL104" i="3"/>
  <c r="BA106" i="3"/>
  <c r="AZ106" i="3"/>
  <c r="BA107" i="3"/>
  <c r="AZ107" i="3"/>
  <c r="BL109" i="3"/>
  <c r="AZ109" i="3"/>
  <c r="BL111" i="3"/>
  <c r="AZ111" i="3"/>
  <c r="BA112" i="3"/>
  <c r="AZ112" i="3"/>
  <c r="J51" i="67"/>
  <c r="B28" i="71"/>
  <c r="B27" i="71"/>
  <c r="B26" i="71"/>
  <c r="X26" i="71"/>
  <c r="X28" i="71"/>
  <c r="C30" i="71"/>
  <c r="Y25" i="71"/>
  <c r="Z25" i="71"/>
  <c r="Y27" i="71"/>
  <c r="Z27" i="71"/>
  <c r="F30" i="71"/>
  <c r="F31" i="71"/>
  <c r="F32" i="71"/>
  <c r="V32" i="71"/>
  <c r="AB29" i="71"/>
  <c r="D38" i="71"/>
  <c r="C39" i="71"/>
  <c r="X37" i="71"/>
  <c r="X36" i="71"/>
  <c r="X38" i="71"/>
  <c r="F66" i="71"/>
  <c r="Q67" i="71"/>
  <c r="O68" i="71"/>
  <c r="C67" i="71"/>
  <c r="AZ98" i="3"/>
  <c r="AZ104" i="3"/>
  <c r="AC21" i="37"/>
  <c r="U21" i="34"/>
  <c r="AB25" i="71"/>
  <c r="AB26" i="71"/>
  <c r="E28" i="71"/>
  <c r="AA3" i="71"/>
  <c r="AA26" i="71"/>
  <c r="AA28" i="71"/>
  <c r="Y29" i="71"/>
  <c r="Z29" i="71"/>
  <c r="AB31" i="71"/>
  <c r="Y32" i="71"/>
  <c r="Z32" i="71"/>
  <c r="AA32" i="71"/>
  <c r="F36" i="71"/>
  <c r="V36" i="71"/>
  <c r="Y34" i="71"/>
  <c r="Z34" i="71"/>
  <c r="X34" i="71"/>
  <c r="X35" i="71"/>
  <c r="P68" i="71"/>
  <c r="E67" i="71"/>
  <c r="E75" i="71"/>
  <c r="E74" i="71"/>
  <c r="E35" i="71"/>
  <c r="E36" i="71"/>
  <c r="U36" i="71"/>
  <c r="B36" i="71"/>
  <c r="S36" i="71"/>
  <c r="B32" i="71"/>
  <c r="S32" i="71"/>
  <c r="E31" i="71"/>
  <c r="E32" i="71"/>
  <c r="U32" i="71"/>
  <c r="AB30" i="71"/>
  <c r="Y31" i="71"/>
  <c r="Z31" i="71"/>
  <c r="AB32" i="71"/>
  <c r="AB34" i="71"/>
  <c r="Y35" i="71"/>
  <c r="Z35" i="71"/>
  <c r="AB36" i="71"/>
  <c r="V24" i="71"/>
  <c r="S44" i="34"/>
  <c r="S43" i="34"/>
  <c r="AA36" i="34"/>
  <c r="AB36" i="34"/>
  <c r="AB33" i="34"/>
  <c r="W33" i="34"/>
  <c r="S28" i="34"/>
  <c r="AC28" i="34"/>
  <c r="AC36" i="34"/>
  <c r="AB35" i="34"/>
  <c r="U34" i="34"/>
  <c r="U27" i="34"/>
  <c r="AB9" i="34"/>
  <c r="U9" i="34"/>
  <c r="AA8" i="34"/>
  <c r="W8" i="34"/>
  <c r="BH5" i="3"/>
  <c r="BD5" i="3"/>
  <c r="BL15" i="3"/>
  <c r="AZ15" i="3"/>
  <c r="BM5" i="3"/>
  <c r="C24" i="12"/>
  <c r="C21" i="68"/>
  <c r="M49" i="9"/>
  <c r="D16" i="53"/>
  <c r="B34" i="72"/>
  <c r="V20" i="71"/>
  <c r="AC23" i="21"/>
  <c r="AB19" i="33"/>
  <c r="S12" i="21"/>
  <c r="AA12" i="21"/>
  <c r="E15" i="71"/>
  <c r="E14" i="71"/>
  <c r="E13" i="71"/>
  <c r="E12" i="71"/>
  <c r="V16" i="71"/>
  <c r="D126" i="9"/>
  <c r="D19" i="53"/>
  <c r="B38" i="72"/>
  <c r="AZ557" i="3"/>
  <c r="AB13" i="21"/>
  <c r="U13" i="21"/>
  <c r="W27" i="21"/>
  <c r="AC27" i="21"/>
  <c r="W29" i="21"/>
  <c r="AC29" i="21"/>
  <c r="AC11" i="35"/>
  <c r="B97" i="43"/>
  <c r="B75" i="43"/>
  <c r="H36" i="35"/>
  <c r="J36" i="35"/>
  <c r="D17" i="71"/>
  <c r="C16" i="71"/>
  <c r="W17" i="21"/>
  <c r="AC15" i="21"/>
  <c r="BA5" i="3"/>
  <c r="U12" i="39"/>
  <c r="AA27" i="40"/>
  <c r="G28" i="6"/>
  <c r="F29" i="6"/>
  <c r="E29" i="6"/>
  <c r="K15" i="1"/>
  <c r="U43" i="33"/>
  <c r="AA41" i="34"/>
  <c r="U46" i="33"/>
  <c r="AA13" i="35"/>
  <c r="B73" i="43"/>
  <c r="B79" i="43"/>
  <c r="B99" i="43"/>
  <c r="B76" i="43"/>
  <c r="J9" i="34"/>
  <c r="F9" i="34"/>
  <c r="AA9" i="34"/>
  <c r="J12" i="34"/>
  <c r="F12" i="34"/>
  <c r="J34" i="35"/>
  <c r="H34" i="35"/>
  <c r="F34" i="35"/>
  <c r="J23" i="36"/>
  <c r="H23" i="36"/>
  <c r="F23" i="36"/>
  <c r="AZ399" i="3"/>
  <c r="AZ404" i="3"/>
  <c r="AZ440" i="3"/>
  <c r="AZ449" i="3"/>
  <c r="AZ453" i="3"/>
  <c r="AZ455" i="3"/>
  <c r="AZ460" i="3"/>
  <c r="AZ208" i="3"/>
  <c r="AZ211" i="3"/>
  <c r="AZ219" i="3"/>
  <c r="AZ236" i="3"/>
  <c r="G551" i="3"/>
  <c r="G5" i="3"/>
  <c r="B3" i="3"/>
  <c r="BL548" i="3"/>
  <c r="AZ548" i="3"/>
  <c r="AZ409" i="3"/>
  <c r="AZ416" i="3"/>
  <c r="AZ425" i="3"/>
  <c r="AZ432" i="3"/>
  <c r="AZ445" i="3"/>
  <c r="AZ464" i="3"/>
  <c r="AZ467" i="3"/>
  <c r="AZ474" i="3"/>
  <c r="AZ480" i="3"/>
  <c r="AZ482" i="3"/>
  <c r="AZ486" i="3"/>
  <c r="AZ488" i="3"/>
  <c r="AZ216" i="3"/>
  <c r="AZ246" i="3"/>
  <c r="AZ252" i="3"/>
  <c r="AZ258" i="3"/>
  <c r="AZ272" i="3"/>
  <c r="AZ276" i="3"/>
  <c r="AZ289" i="3"/>
  <c r="AZ294" i="3"/>
  <c r="AZ300" i="3"/>
  <c r="AZ118" i="3"/>
  <c r="AZ121" i="3"/>
  <c r="AZ134" i="3"/>
  <c r="AZ137" i="3"/>
  <c r="AZ145" i="3"/>
  <c r="AZ185" i="3"/>
  <c r="AZ34" i="3"/>
  <c r="AZ38" i="3"/>
  <c r="AZ44" i="3"/>
  <c r="AZ48" i="3"/>
  <c r="AZ60" i="3"/>
  <c r="AZ64" i="3"/>
  <c r="AZ78" i="3"/>
  <c r="AZ91" i="3"/>
  <c r="AZ108" i="3"/>
  <c r="AB21" i="21"/>
  <c r="X9" i="71"/>
  <c r="X10" i="71"/>
  <c r="AB10" i="71"/>
  <c r="AB9" i="71"/>
  <c r="AB24" i="71"/>
  <c r="Y21" i="71"/>
  <c r="Z21" i="71"/>
  <c r="AB23" i="71"/>
  <c r="AB21" i="71"/>
  <c r="AA21" i="71"/>
  <c r="X21" i="71"/>
  <c r="Y18" i="71"/>
  <c r="Z18" i="71"/>
  <c r="X17" i="71"/>
  <c r="Y17" i="71"/>
  <c r="Z17" i="71"/>
  <c r="AA17" i="71"/>
  <c r="AB18" i="71"/>
  <c r="Y14" i="71"/>
  <c r="Z14" i="71"/>
  <c r="S21" i="21"/>
  <c r="U18" i="36"/>
  <c r="D27" i="71"/>
  <c r="AB27" i="71"/>
  <c r="S28" i="71"/>
  <c r="AA29" i="71"/>
  <c r="X39" i="71"/>
  <c r="Y9" i="71"/>
  <c r="Z9" i="71"/>
  <c r="Y10" i="71"/>
  <c r="Z10" i="71"/>
  <c r="AA9" i="71"/>
  <c r="AA10" i="71"/>
  <c r="AB39" i="71"/>
  <c r="X22" i="71"/>
  <c r="AA24" i="71"/>
  <c r="AA23" i="71"/>
  <c r="AA22" i="71"/>
  <c r="X18" i="71"/>
  <c r="AA18" i="71"/>
  <c r="X14" i="71"/>
  <c r="AA12" i="71"/>
  <c r="AB17" i="71"/>
  <c r="X24" i="71"/>
  <c r="Y24" i="71"/>
  <c r="Z24" i="71"/>
  <c r="AB15" i="71"/>
  <c r="AB11" i="71"/>
  <c r="AB14" i="71"/>
  <c r="X11" i="71"/>
  <c r="Y12" i="71"/>
  <c r="Z12" i="71"/>
  <c r="Y13" i="71"/>
  <c r="Z13" i="71"/>
  <c r="B67" i="71"/>
  <c r="Y23" i="71"/>
  <c r="Z23" i="71"/>
  <c r="Y22" i="71"/>
  <c r="Z22" i="71"/>
  <c r="X15" i="71"/>
  <c r="AA15" i="71"/>
  <c r="AB12" i="71"/>
  <c r="AB13" i="71"/>
  <c r="AA11" i="71"/>
  <c r="AA13" i="71"/>
  <c r="AA14" i="71"/>
  <c r="X12" i="71"/>
  <c r="X13" i="71"/>
  <c r="Y11" i="71"/>
  <c r="Z11"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c r="I4" i="6"/>
  <c r="G3" i="43"/>
  <c r="H26" i="43"/>
  <c r="F30" i="6"/>
  <c r="G30" i="6"/>
  <c r="G31" i="6"/>
  <c r="E28" i="6"/>
  <c r="K14" i="1"/>
  <c r="L19" i="6"/>
  <c r="L27" i="6" s="1"/>
  <c r="O6" i="1"/>
  <c r="T13" i="1"/>
  <c r="C58" i="21"/>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E59" i="40"/>
  <c r="D9" i="11"/>
  <c r="C9" i="11"/>
  <c r="D19" i="12"/>
  <c r="C19" i="12" s="1"/>
  <c r="AZ13" i="3"/>
  <c r="O9" i="1"/>
  <c r="P9" i="1"/>
  <c r="O12" i="1"/>
  <c r="P12" i="1"/>
  <c r="O8" i="1"/>
  <c r="P8" i="1"/>
  <c r="H73" i="43"/>
  <c r="H90" i="43"/>
  <c r="C23" i="43"/>
  <c r="O23" i="43"/>
  <c r="I18" i="43"/>
  <c r="E17" i="43"/>
  <c r="C17" i="43"/>
  <c r="F26" i="43"/>
  <c r="G26" i="43"/>
  <c r="E26" i="43"/>
  <c r="A1" i="79"/>
  <c r="H55" i="43"/>
  <c r="H86" i="43"/>
  <c r="H87" i="43"/>
  <c r="N370" i="46"/>
  <c r="N94" i="46"/>
  <c r="H89" i="43"/>
  <c r="H88" i="43"/>
  <c r="H84" i="43"/>
  <c r="D67" i="39"/>
  <c r="D69" i="39" s="1"/>
  <c r="A19" i="51"/>
  <c r="B14" i="72"/>
  <c r="T35" i="4"/>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s="1"/>
  <c r="M59" i="34" s="1"/>
  <c r="D58" i="21"/>
  <c r="E48" i="35"/>
  <c r="F48" i="35" s="1"/>
  <c r="D9" i="53"/>
  <c r="B25" i="72"/>
  <c r="B24" i="72"/>
  <c r="K120" i="9"/>
  <c r="Y16" i="71"/>
  <c r="Z16" i="71"/>
  <c r="Y15" i="71"/>
  <c r="Z15" i="71"/>
  <c r="AA16" i="71"/>
  <c r="AB3" i="71"/>
  <c r="B16" i="71"/>
  <c r="X16" i="71"/>
  <c r="AB16" i="71"/>
  <c r="Y3" i="71"/>
  <c r="Z3" i="71"/>
  <c r="D16" i="71"/>
  <c r="F16" i="71"/>
  <c r="F15" i="71"/>
  <c r="F14" i="71"/>
  <c r="F13" i="71"/>
  <c r="F12" i="71"/>
  <c r="F11" i="71"/>
  <c r="F10" i="71"/>
  <c r="F9" i="71"/>
  <c r="F8" i="71"/>
  <c r="F7" i="71"/>
  <c r="F6" i="71"/>
  <c r="F5" i="71"/>
  <c r="AF3" i="71"/>
  <c r="P26" i="43"/>
  <c r="K1" i="73"/>
  <c r="D9" i="69"/>
  <c r="C9" i="69" s="1"/>
  <c r="C36" i="69"/>
  <c r="D9" i="68"/>
  <c r="C9" i="68" s="1"/>
  <c r="U16" i="71"/>
  <c r="M23" i="43"/>
  <c r="E27" i="71"/>
  <c r="E26" i="71"/>
  <c r="V28" i="71"/>
  <c r="Q66" i="71"/>
  <c r="Q65" i="71"/>
  <c r="C40" i="71"/>
  <c r="D39" i="71"/>
  <c r="D30" i="71"/>
  <c r="C31" i="71"/>
  <c r="AZ469" i="3"/>
  <c r="W39" i="40"/>
  <c r="AC39" i="40"/>
  <c r="S45" i="39"/>
  <c r="AA45" i="39"/>
  <c r="AC25" i="37"/>
  <c r="W25" i="37"/>
  <c r="AA26" i="37"/>
  <c r="S26" i="37"/>
  <c r="AB12" i="21"/>
  <c r="U12" i="21"/>
  <c r="AZ550" i="3"/>
  <c r="AB36" i="39"/>
  <c r="U36" i="39"/>
  <c r="AC38" i="40"/>
  <c r="W38" i="40"/>
  <c r="AB39" i="37"/>
  <c r="U39" i="37"/>
  <c r="AC39" i="37"/>
  <c r="W39" i="37"/>
  <c r="AB24" i="36"/>
  <c r="U24" i="36"/>
  <c r="AC9" i="36"/>
  <c r="W9" i="36"/>
  <c r="W12" i="35"/>
  <c r="AC12" i="35"/>
  <c r="AC23" i="35"/>
  <c r="W23" i="35"/>
  <c r="AA37" i="34"/>
  <c r="S37" i="34"/>
  <c r="AC30" i="21"/>
  <c r="W30" i="21"/>
  <c r="P67" i="71"/>
  <c r="E66" i="71"/>
  <c r="C66" i="71"/>
  <c r="D67" i="71"/>
  <c r="O67" i="71"/>
  <c r="U39" i="40"/>
  <c r="AB39" i="40"/>
  <c r="W45" i="39"/>
  <c r="AC45" i="39"/>
  <c r="U45" i="39"/>
  <c r="AB45" i="39"/>
  <c r="U25" i="37"/>
  <c r="AB25" i="37"/>
  <c r="AC26" i="37"/>
  <c r="W26" i="37"/>
  <c r="AC36" i="39"/>
  <c r="W36" i="39"/>
  <c r="AA36" i="39"/>
  <c r="S36" i="39"/>
  <c r="AA38" i="40"/>
  <c r="S38" i="40"/>
  <c r="AA39" i="37"/>
  <c r="S39" i="37"/>
  <c r="AA24" i="36"/>
  <c r="S24" i="36"/>
  <c r="AC24" i="36"/>
  <c r="W24" i="36"/>
  <c r="AB9" i="36"/>
  <c r="U9" i="36"/>
  <c r="U12" i="35"/>
  <c r="AB12" i="35"/>
  <c r="U14" i="21"/>
  <c r="AB14" i="21"/>
  <c r="S38" i="37"/>
  <c r="AA38" i="37"/>
  <c r="S9" i="34"/>
  <c r="J26" i="43"/>
  <c r="P6" i="1"/>
  <c r="C13" i="12"/>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112" i="3"/>
  <c r="E123" i="3"/>
  <c r="E147" i="3"/>
  <c r="E289" i="3"/>
  <c r="E340" i="3"/>
  <c r="E50" i="3"/>
  <c r="E20" i="3"/>
  <c r="E176" i="3"/>
  <c r="E365"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 i="3"/>
  <c r="E364" i="3"/>
  <c r="E62" i="3"/>
  <c r="E218" i="3"/>
  <c r="E265" i="3"/>
  <c r="E524"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E3" i="6"/>
  <c r="AB23" i="36"/>
  <c r="U23" i="36"/>
  <c r="S34" i="35"/>
  <c r="AA34" i="35"/>
  <c r="AC34" i="35"/>
  <c r="W34" i="35"/>
  <c r="W12" i="34"/>
  <c r="AC12" i="34"/>
  <c r="AC9" i="34"/>
  <c r="W9" i="34"/>
  <c r="C15" i="71"/>
  <c r="T16" i="71"/>
  <c r="AC36" i="35"/>
  <c r="W36" i="35"/>
  <c r="BL5" i="3"/>
  <c r="B15" i="71"/>
  <c r="B14" i="71"/>
  <c r="B13" i="71"/>
  <c r="B12" i="71"/>
  <c r="S16" i="71"/>
  <c r="N67" i="71"/>
  <c r="B66" i="71"/>
  <c r="AA23" i="36"/>
  <c r="S23" i="36"/>
  <c r="W23" i="36"/>
  <c r="AC23" i="36"/>
  <c r="AB34" i="35"/>
  <c r="U34" i="35"/>
  <c r="S12" i="34"/>
  <c r="AA12" i="34"/>
  <c r="AB36" i="35"/>
  <c r="U36" i="35"/>
  <c r="E11" i="71"/>
  <c r="E10" i="71"/>
  <c r="E9" i="71"/>
  <c r="E8" i="71"/>
  <c r="E7" i="71"/>
  <c r="E6" i="71"/>
  <c r="E5" i="71"/>
  <c r="V12" i="71"/>
  <c r="E61" i="43"/>
  <c r="B59" i="43"/>
  <c r="C28" i="43"/>
  <c r="B116" i="43"/>
  <c r="Z7" i="43"/>
  <c r="E30" i="6"/>
  <c r="E56" i="39"/>
  <c r="E67" i="39"/>
  <c r="E69" i="39" s="1"/>
  <c r="AA26" i="35"/>
  <c r="S26" i="35"/>
  <c r="AC26" i="35"/>
  <c r="W26" i="35"/>
  <c r="AB26" i="35"/>
  <c r="U26" i="35"/>
  <c r="E61" i="39"/>
  <c r="E56" i="40"/>
  <c r="E72" i="43"/>
  <c r="B70" i="43"/>
  <c r="E60" i="40"/>
  <c r="E27" i="6"/>
  <c r="K26" i="6"/>
  <c r="M26" i="6"/>
  <c r="I26" i="6"/>
  <c r="S26" i="6" s="1"/>
  <c r="F31" i="6"/>
  <c r="E51" i="40"/>
  <c r="E16" i="6"/>
  <c r="AC6" i="3"/>
  <c r="H6" i="3"/>
  <c r="E58" i="40"/>
  <c r="E62" i="39"/>
  <c r="AY6" i="3"/>
  <c r="M14" i="1"/>
  <c r="D5" i="43"/>
  <c r="D26" i="43"/>
  <c r="C25" i="43"/>
  <c r="C7" i="43"/>
  <c r="C5" i="43"/>
  <c r="D10" i="52"/>
  <c r="D125" i="9"/>
  <c r="D11" i="52"/>
  <c r="B7" i="74"/>
  <c r="C7" i="74"/>
  <c r="F67" i="39"/>
  <c r="G67" i="39" s="1"/>
  <c r="E58" i="21"/>
  <c r="F58" i="21" s="1"/>
  <c r="P28" i="43"/>
  <c r="B66" i="40" s="1"/>
  <c r="P25" i="43"/>
  <c r="P29" i="43"/>
  <c r="P27" i="43"/>
  <c r="B70" i="39" s="1"/>
  <c r="C32" i="67"/>
  <c r="C32" i="15"/>
  <c r="AE11" i="1"/>
  <c r="AE9" i="1"/>
  <c r="AE7" i="1"/>
  <c r="AE8" i="1"/>
  <c r="AE12" i="1"/>
  <c r="AE10" i="1"/>
  <c r="P65" i="71"/>
  <c r="P66" i="71"/>
  <c r="C32" i="71"/>
  <c r="D31" i="71"/>
  <c r="O66" i="71"/>
  <c r="O65" i="71"/>
  <c r="D66" i="71"/>
  <c r="D40" i="71"/>
  <c r="T40" i="71"/>
  <c r="E65" i="39"/>
  <c r="N66" i="71"/>
  <c r="N65" i="71"/>
  <c r="D15" i="71"/>
  <c r="C14" i="71"/>
  <c r="B11" i="71"/>
  <c r="B10" i="71"/>
  <c r="B9" i="71"/>
  <c r="B8" i="71"/>
  <c r="B7" i="71"/>
  <c r="B6" i="71"/>
  <c r="B5" i="71"/>
  <c r="S12" i="7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E6" i="3"/>
  <c r="C41" i="43"/>
  <c r="G41" i="43" s="1"/>
  <c r="I41" i="43" s="1"/>
  <c r="K21" i="6"/>
  <c r="S8" i="1"/>
  <c r="E8" i="70"/>
  <c r="K25" i="6"/>
  <c r="K20" i="6"/>
  <c r="K23" i="6"/>
  <c r="K22" i="6"/>
  <c r="E31" i="6"/>
  <c r="K24" i="6"/>
  <c r="K19" i="6"/>
  <c r="S6" i="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17" i="12" s="1"/>
  <c r="C17" i="12" s="1"/>
  <c r="M18" i="9"/>
  <c r="B118" i="9" s="1"/>
  <c r="B1" i="74"/>
  <c r="D3" i="34"/>
  <c r="D19" i="11"/>
  <c r="C19" i="11"/>
  <c r="L18" i="9"/>
  <c r="C17" i="4"/>
  <c r="B4" i="52"/>
  <c r="B43" i="72"/>
  <c r="D3" i="33"/>
  <c r="D3" i="37"/>
  <c r="C42" i="43"/>
  <c r="E42" i="43" s="1"/>
  <c r="F69" i="39"/>
  <c r="G48" i="35"/>
  <c r="H48" i="35" s="1"/>
  <c r="D32" i="71"/>
  <c r="T32" i="71"/>
  <c r="D116" i="43"/>
  <c r="D14" i="71"/>
  <c r="C13" i="71"/>
  <c r="M21" i="6"/>
  <c r="I21" i="6"/>
  <c r="S21" i="6" s="1"/>
  <c r="M24" i="6"/>
  <c r="I24" i="6"/>
  <c r="S24" i="6" s="1"/>
  <c r="S11" i="1"/>
  <c r="E11" i="70"/>
  <c r="M22" i="6"/>
  <c r="I22" i="6" s="1"/>
  <c r="S9" i="1"/>
  <c r="AQ8" i="1"/>
  <c r="T8" i="1"/>
  <c r="AR8" i="1"/>
  <c r="M20" i="6"/>
  <c r="I20" i="6"/>
  <c r="S20" i="6" s="1"/>
  <c r="S7" i="1"/>
  <c r="E7" i="70"/>
  <c r="AQ6" i="1"/>
  <c r="AR6" i="1"/>
  <c r="T6" i="1"/>
  <c r="M23" i="6"/>
  <c r="I23" i="6"/>
  <c r="S23" i="6" s="1"/>
  <c r="S10" i="1"/>
  <c r="E10" i="70"/>
  <c r="M25" i="6"/>
  <c r="I25" i="6" s="1"/>
  <c r="S12" i="1"/>
  <c r="K27" i="6"/>
  <c r="M19" i="6"/>
  <c r="C20" i="11"/>
  <c r="D10" i="11"/>
  <c r="C10" i="11"/>
  <c r="D20" i="12"/>
  <c r="C20" i="12" s="1"/>
  <c r="D25" i="6"/>
  <c r="D15" i="6"/>
  <c r="D22" i="6"/>
  <c r="D21" i="6"/>
  <c r="D24" i="6"/>
  <c r="D20" i="6"/>
  <c r="M19" i="9"/>
  <c r="C118" i="9"/>
  <c r="B2" i="74"/>
  <c r="D26" i="6"/>
  <c r="D8" i="6"/>
  <c r="D14" i="6"/>
  <c r="D6" i="6"/>
  <c r="D9" i="6"/>
  <c r="D10" i="6"/>
  <c r="L19" i="9"/>
  <c r="D29" i="6"/>
  <c r="H21" i="6"/>
  <c r="H24" i="6"/>
  <c r="D19" i="6"/>
  <c r="C18" i="4"/>
  <c r="D23" i="6"/>
  <c r="D5" i="6"/>
  <c r="D12" i="6"/>
  <c r="D11" i="6"/>
  <c r="D13" i="6"/>
  <c r="D28" i="6"/>
  <c r="D30" i="6"/>
  <c r="E61" i="40"/>
  <c r="H26" i="6"/>
  <c r="P14" i="1"/>
  <c r="P16" i="1" s="1"/>
  <c r="C11" i="12" s="1"/>
  <c r="C15" i="12" s="1"/>
  <c r="G42" i="43"/>
  <c r="I42" i="43" s="1"/>
  <c r="E41" i="43"/>
  <c r="C60" i="15"/>
  <c r="C60" i="67"/>
  <c r="D10" i="69"/>
  <c r="C10" i="69" s="1"/>
  <c r="B29" i="1" s="1"/>
  <c r="C8" i="68" s="1"/>
  <c r="C5" i="68" s="1"/>
  <c r="D10" i="68"/>
  <c r="C10" i="68" s="1"/>
  <c r="C12" i="71"/>
  <c r="D13" i="71"/>
  <c r="H23" i="6"/>
  <c r="H20" i="6"/>
  <c r="R20" i="6" s="1"/>
  <c r="R7" i="1"/>
  <c r="E12" i="70"/>
  <c r="F34" i="11"/>
  <c r="C36" i="11" s="1"/>
  <c r="F11" i="12"/>
  <c r="S16" i="1"/>
  <c r="E9" i="70"/>
  <c r="AR9" i="1"/>
  <c r="AQ9" i="1"/>
  <c r="T9" i="1"/>
  <c r="AQ11" i="1"/>
  <c r="AR11" i="1"/>
  <c r="T11" i="1"/>
  <c r="AR12" i="1"/>
  <c r="T12" i="1"/>
  <c r="AQ12" i="1"/>
  <c r="AQ10" i="1"/>
  <c r="T10" i="1"/>
  <c r="AR10" i="1"/>
  <c r="AR7" i="1"/>
  <c r="AQ7" i="1"/>
  <c r="T7" i="1"/>
  <c r="M27" i="6"/>
  <c r="I19" i="6"/>
  <c r="D16" i="6"/>
  <c r="R26" i="6"/>
  <c r="R24" i="6"/>
  <c r="R11" i="1"/>
  <c r="R9" i="1"/>
  <c r="R23" i="6"/>
  <c r="R10" i="1"/>
  <c r="D27" i="6"/>
  <c r="D31" i="6"/>
  <c r="D8" i="74"/>
  <c r="D7" i="74"/>
  <c r="R21" i="6"/>
  <c r="R8" i="1"/>
  <c r="C4" i="52"/>
  <c r="B45" i="72"/>
  <c r="A10" i="51"/>
  <c r="B9" i="72"/>
  <c r="A7" i="51"/>
  <c r="B7" i="72"/>
  <c r="R12" i="1"/>
  <c r="I48" i="35"/>
  <c r="J48" i="35" s="1"/>
  <c r="K48" i="35" s="1"/>
  <c r="L48" i="35" s="1"/>
  <c r="M48" i="35" s="1"/>
  <c r="N48" i="35" s="1"/>
  <c r="O48" i="35" s="1"/>
  <c r="C33" i="15"/>
  <c r="C33" i="67"/>
  <c r="C11" i="71"/>
  <c r="T12" i="71"/>
  <c r="D12" i="71"/>
  <c r="U12" i="71"/>
  <c r="T16" i="1"/>
  <c r="C37" i="11"/>
  <c r="H19" i="6"/>
  <c r="S19" i="6"/>
  <c r="C19" i="69"/>
  <c r="I5" i="6"/>
  <c r="I6" i="6"/>
  <c r="C10" i="71"/>
  <c r="D11" i="71"/>
  <c r="R19" i="6"/>
  <c r="C9" i="71"/>
  <c r="D10" i="71"/>
  <c r="C61" i="67"/>
  <c r="R6" i="1"/>
  <c r="C8" i="71"/>
  <c r="D9" i="71"/>
  <c r="C34" i="67"/>
  <c r="C62" i="67"/>
  <c r="C62" i="15"/>
  <c r="C34" i="15"/>
  <c r="C7" i="71"/>
  <c r="D8" i="71"/>
  <c r="C61" i="15"/>
  <c r="C6" i="71"/>
  <c r="D7" i="71"/>
  <c r="B2" i="21"/>
  <c r="B3" i="21" s="1"/>
  <c r="D6" i="71"/>
  <c r="C5" i="71"/>
  <c r="D5" i="71"/>
  <c r="M24" i="43"/>
  <c r="B2" i="33"/>
  <c r="B3" i="33" s="1"/>
  <c r="B2" i="36"/>
  <c r="B3" i="36" s="1"/>
  <c r="B2" i="35"/>
  <c r="B3" i="35" s="1"/>
  <c r="B2" i="37"/>
  <c r="B3" i="37" s="1"/>
  <c r="B6" i="74"/>
  <c r="D6" i="74"/>
  <c r="F6" i="67"/>
  <c r="F7" i="67"/>
  <c r="F16" i="67"/>
  <c r="D5" i="73"/>
  <c r="F36" i="67"/>
  <c r="F13" i="67"/>
  <c r="F37" i="67"/>
  <c r="F38" i="67"/>
  <c r="F42" i="67"/>
  <c r="M6" i="67"/>
  <c r="M26" i="67"/>
  <c r="F7" i="15"/>
  <c r="M8" i="15"/>
  <c r="B9" i="76"/>
  <c r="AO13" i="1"/>
  <c r="F37" i="15"/>
  <c r="F8" i="15"/>
  <c r="E8" i="76"/>
  <c r="F40" i="15"/>
  <c r="B11" i="76"/>
  <c r="F8" i="67"/>
  <c r="F4" i="73"/>
  <c r="F43" i="67"/>
  <c r="M9" i="67"/>
  <c r="M22" i="67"/>
  <c r="M23" i="67"/>
  <c r="L47" i="15"/>
  <c r="M22" i="15"/>
  <c r="F3" i="73"/>
  <c r="M24" i="15"/>
  <c r="B10" i="76"/>
  <c r="F7" i="73"/>
  <c r="F16" i="15"/>
  <c r="E2" i="68"/>
  <c r="B8" i="76"/>
  <c r="F42" i="15"/>
  <c r="C76" i="67"/>
  <c r="F38" i="15"/>
  <c r="F5" i="73"/>
  <c r="M29" i="67"/>
  <c r="F20" i="31"/>
  <c r="F6" i="73"/>
  <c r="E9" i="76"/>
  <c r="M26" i="15"/>
  <c r="E2" i="69"/>
  <c r="M28" i="15"/>
  <c r="F26" i="15"/>
  <c r="B13" i="76"/>
  <c r="D3" i="73"/>
  <c r="J15" i="15"/>
  <c r="F41" i="15"/>
  <c r="C14" i="15"/>
  <c r="F35" i="67"/>
  <c r="M21" i="67"/>
  <c r="F9" i="67"/>
  <c r="F26" i="67"/>
  <c r="F40" i="67"/>
  <c r="J15" i="67"/>
  <c r="M28" i="67"/>
  <c r="B7" i="76"/>
  <c r="E12" i="76"/>
  <c r="F36" i="15"/>
  <c r="D7" i="73"/>
  <c r="M23" i="15"/>
  <c r="D34" i="9"/>
  <c r="F6" i="15"/>
  <c r="M6" i="15"/>
  <c r="D4" i="73"/>
  <c r="F43" i="15"/>
  <c r="E11" i="76"/>
  <c r="F13" i="15"/>
  <c r="M21" i="15"/>
  <c r="D2" i="21"/>
  <c r="D2" i="36"/>
  <c r="AO10" i="1"/>
  <c r="AO7" i="1"/>
  <c r="AO11" i="1"/>
  <c r="G1" i="73"/>
  <c r="M8" i="67"/>
  <c r="M24" i="67"/>
  <c r="E13" i="76"/>
  <c r="M9" i="15"/>
  <c r="M29" i="15"/>
  <c r="D6" i="73"/>
  <c r="L47" i="67"/>
  <c r="E7" i="76"/>
  <c r="L48" i="15"/>
  <c r="C76" i="15"/>
  <c r="D35" i="9"/>
  <c r="E10" i="76"/>
  <c r="D2" i="33"/>
  <c r="D2" i="35"/>
  <c r="AO8" i="1"/>
  <c r="B12" i="76"/>
  <c r="F9" i="15"/>
  <c r="M27" i="15"/>
  <c r="F35" i="15"/>
  <c r="D2" i="37"/>
  <c r="AO12" i="1"/>
  <c r="AO9" i="1"/>
  <c r="H25" i="6" l="1"/>
  <c r="R25" i="6" s="1"/>
  <c r="S25" i="6"/>
  <c r="H22" i="6"/>
  <c r="R22" i="6" s="1"/>
  <c r="R27" i="6" s="1"/>
  <c r="S22" i="6"/>
  <c r="S27" i="6" s="1"/>
  <c r="I27" i="6"/>
  <c r="K6" i="1"/>
  <c r="G69" i="39"/>
  <c r="H67" i="39"/>
  <c r="H7" i="35"/>
  <c r="J7" i="35"/>
  <c r="F7" i="35"/>
  <c r="G58" i="21"/>
  <c r="N59" i="34"/>
  <c r="O59" i="34" s="1"/>
  <c r="P59" i="34" s="1"/>
  <c r="Q59" i="34" s="1"/>
  <c r="R59" i="34" s="1"/>
  <c r="S59" i="34" s="1"/>
  <c r="T59" i="34" s="1"/>
  <c r="J7" i="34"/>
  <c r="H7" i="34"/>
  <c r="F7" i="34"/>
  <c r="D52" i="37"/>
  <c r="M47" i="9"/>
  <c r="C7" i="40"/>
  <c r="C63" i="40" s="1"/>
  <c r="C7" i="33"/>
  <c r="C58" i="33" s="1"/>
  <c r="C7" i="36"/>
  <c r="C46" i="36" s="1"/>
  <c r="E15" i="4"/>
  <c r="F6" i="1" s="1"/>
  <c r="F14" i="49"/>
  <c r="H14" i="49" s="1"/>
  <c r="C5" i="78"/>
  <c r="D5" i="78" s="1"/>
  <c r="F6" i="49"/>
  <c r="H6" i="49" s="1"/>
  <c r="F10" i="49"/>
  <c r="H10" i="49" s="1"/>
  <c r="B6" i="49"/>
  <c r="D6" i="49" s="1"/>
  <c r="F12" i="49"/>
  <c r="H12" i="49" s="1"/>
  <c r="F8" i="49"/>
  <c r="H8" i="49" s="1"/>
  <c r="B14" i="49"/>
  <c r="D14" i="49" s="1"/>
  <c r="B9" i="49"/>
  <c r="C4" i="4" s="1"/>
  <c r="D19" i="69"/>
  <c r="D37" i="69" s="1"/>
  <c r="C37" i="69" s="1"/>
  <c r="D19" i="68"/>
  <c r="C19" i="68" s="1"/>
  <c r="C20" i="68" s="1"/>
  <c r="F13" i="49"/>
  <c r="H13" i="49" s="1"/>
  <c r="F11" i="49"/>
  <c r="H11" i="49" s="1"/>
  <c r="F9" i="49"/>
  <c r="H9" i="49" s="1"/>
  <c r="F7" i="49"/>
  <c r="H7" i="49" s="1"/>
  <c r="F5" i="49"/>
  <c r="H5" i="49" s="1"/>
  <c r="B10" i="49"/>
  <c r="D10" i="49" s="1"/>
  <c r="B13" i="49"/>
  <c r="D13" i="49" s="1"/>
  <c r="B5" i="49"/>
  <c r="D5" i="49" s="1"/>
  <c r="C8" i="69"/>
  <c r="F4" i="49"/>
  <c r="H4" i="49" s="1"/>
  <c r="B12" i="49"/>
  <c r="D12" i="49" s="1"/>
  <c r="B8" i="49"/>
  <c r="D8" i="49" s="1"/>
  <c r="B4" i="49"/>
  <c r="D4" i="49" s="1"/>
  <c r="B11" i="49"/>
  <c r="D11" i="49" s="1"/>
  <c r="B7" i="49"/>
  <c r="D7" i="49" s="1"/>
  <c r="C14" i="12"/>
  <c r="C18" i="12"/>
  <c r="C12" i="12"/>
  <c r="B9" i="70"/>
  <c r="B12" i="70"/>
  <c r="F63" i="15"/>
  <c r="B8" i="70"/>
  <c r="Q71" i="15"/>
  <c r="J53" i="15"/>
  <c r="L56" i="15" s="1"/>
  <c r="J57" i="15"/>
  <c r="J55" i="15" s="1"/>
  <c r="J58" i="15" s="1"/>
  <c r="Q50" i="15" s="1"/>
  <c r="I54" i="15"/>
  <c r="L59" i="67"/>
  <c r="M59" i="67"/>
  <c r="N59" i="67"/>
  <c r="B40" i="1"/>
  <c r="B11" i="70"/>
  <c r="B7" i="70"/>
  <c r="B10" i="70"/>
  <c r="J20" i="15"/>
  <c r="F71" i="15"/>
  <c r="C6" i="15"/>
  <c r="F31" i="15"/>
  <c r="F64" i="15"/>
  <c r="F68" i="67"/>
  <c r="C27" i="67"/>
  <c r="J20" i="67"/>
  <c r="F63" i="67"/>
  <c r="C18" i="15"/>
  <c r="C15" i="15"/>
  <c r="F69" i="15"/>
  <c r="C27" i="15"/>
  <c r="B20" i="31"/>
  <c r="B21" i="31" s="1"/>
  <c r="F66" i="15"/>
  <c r="Q71" i="67"/>
  <c r="N59" i="15"/>
  <c r="M59" i="15"/>
  <c r="L59" i="15"/>
  <c r="L58" i="15"/>
  <c r="F71" i="67"/>
  <c r="I1" i="73"/>
  <c r="B39" i="1" s="1"/>
  <c r="F51" i="67"/>
  <c r="F68" i="15"/>
  <c r="F51" i="15"/>
  <c r="F65" i="15"/>
  <c r="B13" i="70"/>
  <c r="F50" i="15"/>
  <c r="M7" i="15"/>
  <c r="M17" i="15" s="1"/>
  <c r="F66" i="67"/>
  <c r="F65" i="67"/>
  <c r="F64" i="67"/>
  <c r="M7" i="67"/>
  <c r="J6" i="67" s="1"/>
  <c r="F50" i="67"/>
  <c r="C6" i="67"/>
  <c r="F31" i="67"/>
  <c r="R16" i="1"/>
  <c r="C23" i="12"/>
  <c r="L48" i="67"/>
  <c r="C16" i="15"/>
  <c r="C17" i="67"/>
  <c r="C17" i="15"/>
  <c r="C14" i="67"/>
  <c r="C16" i="67"/>
  <c r="C16" i="12" l="1"/>
  <c r="D9" i="49"/>
  <c r="D37" i="68"/>
  <c r="C37" i="68" s="1"/>
  <c r="C34" i="69"/>
  <c r="M6" i="1"/>
  <c r="M16" i="1" s="1"/>
  <c r="Q16" i="1"/>
  <c r="H16" i="1"/>
  <c r="K16" i="1"/>
  <c r="E6" i="70"/>
  <c r="E2" i="70" s="1"/>
  <c r="H27" i="6"/>
  <c r="J53" i="67"/>
  <c r="F1" i="67" s="1"/>
  <c r="L58" i="67"/>
  <c r="Q73" i="67" s="1"/>
  <c r="J57" i="67"/>
  <c r="J55" i="67" s="1"/>
  <c r="J58" i="67" s="1"/>
  <c r="Q50" i="67" s="1"/>
  <c r="L56" i="67"/>
  <c r="L60" i="67"/>
  <c r="Q66" i="67" s="1"/>
  <c r="I54" i="67"/>
  <c r="L57" i="67"/>
  <c r="D46" i="36"/>
  <c r="E46" i="36" s="1"/>
  <c r="F46" i="36" s="1"/>
  <c r="G46" i="36" s="1"/>
  <c r="H46" i="36" s="1"/>
  <c r="I46" i="36" s="1"/>
  <c r="J46" i="36" s="1"/>
  <c r="K46" i="36" s="1"/>
  <c r="L46" i="36" s="1"/>
  <c r="M46" i="36" s="1"/>
  <c r="N46" i="36" s="1"/>
  <c r="O46" i="36" s="1"/>
  <c r="F7" i="36"/>
  <c r="D63" i="40"/>
  <c r="C65" i="40"/>
  <c r="E52" i="37"/>
  <c r="AB7" i="34"/>
  <c r="T49" i="34" s="1"/>
  <c r="G49" i="34" s="1"/>
  <c r="U7" i="34"/>
  <c r="H58" i="21"/>
  <c r="W7" i="35"/>
  <c r="AC7" i="35"/>
  <c r="V38" i="35" s="1"/>
  <c r="I38" i="35" s="1"/>
  <c r="I67" i="39"/>
  <c r="H69" i="39"/>
  <c r="I24" i="43"/>
  <c r="C24" i="43" s="1"/>
  <c r="G6" i="1"/>
  <c r="G16" i="1" s="1"/>
  <c r="D58" i="33"/>
  <c r="E58" i="33" s="1"/>
  <c r="F58" i="33" s="1"/>
  <c r="G58" i="33" s="1"/>
  <c r="H58" i="33" s="1"/>
  <c r="I58" i="33" s="1"/>
  <c r="J58" i="33" s="1"/>
  <c r="K58" i="33" s="1"/>
  <c r="L58" i="33" s="1"/>
  <c r="M58" i="33" s="1"/>
  <c r="N58" i="33" s="1"/>
  <c r="O58" i="33" s="1"/>
  <c r="F7" i="33"/>
  <c r="S7" i="34"/>
  <c r="AA7" i="34"/>
  <c r="R49" i="34" s="1"/>
  <c r="W7" i="34"/>
  <c r="AC7" i="34"/>
  <c r="V49" i="34" s="1"/>
  <c r="I49" i="34" s="1"/>
  <c r="AA7" i="35"/>
  <c r="R38" i="35" s="1"/>
  <c r="S7" i="35"/>
  <c r="U7" i="35"/>
  <c r="AB7" i="35"/>
  <c r="T38" i="35" s="1"/>
  <c r="G38" i="35" s="1"/>
  <c r="C21" i="12"/>
  <c r="C22" i="12" s="1"/>
  <c r="C49" i="15"/>
  <c r="F59" i="67"/>
  <c r="M17" i="67"/>
  <c r="J17" i="67" s="1"/>
  <c r="C18" i="67"/>
  <c r="C15" i="67"/>
  <c r="C19" i="15"/>
  <c r="K4" i="4"/>
  <c r="B46" i="48" s="1"/>
  <c r="B4" i="72" s="1"/>
  <c r="B4" i="62"/>
  <c r="B71" i="72" s="1"/>
  <c r="C31" i="67"/>
  <c r="F59" i="15"/>
  <c r="F11" i="67"/>
  <c r="C10" i="67" s="1"/>
  <c r="C5" i="67" s="1"/>
  <c r="F11" i="15"/>
  <c r="M11" i="67"/>
  <c r="J10" i="67" s="1"/>
  <c r="J5" i="67" s="1"/>
  <c r="M11" i="15"/>
  <c r="J10" i="15" s="1"/>
  <c r="Q57" i="67"/>
  <c r="Q61" i="15"/>
  <c r="Q74" i="15"/>
  <c r="C31" i="15"/>
  <c r="J6" i="15"/>
  <c r="F24" i="67"/>
  <c r="C24" i="67" s="1"/>
  <c r="F22" i="69"/>
  <c r="F22" i="11"/>
  <c r="F24" i="15"/>
  <c r="C24" i="15" s="1"/>
  <c r="L36" i="43"/>
  <c r="F25" i="12"/>
  <c r="C26" i="12" s="1"/>
  <c r="D25" i="12" s="1"/>
  <c r="F22" i="68"/>
  <c r="Q74" i="67"/>
  <c r="Q61" i="67"/>
  <c r="C49" i="67"/>
  <c r="Q73" i="15"/>
  <c r="Q60" i="15"/>
  <c r="Q52" i="15"/>
  <c r="F1" i="15"/>
  <c r="AE6" i="1"/>
  <c r="F41" i="67" s="1"/>
  <c r="F69" i="67" l="1"/>
  <c r="Q60" i="67"/>
  <c r="Q52" i="67"/>
  <c r="F27" i="69"/>
  <c r="F27" i="11"/>
  <c r="F28" i="12"/>
  <c r="F27" i="68"/>
  <c r="C35" i="69"/>
  <c r="C38" i="69"/>
  <c r="L16" i="1"/>
  <c r="N16" i="1"/>
  <c r="C34" i="11"/>
  <c r="C34" i="68"/>
  <c r="S7" i="33"/>
  <c r="AA7" i="33"/>
  <c r="R48" i="33" s="1"/>
  <c r="E38" i="35"/>
  <c r="R39" i="35"/>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37" i="43"/>
  <c r="C39" i="43"/>
  <c r="C40" i="43"/>
  <c r="C38" i="43"/>
  <c r="I69" i="39"/>
  <c r="J67" i="39"/>
  <c r="F52" i="37"/>
  <c r="D65" i="40"/>
  <c r="E63" i="40"/>
  <c r="AA7" i="36"/>
  <c r="R36" i="36" s="1"/>
  <c r="S7" i="36"/>
  <c r="G42" i="35"/>
  <c r="H42" i="35" s="1"/>
  <c r="G43" i="35"/>
  <c r="H43" i="35" s="1"/>
  <c r="I53" i="34"/>
  <c r="J53" i="34" s="1"/>
  <c r="E49" i="34"/>
  <c r="R50" i="34"/>
  <c r="J7" i="33"/>
  <c r="H7" i="33"/>
  <c r="J10" i="40"/>
  <c r="H10" i="39"/>
  <c r="F10" i="40"/>
  <c r="J10" i="39"/>
  <c r="H10" i="40"/>
  <c r="F10" i="39"/>
  <c r="I42" i="35"/>
  <c r="J42" i="35" s="1"/>
  <c r="I43" i="35"/>
  <c r="J43" i="35" s="1"/>
  <c r="I58" i="21"/>
  <c r="G54" i="34"/>
  <c r="H54" i="34" s="1"/>
  <c r="G53" i="34"/>
  <c r="H53" i="34" s="1"/>
  <c r="H7" i="36"/>
  <c r="J7" i="36"/>
  <c r="C59" i="15"/>
  <c r="C19" i="67"/>
  <c r="AG6" i="1"/>
  <c r="C20" i="67"/>
  <c r="C26" i="67" s="1"/>
  <c r="J24" i="67"/>
  <c r="C38" i="67"/>
  <c r="C59" i="67"/>
  <c r="C53" i="67"/>
  <c r="C48" i="67" s="1"/>
  <c r="C26" i="69"/>
  <c r="D22" i="69" s="1"/>
  <c r="C44" i="69"/>
  <c r="D41" i="69" s="1"/>
  <c r="C24" i="69"/>
  <c r="F41" i="69"/>
  <c r="J18" i="15"/>
  <c r="J19" i="15"/>
  <c r="J5" i="15"/>
  <c r="J17" i="15"/>
  <c r="C25" i="68"/>
  <c r="C20" i="15"/>
  <c r="C26" i="15" s="1"/>
  <c r="C27" i="12"/>
  <c r="C25" i="12" s="1"/>
  <c r="F41" i="68"/>
  <c r="C44" i="68"/>
  <c r="D41" i="68" s="1"/>
  <c r="C26" i="68"/>
  <c r="D22" i="68" s="1"/>
  <c r="C24" i="68"/>
  <c r="C23" i="68"/>
  <c r="L37" i="43"/>
  <c r="N36" i="43"/>
  <c r="O36" i="43"/>
  <c r="P36" i="43"/>
  <c r="M36" i="43"/>
  <c r="Q36" i="43"/>
  <c r="C44" i="11"/>
  <c r="D41" i="11" s="1"/>
  <c r="C23" i="11"/>
  <c r="C25" i="11"/>
  <c r="C24" i="11"/>
  <c r="C26" i="11"/>
  <c r="D22" i="11" s="1"/>
  <c r="C10" i="15"/>
  <c r="C5" i="15" s="1"/>
  <c r="C53" i="15"/>
  <c r="C48" i="15" s="1"/>
  <c r="M27" i="67"/>
  <c r="C35" i="11" l="1"/>
  <c r="C38" i="11"/>
  <c r="C33" i="11" s="1"/>
  <c r="C47" i="68"/>
  <c r="D45" i="68" s="1"/>
  <c r="F45" i="68"/>
  <c r="C29" i="68"/>
  <c r="D27" i="68" s="1"/>
  <c r="C28" i="68"/>
  <c r="C27" i="68" s="1"/>
  <c r="C47" i="11"/>
  <c r="D45" i="11" s="1"/>
  <c r="C28" i="11"/>
  <c r="C27" i="11" s="1"/>
  <c r="C29" i="11"/>
  <c r="D27" i="11" s="1"/>
  <c r="C38" i="68"/>
  <c r="C35" i="68"/>
  <c r="F50" i="11"/>
  <c r="F50" i="69"/>
  <c r="F50" i="68"/>
  <c r="C33" i="69"/>
  <c r="C29" i="12"/>
  <c r="D28" i="12" s="1"/>
  <c r="C30" i="12"/>
  <c r="C28" i="12" s="1"/>
  <c r="C29" i="69"/>
  <c r="D27" i="69" s="1"/>
  <c r="F45" i="69"/>
  <c r="C47" i="69"/>
  <c r="D45" i="69" s="1"/>
  <c r="AB7" i="36"/>
  <c r="T36" i="36" s="1"/>
  <c r="G36" i="36" s="1"/>
  <c r="U7" i="36"/>
  <c r="J58" i="21"/>
  <c r="K58" i="21" s="1"/>
  <c r="L58" i="21" s="1"/>
  <c r="M58" i="21" s="1"/>
  <c r="N58" i="21" s="1"/>
  <c r="O58" i="21" s="1"/>
  <c r="H7" i="21"/>
  <c r="U10" i="40"/>
  <c r="AB10" i="40"/>
  <c r="S10" i="40"/>
  <c r="AA10" i="40"/>
  <c r="AC10" i="40"/>
  <c r="W10" i="40"/>
  <c r="AC7" i="33"/>
  <c r="V48" i="33" s="1"/>
  <c r="I48" i="33" s="1"/>
  <c r="W7" i="33"/>
  <c r="E54" i="34"/>
  <c r="F54" i="34" s="1"/>
  <c r="E53" i="34"/>
  <c r="F53" i="34" s="1"/>
  <c r="E36" i="36"/>
  <c r="R37" i="36"/>
  <c r="G52" i="37"/>
  <c r="E40" i="43"/>
  <c r="G40" i="43"/>
  <c r="I40" i="43" s="1"/>
  <c r="E37" i="43"/>
  <c r="G37" i="43"/>
  <c r="I37" i="43" s="1"/>
  <c r="E42" i="35"/>
  <c r="F42" i="35" s="1"/>
  <c r="E43" i="35"/>
  <c r="F43" i="35" s="1"/>
  <c r="AC7" i="36"/>
  <c r="V36" i="36" s="1"/>
  <c r="I36" i="36" s="1"/>
  <c r="W7" i="36"/>
  <c r="J7" i="21"/>
  <c r="S10" i="39"/>
  <c r="AA10" i="39"/>
  <c r="W10" i="39"/>
  <c r="AC10" i="39"/>
  <c r="U10" i="39"/>
  <c r="AB10" i="39"/>
  <c r="U7" i="33"/>
  <c r="AB7" i="33"/>
  <c r="T48" i="33" s="1"/>
  <c r="G48" i="33" s="1"/>
  <c r="C50" i="34"/>
  <c r="C49" i="34"/>
  <c r="I54" i="34"/>
  <c r="J54" i="34" s="1"/>
  <c r="E65" i="40"/>
  <c r="F63" i="40"/>
  <c r="K67" i="39"/>
  <c r="J69" i="39"/>
  <c r="G38" i="43"/>
  <c r="I38" i="43" s="1"/>
  <c r="E38" i="43"/>
  <c r="G39" i="43"/>
  <c r="I39" i="43" s="1"/>
  <c r="E39" i="43"/>
  <c r="C6" i="69"/>
  <c r="C34" i="43"/>
  <c r="E34" i="43" s="1"/>
  <c r="C31" i="43" s="1"/>
  <c r="E33" i="43"/>
  <c r="C38" i="35"/>
  <c r="C39" i="35"/>
  <c r="M3" i="35" s="1"/>
  <c r="R49" i="33"/>
  <c r="E48" i="33"/>
  <c r="C22" i="11"/>
  <c r="C31" i="11" s="1"/>
  <c r="C22" i="68"/>
  <c r="C66" i="67"/>
  <c r="C66" i="15"/>
  <c r="M37" i="43"/>
  <c r="O37" i="43"/>
  <c r="Q37" i="43"/>
  <c r="P37" i="43"/>
  <c r="N37" i="43"/>
  <c r="C23" i="15"/>
  <c r="C29" i="15" s="1"/>
  <c r="C23" i="67"/>
  <c r="C29" i="67" s="1"/>
  <c r="C38" i="15"/>
  <c r="J24" i="15"/>
  <c r="J26" i="15"/>
  <c r="J29" i="15" s="1"/>
  <c r="C31" i="68" l="1"/>
  <c r="C32" i="12"/>
  <c r="B2" i="12" s="1"/>
  <c r="B3" i="12" s="1"/>
  <c r="C33" i="68"/>
  <c r="C39" i="68" s="1"/>
  <c r="C39" i="69"/>
  <c r="C42" i="69"/>
  <c r="C39" i="11"/>
  <c r="C43" i="11" s="1"/>
  <c r="C42" i="11"/>
  <c r="G52" i="33"/>
  <c r="H52" i="33" s="1"/>
  <c r="G53" i="33"/>
  <c r="H53" i="33" s="1"/>
  <c r="E53" i="33"/>
  <c r="F53" i="33" s="1"/>
  <c r="E52" i="33"/>
  <c r="F52" i="33" s="1"/>
  <c r="C30" i="43"/>
  <c r="C7" i="69"/>
  <c r="C5" i="69" s="1"/>
  <c r="K69" i="39"/>
  <c r="L67" i="39"/>
  <c r="G63" i="40"/>
  <c r="F65" i="40"/>
  <c r="H52" i="37"/>
  <c r="E40" i="36"/>
  <c r="F40" i="36" s="1"/>
  <c r="E41" i="36"/>
  <c r="F41" i="36" s="1"/>
  <c r="I53" i="33"/>
  <c r="J53" i="33" s="1"/>
  <c r="I52" i="33"/>
  <c r="J52" i="33" s="1"/>
  <c r="F7" i="21"/>
  <c r="C48" i="33"/>
  <c r="C49" i="33"/>
  <c r="AC7" i="21"/>
  <c r="V48" i="21" s="1"/>
  <c r="I48" i="21" s="1"/>
  <c r="W7" i="21"/>
  <c r="I40" i="36"/>
  <c r="J40" i="36" s="1"/>
  <c r="I41" i="36"/>
  <c r="J41" i="36" s="1"/>
  <c r="C37" i="36"/>
  <c r="C36" i="36"/>
  <c r="AB7" i="21"/>
  <c r="T48" i="21" s="1"/>
  <c r="G48" i="21" s="1"/>
  <c r="U7" i="21"/>
  <c r="G40" i="36"/>
  <c r="H40" i="36" s="1"/>
  <c r="G41" i="36"/>
  <c r="H41" i="36" s="1"/>
  <c r="C57" i="15"/>
  <c r="C64" i="15" s="1"/>
  <c r="C13" i="15"/>
  <c r="Q49" i="15"/>
  <c r="J14" i="15"/>
  <c r="C36" i="15"/>
  <c r="J59" i="15"/>
  <c r="J60" i="15" s="1"/>
  <c r="J14" i="67"/>
  <c r="C36" i="67"/>
  <c r="C57" i="67"/>
  <c r="C64" i="67" s="1"/>
  <c r="C13" i="67"/>
  <c r="Q49" i="67"/>
  <c r="J59" i="67"/>
  <c r="J60" i="67" s="1"/>
  <c r="E6" i="76"/>
  <c r="C42" i="68" l="1"/>
  <c r="C41" i="11"/>
  <c r="C49" i="11" s="1"/>
  <c r="C51" i="11" s="1"/>
  <c r="C46" i="68"/>
  <c r="C45" i="68" s="1"/>
  <c r="C43" i="68"/>
  <c r="C46" i="69"/>
  <c r="C45" i="69" s="1"/>
  <c r="C43" i="69"/>
  <c r="C41" i="69" s="1"/>
  <c r="C46" i="11"/>
  <c r="C45" i="11" s="1"/>
  <c r="E2" i="76"/>
  <c r="C20" i="69"/>
  <c r="C25" i="69" s="1"/>
  <c r="C23" i="69"/>
  <c r="AA7" i="21"/>
  <c r="R48" i="21" s="1"/>
  <c r="S7" i="21"/>
  <c r="I52" i="37"/>
  <c r="H63" i="40"/>
  <c r="G65" i="40"/>
  <c r="G52" i="21"/>
  <c r="H52" i="21" s="1"/>
  <c r="G53" i="21"/>
  <c r="H53" i="21" s="1"/>
  <c r="I52" i="21"/>
  <c r="J52" i="21" s="1"/>
  <c r="M67" i="39"/>
  <c r="L69" i="39"/>
  <c r="B2" i="43"/>
  <c r="Q48" i="67"/>
  <c r="L46" i="67"/>
  <c r="Q48" i="15"/>
  <c r="L46" i="15"/>
  <c r="J13" i="15"/>
  <c r="J23" i="15" s="1"/>
  <c r="J22" i="15"/>
  <c r="C37" i="15"/>
  <c r="C30" i="15" s="1"/>
  <c r="C39" i="15" s="1"/>
  <c r="C56" i="15"/>
  <c r="C65" i="15" s="1"/>
  <c r="C58" i="15" s="1"/>
  <c r="C67" i="15" s="1"/>
  <c r="C68" i="15" s="1"/>
  <c r="C75" i="15"/>
  <c r="Q70" i="15"/>
  <c r="C56" i="67"/>
  <c r="C65" i="67" s="1"/>
  <c r="C58" i="67" s="1"/>
  <c r="C67" i="67" s="1"/>
  <c r="C68" i="67" s="1"/>
  <c r="C37" i="67"/>
  <c r="C30" i="67" s="1"/>
  <c r="C39" i="67" s="1"/>
  <c r="Q70" i="67"/>
  <c r="C75" i="67"/>
  <c r="J22" i="67"/>
  <c r="J13" i="67"/>
  <c r="J23" i="67" s="1"/>
  <c r="B6" i="76"/>
  <c r="C41" i="68" l="1"/>
  <c r="C49" i="69"/>
  <c r="C51" i="69" s="1"/>
  <c r="C49" i="68"/>
  <c r="C51" i="68" s="1"/>
  <c r="C52" i="68" s="1"/>
  <c r="B2" i="68" s="1"/>
  <c r="B3" i="68" s="1"/>
  <c r="C22" i="69"/>
  <c r="C52" i="11"/>
  <c r="B2" i="11" s="1"/>
  <c r="B3" i="11" s="1"/>
  <c r="C28" i="69"/>
  <c r="C27" i="69" s="1"/>
  <c r="B2" i="76"/>
  <c r="B3" i="76" s="1"/>
  <c r="I63" i="40"/>
  <c r="H65" i="40"/>
  <c r="B3" i="43"/>
  <c r="N67" i="39"/>
  <c r="M69" i="39"/>
  <c r="J52" i="37"/>
  <c r="R49" i="21"/>
  <c r="E48" i="21"/>
  <c r="C31" i="69"/>
  <c r="J16" i="15"/>
  <c r="J25" i="15" s="1"/>
  <c r="C40" i="67"/>
  <c r="C45" i="67" s="1"/>
  <c r="Q69" i="67"/>
  <c r="Q68" i="67" s="1"/>
  <c r="C40" i="15"/>
  <c r="Q69" i="15"/>
  <c r="Q68" i="15" s="1"/>
  <c r="J16" i="67"/>
  <c r="J25" i="67" s="1"/>
  <c r="J26" i="67" s="1"/>
  <c r="J29" i="67" s="1"/>
  <c r="C80" i="67"/>
  <c r="C79" i="67" s="1"/>
  <c r="C80" i="15"/>
  <c r="C79" i="15" s="1"/>
  <c r="C71" i="15"/>
  <c r="C46" i="15"/>
  <c r="C71" i="67"/>
  <c r="L51" i="67"/>
  <c r="L51" i="15"/>
  <c r="D2" i="34"/>
  <c r="C52" i="69" l="1"/>
  <c r="C57" i="68"/>
  <c r="C56" i="68" s="1"/>
  <c r="C56" i="11"/>
  <c r="C57" i="11" s="1"/>
  <c r="B2" i="69"/>
  <c r="B3" i="69" s="1"/>
  <c r="C57" i="69"/>
  <c r="C56" i="69" s="1"/>
  <c r="C49" i="21"/>
  <c r="C48" i="21"/>
  <c r="K52" i="37"/>
  <c r="N69" i="39"/>
  <c r="O67" i="39"/>
  <c r="O69" i="39" s="1"/>
  <c r="F7" i="39" s="1"/>
  <c r="E52" i="21"/>
  <c r="F52" i="21" s="1"/>
  <c r="E53" i="21"/>
  <c r="F53" i="21" s="1"/>
  <c r="I53" i="21"/>
  <c r="J53" i="21" s="1"/>
  <c r="J63" i="40"/>
  <c r="I65" i="40"/>
  <c r="B2" i="34"/>
  <c r="Q67" i="15"/>
  <c r="L57" i="15"/>
  <c r="L60" i="15" s="1"/>
  <c r="Q67" i="67"/>
  <c r="C46" i="67"/>
  <c r="B2" i="15"/>
  <c r="B3" i="15" s="1"/>
  <c r="Q47" i="15"/>
  <c r="Q53" i="15" s="1"/>
  <c r="C43" i="15"/>
  <c r="Q56" i="15"/>
  <c r="Q65" i="15"/>
  <c r="C83" i="15"/>
  <c r="C82" i="15" s="1"/>
  <c r="D2" i="67"/>
  <c r="I34" i="67"/>
  <c r="I35" i="67" s="1"/>
  <c r="Q65" i="67"/>
  <c r="Q75" i="67" s="1"/>
  <c r="Q56" i="67"/>
  <c r="Q62" i="67" s="1"/>
  <c r="C43" i="67"/>
  <c r="Q47" i="67"/>
  <c r="Q53" i="67" s="1"/>
  <c r="C83" i="67"/>
  <c r="C82" i="67" s="1"/>
  <c r="D19" i="9"/>
  <c r="J65" i="40" l="1"/>
  <c r="K63" i="40"/>
  <c r="H7" i="39"/>
  <c r="J7" i="39"/>
  <c r="AA7" i="39"/>
  <c r="R47" i="39" s="1"/>
  <c r="S7" i="39"/>
  <c r="L52" i="37"/>
  <c r="M52" i="37" s="1"/>
  <c r="N52" i="37" s="1"/>
  <c r="O52" i="37" s="1"/>
  <c r="D102" i="9"/>
  <c r="D21" i="9"/>
  <c r="B3" i="67"/>
  <c r="B2" i="67"/>
  <c r="Q57" i="15"/>
  <c r="Q62" i="15" s="1"/>
  <c r="Q66" i="15"/>
  <c r="Q75" i="15" s="1"/>
  <c r="B3" i="34"/>
  <c r="AO6" i="1"/>
  <c r="C19" i="9"/>
  <c r="D20" i="9"/>
  <c r="C20" i="9"/>
  <c r="R48" i="39" l="1"/>
  <c r="E47" i="39"/>
  <c r="AB7" i="39"/>
  <c r="T47" i="39" s="1"/>
  <c r="G47" i="39" s="1"/>
  <c r="U7" i="39"/>
  <c r="H7" i="37"/>
  <c r="F7" i="37"/>
  <c r="J7" i="37"/>
  <c r="AC7" i="39"/>
  <c r="V47" i="39" s="1"/>
  <c r="I47" i="39" s="1"/>
  <c r="W7" i="39"/>
  <c r="K65" i="40"/>
  <c r="L63" i="40"/>
  <c r="G20" i="9"/>
  <c r="C103" i="9"/>
  <c r="D103" i="9"/>
  <c r="C21" i="9"/>
  <c r="D22" i="9"/>
  <c r="G19" i="9"/>
  <c r="G21" i="9" s="1"/>
  <c r="C102" i="9"/>
  <c r="B6" i="70"/>
  <c r="B2" i="70" s="1"/>
  <c r="B3" i="70" s="1"/>
  <c r="I51" i="39" l="1"/>
  <c r="J51" i="39" s="1"/>
  <c r="I52" i="39"/>
  <c r="J52" i="39" s="1"/>
  <c r="AA7" i="37"/>
  <c r="R42" i="37" s="1"/>
  <c r="S7" i="37"/>
  <c r="L65" i="40"/>
  <c r="M63" i="40"/>
  <c r="AC7" i="37"/>
  <c r="V42" i="37" s="1"/>
  <c r="I42" i="37" s="1"/>
  <c r="W7" i="37"/>
  <c r="AB7" i="37"/>
  <c r="T42" i="37" s="1"/>
  <c r="G42" i="37" s="1"/>
  <c r="U7" i="37"/>
  <c r="E52" i="39"/>
  <c r="F52" i="39" s="1"/>
  <c r="E51" i="39"/>
  <c r="F51" i="39" s="1"/>
  <c r="G51" i="39"/>
  <c r="H51" i="39" s="1"/>
  <c r="G52" i="39"/>
  <c r="H52" i="39" s="1"/>
  <c r="C48" i="39"/>
  <c r="C47" i="39"/>
  <c r="E14" i="74"/>
  <c r="D14" i="74" s="1"/>
  <c r="C32" i="9"/>
  <c r="B63" i="39" l="1"/>
  <c r="F63" i="39" s="1"/>
  <c r="B64" i="39"/>
  <c r="F64" i="39" s="1"/>
  <c r="B60" i="39"/>
  <c r="F60" i="39" s="1"/>
  <c r="B61" i="39"/>
  <c r="F61" i="39" s="1"/>
  <c r="B57" i="39"/>
  <c r="F57" i="39" s="1"/>
  <c r="B58" i="39"/>
  <c r="F58" i="39" s="1"/>
  <c r="B62" i="39"/>
  <c r="F62" i="39" s="1"/>
  <c r="B59" i="39"/>
  <c r="F59" i="39" s="1"/>
  <c r="B56" i="39"/>
  <c r="F56" i="39" s="1"/>
  <c r="F65" i="39" s="1"/>
  <c r="B2" i="39" s="1"/>
  <c r="B3" i="39" s="1"/>
  <c r="I46" i="37"/>
  <c r="J46" i="37" s="1"/>
  <c r="M65" i="40"/>
  <c r="N63" i="40"/>
  <c r="G46" i="37"/>
  <c r="H46" i="37" s="1"/>
  <c r="G47" i="37"/>
  <c r="H47" i="37" s="1"/>
  <c r="R43" i="37"/>
  <c r="E42" i="37"/>
  <c r="C35" i="9"/>
  <c r="C34" i="9" s="1"/>
  <c r="F14" i="74"/>
  <c r="B5" i="74"/>
  <c r="C42" i="37" l="1"/>
  <c r="C43" i="37"/>
  <c r="E46" i="37"/>
  <c r="F46" i="37" s="1"/>
  <c r="E47" i="37"/>
  <c r="F47" i="37" s="1"/>
  <c r="O63" i="40"/>
  <c r="O65" i="40" s="1"/>
  <c r="N65" i="40"/>
  <c r="I47" i="37"/>
  <c r="J47" i="37" s="1"/>
  <c r="D5" i="74"/>
  <c r="J7" i="40" l="1"/>
  <c r="F7" i="40"/>
  <c r="H7" i="40"/>
  <c r="AA7" i="40" l="1"/>
  <c r="R42" i="40" s="1"/>
  <c r="S7" i="40"/>
  <c r="U7" i="40"/>
  <c r="AB7" i="40"/>
  <c r="T42" i="40" s="1"/>
  <c r="G42" i="40" s="1"/>
  <c r="W7" i="40"/>
  <c r="AC7" i="40"/>
  <c r="V42" i="40" s="1"/>
  <c r="I42" i="40" s="1"/>
  <c r="G47" i="40" l="1"/>
  <c r="H47" i="40" s="1"/>
  <c r="G46" i="40"/>
  <c r="H46" i="40" s="1"/>
  <c r="I46" i="40"/>
  <c r="J46" i="40" s="1"/>
  <c r="R43" i="40"/>
  <c r="E42" i="40"/>
  <c r="E47" i="40" l="1"/>
  <c r="F47" i="40" s="1"/>
  <c r="E46" i="40"/>
  <c r="F46" i="40" s="1"/>
  <c r="I47" i="40"/>
  <c r="J47" i="40" s="1"/>
  <c r="C42" i="40"/>
  <c r="C43" i="40"/>
  <c r="B58" i="40" l="1"/>
  <c r="F58" i="40" s="1"/>
  <c r="B54" i="40"/>
  <c r="F54" i="40" s="1"/>
  <c r="B53" i="40"/>
  <c r="F53" i="40" s="1"/>
  <c r="B59" i="40"/>
  <c r="F59" i="40" s="1"/>
  <c r="B52" i="40"/>
  <c r="F52" i="40" s="1"/>
  <c r="B56" i="40"/>
  <c r="F56" i="40" s="1"/>
  <c r="B60" i="40"/>
  <c r="F60" i="40" s="1"/>
  <c r="B57" i="40"/>
  <c r="F57" i="40" s="1"/>
  <c r="B51" i="40"/>
  <c r="F51" i="40" s="1"/>
  <c r="F61" i="40"/>
  <c r="B2" i="40" s="1"/>
  <c r="B3" i="40" s="1"/>
  <c r="E81" i="9"/>
  <c r="E80" i="9"/>
  <c r="C80" i="9"/>
  <c r="B52" i="72"/>
  <c r="G4" i="52"/>
  <c r="N60" i="9"/>
  <c r="N59" i="9"/>
  <c r="N61" i="9"/>
  <c r="B49" i="72"/>
  <c r="D5" i="52"/>
  <c r="D119" i="9"/>
  <c r="C86" i="9"/>
  <c r="C93" i="9"/>
  <c r="M55" i="9"/>
  <c r="D59" i="9"/>
  <c r="D9" i="52"/>
  <c r="D123" i="9"/>
  <c r="B22" i="72"/>
  <c r="D6" i="53"/>
  <c r="B48" i="72"/>
  <c r="E4" i="52"/>
  <c r="C6" i="74"/>
  <c r="C96" i="9"/>
  <c r="E96" i="9"/>
  <c r="E97" i="9"/>
  <c r="F119" i="9"/>
  <c r="F5" i="52"/>
  <c r="B53" i="72"/>
  <c r="M48" i="9"/>
  <c r="H5" i="52"/>
  <c r="H119" i="9"/>
  <c r="D54" i="9"/>
  <c r="C64" i="9"/>
  <c r="C63" i="9"/>
  <c r="C67" i="9"/>
  <c r="C68" i="9"/>
  <c r="C105" i="9"/>
  <c r="I4" i="52"/>
  <c r="H4" i="52"/>
  <c r="C104" i="9"/>
  <c r="B32" i="72"/>
  <c r="D14" i="53"/>
  <c r="D13" i="53"/>
  <c r="B30" i="72"/>
  <c r="C73" i="9"/>
  <c r="C78" i="9"/>
  <c r="G118" i="9"/>
  <c r="F118" i="9"/>
  <c r="F4" i="52"/>
  <c r="B51" i="72"/>
  <c r="P57" i="9"/>
  <c r="D55" i="9"/>
  <c r="M53" i="9"/>
  <c r="N57" i="9"/>
  <c r="N58" i="9"/>
  <c r="C85" i="9"/>
  <c r="C95" i="9"/>
  <c r="C97" i="9"/>
  <c r="D58" i="9"/>
  <c r="D56" i="9"/>
  <c r="M54" i="9"/>
  <c r="C5" i="74"/>
  <c r="E118" i="9"/>
  <c r="D118" i="9"/>
  <c r="D4" i="52"/>
  <c r="B47" i="72"/>
  <c r="H108" i="9"/>
  <c r="D15" i="53"/>
  <c r="B31" i="72"/>
  <c r="D53" i="9"/>
  <c r="D52" i="9"/>
  <c r="H107" i="9"/>
  <c r="D122" i="9"/>
  <c r="D8" i="52"/>
  <c r="D5" i="53"/>
  <c r="B20" i="72"/>
  <c r="H101" i="9"/>
  <c r="D45" i="9"/>
  <c r="C72" i="9"/>
  <c r="C79" i="9"/>
  <c r="C81"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<sst xmlns="http://schemas.openxmlformats.org/spreadsheetml/2006/main" count="7914" uniqueCount="3457">
  <si>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</si>
  <si>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</si>
  <si>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</si>
  <si>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</si>
  <si>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</si>
  <si>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</si>
  <si>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</si>
  <si>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</si>
  <si>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</si>
  <si>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</si>
  <si>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</si>
  <si>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</si>
  <si>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</si>
  <si>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</si>
  <si>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</si>
  <si>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</si>
  <si>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</si>
  <si>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</si>
  <si>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</si>
  <si>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</si>
  <si>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</si>
  <si>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</si>
  <si>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</si>
  <si>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</si>
  <si>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</si>
  <si>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</si>
  <si>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</si>
  <si>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</si>
  <si>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</si>
  <si>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</si>
  <si>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</si>
  <si>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</si>
  <si>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</si>
  <si>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</si>
  <si>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</si>
  <si>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</si>
  <si>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</si>
  <si>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</si>
  <si>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</si>
  <si>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</si>
  <si>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</si>
  <si>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</si>
  <si>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</si>
  <si>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</si>
  <si>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</si>
  <si>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</si>
  <si>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</si>
  <si>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</si>
  <si>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</si>
  <si>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</si>
  <si>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</si>
  <si>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</si>
  <si>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</si>
  <si>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</si>
  <si>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</si>
  <si>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</si>
  <si>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</si>
  <si>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</si>
  <si>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</si>
  <si>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</si>
  <si>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</si>
  <si>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</si>
  <si>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</si>
  <si>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</si>
  <si>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</si>
  <si>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</si>
  <si>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</si>
  <si>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</si>
  <si>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</si>
  <si>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</si>
  <si>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</si>
  <si>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</si>
  <si>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</si>
  <si>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</si>
  <si>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</si>
  <si>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</si>
  <si>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</si>
  <si>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</si>
  <si>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</si>
  <si>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</si>
  <si>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</si>
  <si>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</si>
  <si>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</si>
  <si>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</si>
  <si>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</si>
  <si>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</si>
  <si>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</si>
  <si>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</si>
  <si>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</si>
  <si>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</si>
  <si>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</si>
  <si>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</si>
  <si>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</si>
  <si>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</si>
  <si>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</si>
  <si>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</si>
  <si>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</si>
  <si>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</si>
  <si>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</si>
  <si>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</si>
  <si>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</si>
  <si>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</si>
  <si>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</si>
  <si>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</si>
  <si>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</si>
  <si>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</si>
  <si>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</si>
  <si>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</si>
  <si>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</si>
  <si>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</si>
  <si>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</si>
  <si>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</si>
  <si>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</si>
  <si>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</si>
  <si>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</si>
  <si>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</si>
  <si>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</si>
  <si>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</si>
  <si>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</si>
  <si>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</si>
  <si>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</si>
  <si>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</si>
  <si>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</si>
  <si>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</si>
  <si>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</si>
  <si>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</si>
  <si>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</si>
  <si>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</si>
  <si>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</si>
  <si>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</si>
  <si>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</si>
  <si>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</si>
  <si>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</si>
  <si>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</si>
  <si>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</si>
  <si>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</si>
  <si>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</si>
  <si>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</si>
  <si>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</si>
  <si>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</si>
  <si>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</si>
  <si>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</si>
  <si>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</si>
  <si>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</si>
  <si>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</si>
  <si>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</si>
  <si>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</si>
  <si>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</si>
  <si>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</si>
  <si>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</si>
  <si>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</si>
  <si>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</si>
  <si>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</si>
  <si>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</si>
  <si>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</si>
  <si>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</si>
  <si>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</si>
  <si>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</si>
  <si>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</si>
  <si>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</si>
  <si>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</si>
  <si>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</si>
  <si>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</si>
  <si>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</si>
  <si>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</si>
  <si>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</si>
  <si>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</si>
  <si>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</si>
  <si>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</si>
  <si>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</si>
  <si>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</si>
  <si>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</si>
  <si>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</si>
  <si>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</si>
  <si>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</si>
  <si>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</si>
  <si>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</si>
  <si>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</si>
  <si>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</si>
  <si>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</si>
  <si>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</si>
  <si>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</si>
  <si>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</si>
  <si>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</si>
  <si>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</si>
  <si>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</si>
  <si>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</si>
  <si>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</si>
  <si>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</si>
  <si>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</si>
  <si>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</si>
  <si>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</si>
  <si>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</si>
  <si>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</si>
  <si>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</si>
  <si>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</si>
  <si>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</si>
  <si>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</si>
  <si>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</si>
  <si>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</si>
  <si>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</si>
  <si>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</si>
  <si>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</si>
  <si>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</si>
  <si>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</si>
  <si>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</si>
  <si>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</si>
  <si>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</si>
  <si>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</si>
  <si>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</si>
  <si>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</si>
  <si>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</si>
  <si>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</si>
  <si>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</si>
  <si>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</si>
  <si>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</si>
  <si>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</si>
  <si>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</si>
  <si>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</si>
  <si>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</si>
  <si>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</si>
  <si>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</si>
  <si>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</si>
  <si>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</si>
  <si>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</si>
  <si>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</si>
  <si>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</si>
  <si>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</si>
  <si>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</si>
  <si>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</si>
  <si>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</si>
  <si>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</si>
  <si>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</si>
  <si>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</si>
  <si>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</si>
  <si>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</si>
  <si>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</si>
  <si>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</si>
  <si>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</si>
  <si>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</si>
  <si>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</si>
  <si>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</si>
  <si>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</si>
  <si>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</si>
  <si>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</si>
  <si>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</si>
  <si>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</si>
  <si>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</si>
  <si>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</si>
  <si>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</si>
  <si>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</si>
  <si>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</si>
  <si>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</si>
  <si>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</si>
  <si>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</si>
  <si>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</si>
  <si>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</si>
  <si>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</si>
  <si>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</si>
  <si>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</si>
  <si>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</si>
  <si>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</si>
  <si>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</si>
  <si>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</si>
  <si>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</si>
  <si>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</si>
  <si>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</si>
  <si>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</si>
  <si>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</si>
  <si>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</si>
  <si>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</si>
  <si>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</si>
  <si>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</si>
  <si>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</si>
  <si>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</si>
  <si>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</si>
  <si>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</si>
  <si>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</si>
  <si>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</si>
  <si>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</si>
  <si>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</si>
  <si>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</si>
  <si>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</si>
  <si>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</si>
  <si>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</si>
  <si>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</si>
  <si>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</si>
  <si>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</si>
  <si>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</si>
  <si>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</si>
  <si>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</si>
  <si>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</si>
  <si>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</si>
  <si>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</si>
  <si>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</si>
  <si>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</si>
  <si>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</si>
  <si>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</si>
  <si>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</si>
  <si>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</si>
  <si>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</si>
  <si>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</si>
  <si>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</si>
  <si>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</si>
  <si>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</si>
  <si>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</si>
  <si>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</si>
  <si>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</si>
  <si>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</si>
  <si>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</si>
  <si>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</si>
  <si>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</si>
  <si>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</si>
  <si>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</si>
  <si>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</si>
  <si>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</si>
  <si>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</si>
  <si>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</si>
  <si>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</si>
  <si>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</si>
  <si>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</si>
  <si>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</si>
  <si>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</si>
  <si>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</si>
  <si>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</si>
  <si>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</si>
  <si>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</si>
  <si>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</si>
  <si>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</si>
  <si>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</si>
  <si>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</si>
  <si>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</si>
  <si>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</si>
  <si>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</si>
  <si>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</si>
  <si>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</si>
  <si>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</si>
  <si>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</si>
  <si>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</si>
  <si>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</si>
  <si>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</si>
  <si>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</si>
  <si>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</si>
  <si>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</si>
  <si>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</si>
  <si>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</si>
  <si>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</si>
  <si>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</si>
  <si>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</si>
  <si>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</si>
  <si>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</si>
  <si>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</si>
  <si>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</si>
  <si>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</si>
  <si>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</si>
  <si>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</si>
  <si>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</si>
  <si>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</si>
  <si>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</si>
  <si>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</si>
  <si>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</si>
  <si>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</si>
  <si>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</si>
  <si>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</si>
  <si>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</si>
  <si>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</si>
  <si>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</si>
  <si>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</si>
  <si>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</si>
  <si>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</si>
  <si>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</si>
  <si>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</si>
  <si>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</si>
  <si>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</si>
  <si>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</si>
  <si>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</si>
  <si>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</si>
  <si>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</si>
  <si>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</si>
  <si>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</si>
  <si>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</si>
  <si>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</si>
  <si>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</si>
  <si>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</si>
  <si>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</si>
  <si>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</si>
  <si>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</si>
  <si>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</si>
  <si>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</si>
  <si>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</si>
  <si>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</si>
  <si>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</si>
  <si>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</si>
  <si>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</si>
  <si>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</si>
  <si>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</si>
  <si>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</si>
  <si>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</si>
  <si>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</si>
  <si>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</si>
  <si>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</si>
  <si>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</si>
  <si>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</si>
  <si>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</si>
  <si>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</si>
  <si>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</si>
  <si>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</si>
  <si>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</si>
  <si>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</si>
  <si>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</si>
  <si>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</si>
  <si>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</si>
  <si>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</si>
  <si>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</si>
  <si>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</si>
  <si>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</si>
  <si>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</si>
  <si>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</si>
  <si>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</si>
  <si>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</si>
  <si>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</si>
  <si>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</si>
  <si>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</si>
  <si>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</si>
  <si>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</si>
  <si>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</si>
  <si>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</si>
  <si>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</si>
  <si>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</si>
  <si>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</si>
  <si>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</si>
  <si>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</si>
  <si>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</si>
  <si>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</si>
  <si>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</si>
  <si>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</si>
  <si>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</si>
  <si>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</si>
  <si>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</si>
  <si>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</si>
  <si>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</si>
  <si>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</si>
  <si>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</si>
  <si>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</si>
  <si>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</si>
  <si>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</si>
  <si>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</si>
  <si>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</si>
  <si>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</si>
  <si>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</si>
  <si>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</si>
  <si>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</si>
  <si>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</si>
  <si>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</si>
  <si>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</si>
  <si>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</si>
  <si>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</si>
  <si>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</si>
  <si>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</si>
  <si>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</si>
  <si>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</si>
  <si>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</si>
  <si>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</si>
  <si>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</si>
  <si>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</si>
  <si>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</si>
  <si>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</si>
  <si>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</si>
  <si>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</si>
  <si>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</si>
  <si>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</si>
  <si>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</si>
  <si>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</si>
  <si>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</si>
  <si>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</si>
  <si>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</si>
  <si>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</si>
  <si>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</si>
  <si>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</si>
  <si>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</si>
  <si>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</si>
  <si>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</si>
  <si>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</si>
  <si>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</si>
  <si>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</si>
  <si>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</si>
  <si>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</si>
  <si>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</si>
  <si>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</si>
  <si>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</si>
  <si>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</si>
  <si>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</si>
  <si>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</si>
  <si>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</si>
  <si>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</si>
  <si>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</si>
  <si>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</si>
  <si>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</si>
  <si>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</si>
  <si>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</si>
  <si>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</si>
  <si>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</si>
  <si>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</si>
  <si>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</si>
  <si>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</si>
  <si>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</si>
  <si>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</si>
  <si>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</si>
  <si>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</si>
  <si>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</si>
  <si>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</si>
  <si>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</si>
  <si>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</si>
  <si>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</si>
  <si>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</si>
  <si>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</si>
  <si>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</si>
  <si>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</si>
  <si>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</si>
  <si>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</si>
  <si>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</si>
  <si>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</si>
  <si>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</si>
  <si>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</si>
  <si>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</si>
  <si>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</si>
  <si>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</si>
  <si>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</si>
  <si>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</si>
  <si>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</si>
  <si>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</si>
  <si>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</si>
  <si>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</si>
  <si>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</si>
  <si>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</si>
  <si>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</si>
  <si>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</si>
  <si>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</si>
  <si>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</si>
  <si>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</si>
  <si>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</si>
  <si>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</si>
  <si>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</si>
  <si>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</si>
  <si>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</si>
  <si>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</si>
  <si>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</si>
  <si>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</si>
  <si>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</si>
  <si>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</si>
  <si>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</si>
  <si>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</si>
  <si>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</si>
  <si>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</si>
  <si>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</si>
  <si>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</si>
  <si>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</si>
  <si>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</si>
  <si>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</si>
  <si>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</si>
  <si>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</si>
  <si>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</si>
  <si>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</si>
  <si>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</si>
  <si>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</si>
  <si>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</si>
  <si>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</si>
  <si>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</si>
  <si>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</si>
  <si>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</si>
  <si>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</si>
  <si>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</si>
  <si>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</si>
  <si>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</si>
  <si>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</si>
  <si>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</si>
  <si>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</si>
  <si>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</si>
  <si>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</si>
  <si>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</si>
  <si>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</si>
  <si>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</si>
  <si>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</si>
  <si>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</si>
  <si>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</si>
  <si>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</si>
  <si>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</si>
  <si>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</si>
  <si>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</si>
  <si>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</si>
  <si>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</si>
  <si>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</si>
  <si>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</si>
  <si>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</si>
  <si>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</si>
  <si>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</si>
  <si>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</si>
  <si>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</si>
  <si>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</si>
  <si>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</si>
  <si>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</si>
  <si>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</si>
  <si>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</si>
  <si>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</si>
  <si>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</si>
  <si>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</si>
  <si>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</si>
  <si>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</si>
  <si>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</si>
  <si>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</si>
  <si>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</si>
  <si>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</si>
  <si>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</si>
  <si>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</si>
  <si>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</si>
  <si>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</si>
  <si>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</si>
  <si>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</si>
  <si>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</si>
  <si>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</si>
  <si>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</si>
  <si>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</si>
  <si>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</si>
  <si>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</si>
  <si>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</si>
  <si>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</si>
  <si>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</si>
  <si>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</si>
  <si>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</si>
  <si>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</si>
  <si>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</si>
  <si>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</si>
  <si>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</si>
  <si>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</si>
  <si>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</si>
  <si>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</si>
  <si>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</si>
  <si>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</si>
  <si>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</si>
  <si>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</si>
  <si>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</si>
  <si>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</si>
  <si>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</si>
  <si>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</si>
  <si>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</si>
  <si>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</si>
  <si>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</si>
  <si>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</si>
  <si>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</si>
  <si>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</si>
  <si>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</si>
  <si>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</si>
  <si>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</si>
  <si>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</si>
  <si>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</si>
  <si>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</si>
  <si>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</si>
  <si>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</si>
  <si>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</si>
  <si>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</si>
  <si>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</si>
  <si>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</si>
  <si>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</si>
  <si>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</si>
  <si>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</si>
  <si>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</si>
  <si>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</si>
  <si>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</si>
  <si>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</si>
  <si>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</si>
  <si>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</si>
  <si>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</si>
  <si>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</si>
  <si>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</si>
  <si>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</si>
  <si>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</si>
  <si>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</si>
  <si>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</si>
  <si>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</si>
  <si>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</si>
  <si>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</si>
  <si>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</si>
  <si>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</si>
  <si>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</si>
  <si>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</si>
  <si>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</si>
  <si>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</si>
  <si>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</si>
  <si>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</si>
  <si>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</si>
  <si>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</si>
  <si>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</si>
  <si>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</si>
  <si>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</si>
  <si>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</si>
  <si>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</si>
  <si>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</si>
  <si>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</si>
  <si>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</si>
  <si>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</si>
  <si>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</si>
  <si>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</si>
  <si>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</si>
  <si>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</si>
  <si>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</si>
  <si>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</si>
  <si>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</si>
  <si>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</si>
  <si>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</si>
  <si>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</si>
  <si>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</si>
  <si>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</si>
  <si>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</si>
  <si>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</si>
  <si>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</si>
  <si>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</si>
  <si>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</si>
  <si>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</si>
  <si>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</si>
  <si>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</si>
  <si>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</si>
  <si>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</si>
  <si>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</si>
  <si>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</si>
  <si>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</si>
  <si>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</si>
  <si>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</si>
  <si>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</si>
  <si>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</si>
  <si>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</si>
  <si>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</si>
  <si>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</si>
  <si>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</si>
  <si>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</si>
  <si>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</si>
  <si>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</si>
  <si>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</si>
  <si>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</si>
  <si>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</si>
  <si>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</si>
  <si>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</si>
  <si>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</si>
  <si>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</si>
  <si>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</si>
  <si>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</si>
  <si>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</si>
  <si>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</si>
  <si>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</si>
  <si>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</si>
  <si>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</si>
  <si>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</si>
  <si>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</si>
  <si>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</si>
  <si>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</si>
  <si>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</si>
  <si>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</si>
  <si>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</si>
  <si>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</si>
  <si>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</si>
  <si>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</si>
  <si>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</si>
  <si>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</si>
  <si>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</si>
  <si>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</si>
  <si>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</si>
  <si>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</si>
  <si>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</si>
  <si>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</si>
  <si>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</si>
  <si>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</si>
  <si>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</si>
  <si>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</si>
  <si>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</si>
  <si>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</si>
  <si>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</si>
  <si>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</si>
  <si>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</si>
  <si>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</si>
  <si>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</si>
  <si>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</si>
  <si>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</si>
  <si>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</si>
  <si>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</si>
  <si>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</si>
  <si>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</si>
  <si>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</si>
  <si>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</si>
  <si>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</si>
  <si>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</si>
  <si>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</si>
  <si>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</si>
  <si>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</si>
  <si>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</si>
  <si>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</si>
  <si>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</si>
  <si>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</si>
  <si>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</si>
  <si>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</si>
  <si>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</si>
  <si>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</si>
  <si>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</si>
  <si>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</si>
  <si>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</si>
  <si>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</si>
  <si>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</si>
  <si>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</si>
  <si>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</si>
  <si>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</si>
  <si>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</si>
  <si>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</si>
  <si>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</si>
  <si>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</si>
  <si>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</si>
  <si>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</si>
  <si>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</si>
  <si>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</si>
  <si>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</si>
  <si>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</si>
  <si>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</si>
  <si>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</si>
  <si>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</si>
  <si>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</si>
  <si>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</si>
  <si>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</si>
  <si>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</si>
  <si>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</si>
  <si>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</si>
  <si>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</si>
  <si>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</si>
  <si>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</si>
  <si>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</si>
  <si>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</si>
  <si>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</si>
  <si>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</si>
  <si>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</si>
  <si>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</si>
  <si>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</si>
  <si>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</si>
  <si>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</si>
  <si>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</si>
  <si>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</si>
  <si>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</si>
  <si>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</si>
  <si>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</si>
  <si>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</si>
  <si>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</si>
  <si>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</si>
  <si>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</si>
  <si>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</si>
  <si>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</si>
  <si>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</si>
  <si>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</si>
  <si>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</si>
  <si>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</si>
  <si>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</si>
  <si>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</si>
  <si>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</si>
  <si>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</si>
  <si>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</si>
  <si>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</si>
  <si>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</si>
  <si>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</si>
  <si>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</si>
  <si>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</si>
  <si>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</si>
  <si>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</si>
  <si>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</si>
  <si>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</si>
  <si>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</si>
  <si>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</si>
  <si>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</si>
  <si>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</si>
  <si>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</si>
  <si>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</si>
  <si>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</si>
  <si>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</si>
  <si>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</si>
  <si>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</si>
  <si>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</si>
  <si>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</si>
  <si>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</si>
  <si>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</si>
  <si>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</si>
  <si>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</si>
  <si>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</si>
  <si>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</si>
  <si>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</si>
  <si>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</si>
  <si>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</si>
  <si>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</si>
  <si>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</si>
  <si>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</si>
  <si>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</si>
  <si>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</si>
  <si>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</si>
  <si>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</si>
  <si>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</si>
  <si>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</si>
  <si>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</si>
  <si>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</si>
  <si>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</si>
  <si>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</si>
  <si>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</si>
  <si>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</si>
  <si>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</si>
  <si>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</si>
  <si>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</si>
  <si>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</si>
  <si>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</si>
  <si>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</si>
  <si>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</si>
  <si>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</si>
  <si>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</si>
  <si>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</si>
  <si>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</si>
  <si>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</si>
  <si>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</si>
  <si>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</si>
  <si>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</si>
  <si>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</si>
  <si>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</si>
  <si>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</si>
  <si>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</si>
  <si>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</si>
  <si>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</si>
  <si>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</si>
  <si>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</si>
  <si>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</si>
  <si>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</si>
  <si>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</si>
  <si>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</si>
  <si>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</si>
  <si>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</si>
  <si>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</si>
  <si>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</si>
  <si>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</si>
  <si>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</si>
  <si>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</si>
  <si>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</si>
  <si>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</si>
  <si>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</si>
  <si>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</si>
  <si>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</si>
  <si>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</si>
  <si>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</si>
  <si>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</si>
  <si>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</si>
  <si>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</si>
  <si>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</si>
  <si>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</si>
  <si>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</si>
  <si>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</si>
  <si>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</si>
  <si>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</si>
  <si>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</si>
  <si>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</si>
  <si>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</si>
  <si>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</si>
  <si>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</si>
  <si>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</si>
  <si>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</si>
  <si>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</si>
  <si>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</si>
  <si>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</si>
  <si>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</si>
  <si>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</si>
  <si>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</si>
  <si>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</si>
  <si>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</si>
  <si>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</si>
  <si>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</si>
  <si>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</si>
  <si>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</si>
  <si>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</si>
  <si>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</si>
  <si>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</si>
  <si>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</si>
  <si>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</si>
  <si>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</si>
  <si>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</si>
  <si>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</si>
  <si>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</si>
  <si>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</si>
  <si>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</si>
  <si>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</si>
  <si>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</si>
  <si>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</si>
  <si>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</si>
  <si>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</si>
  <si>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</si>
  <si>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</si>
  <si>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</si>
  <si>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</si>
  <si>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</si>
  <si>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</si>
  <si>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</si>
  <si>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</si>
  <si>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</si>
  <si>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</si>
  <si>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</si>
  <si>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</si>
  <si>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</si>
  <si>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</si>
  <si>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</si>
  <si>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</si>
  <si>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</si>
  <si>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</si>
  <si>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</si>
  <si>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</si>
  <si>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</si>
  <si>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</si>
  <si>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</si>
  <si>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</si>
  <si>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</si>
  <si>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</si>
  <si>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</si>
  <si>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</si>
  <si>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</si>
  <si>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</si>
  <si>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</si>
  <si>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</si>
  <si>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</si>
  <si>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</si>
  <si>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</si>
  <si>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</si>
  <si>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</si>
  <si>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</si>
  <si>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</si>
  <si>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</si>
  <si>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</si>
  <si>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</si>
  <si>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</si>
  <si>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</si>
  <si>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</si>
  <si>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</si>
  <si>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</si>
  <si>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</si>
  <si>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</si>
  <si>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</si>
  <si>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</si>
  <si>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</si>
  <si>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</si>
  <si>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</si>
  <si>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</si>
  <si>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</si>
  <si>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</si>
  <si>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</si>
  <si>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</si>
  <si>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</si>
  <si>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</si>
  <si>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</si>
  <si>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</si>
  <si>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</si>
  <si>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</si>
  <si>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</si>
  <si>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</si>
  <si>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</si>
  <si>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</si>
  <si>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</si>
  <si>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</si>
  <si>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</si>
  <si>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</si>
  <si>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</si>
  <si>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</si>
  <si>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</si>
  <si>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</si>
  <si>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</si>
  <si>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</si>
  <si>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</si>
  <si>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</si>
  <si>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</si>
  <si>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</si>
  <si>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</si>
  <si>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</si>
  <si>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</si>
  <si>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</si>
  <si>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</si>
  <si>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</si>
  <si>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</si>
  <si>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</si>
  <si>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</si>
  <si>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</si>
  <si>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</si>
  <si>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</si>
  <si>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</si>
  <si>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</si>
  <si>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</si>
  <si>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</si>
  <si>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</si>
  <si>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</si>
  <si>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</si>
  <si>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</si>
  <si>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</si>
  <si>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</si>
  <si>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</si>
  <si>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</si>
  <si>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</si>
  <si>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</si>
  <si>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</si>
  <si>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</si>
  <si>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</si>
  <si>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</si>
  <si>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</si>
  <si>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</si>
  <si>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</si>
  <si>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</si>
  <si>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</si>
  <si>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</si>
  <si>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</si>
  <si>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</si>
  <si>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</si>
  <si>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</si>
  <si>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</si>
  <si>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</si>
  <si>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</si>
  <si>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</si>
  <si>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</si>
  <si>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</si>
  <si>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</si>
  <si>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</si>
  <si>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</si>
  <si>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</si>
  <si>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</si>
  <si>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</si>
  <si>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</si>
  <si>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</si>
  <si>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</si>
  <si>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</si>
  <si>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</si>
  <si>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</si>
  <si>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</si>
  <si>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</si>
  <si>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</si>
  <si>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</si>
  <si>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</si>
  <si>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</si>
  <si>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</si>
  <si>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</si>
  <si>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</si>
  <si>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</si>
  <si>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</si>
  <si>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</si>
  <si>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</si>
  <si>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</si>
  <si>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</si>
  <si>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</si>
  <si>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</si>
  <si>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</si>
  <si>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</si>
  <si>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</si>
  <si>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</si>
  <si>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</si>
  <si>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</si>
  <si>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</si>
  <si>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</si>
  <si>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</si>
  <si>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</si>
  <si>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</si>
  <si>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</si>
  <si>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</si>
  <si>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</si>
  <si>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</si>
  <si>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</si>
  <si>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</si>
  <si>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</si>
  <si>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</si>
  <si>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</si>
  <si>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</si>
  <si>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</si>
  <si>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</si>
  <si>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</si>
  <si>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</si>
  <si>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</si>
  <si>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</si>
  <si>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</si>
  <si>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</si>
  <si>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</si>
  <si>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</si>
  <si>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</si>
  <si>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</si>
  <si>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</si>
  <si>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</si>
  <si>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</si>
  <si>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</si>
  <si>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</si>
  <si>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</si>
  <si>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</si>
  <si>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</si>
  <si>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</si>
  <si>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</si>
  <si>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</si>
  <si>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</si>
  <si>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</si>
  <si>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</si>
  <si>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</si>
  <si>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</si>
  <si>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</si>
  <si>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</si>
  <si>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</si>
  <si>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</si>
  <si>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</si>
  <si>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</si>
  <si>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</si>
  <si>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</si>
  <si>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</si>
  <si>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</si>
  <si>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</si>
  <si>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</si>
  <si>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</si>
  <si>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</si>
  <si>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</si>
  <si>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</si>
  <si>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</si>
  <si>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</si>
  <si>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</si>
  <si>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</si>
  <si>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</si>
  <si>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</si>
  <si>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</si>
  <si>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</si>
  <si>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</si>
  <si>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</si>
  <si>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</si>
  <si>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</si>
  <si>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</si>
  <si>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</si>
  <si>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</si>
  <si>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</si>
  <si>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</si>
  <si>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</si>
  <si>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</si>
  <si>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</si>
  <si>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</si>
  <si>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</si>
  <si>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</si>
  <si>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</si>
  <si>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</si>
  <si>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</si>
  <si>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</si>
  <si>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</si>
  <si>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</si>
  <si>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</si>
  <si>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</si>
  <si>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</si>
  <si>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</si>
  <si>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</si>
  <si>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</si>
  <si>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</si>
  <si>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</si>
  <si>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</si>
  <si>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</si>
  <si>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</si>
  <si>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</si>
  <si>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</si>
  <si>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</si>
  <si>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</si>
  <si>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</si>
  <si>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</si>
  <si>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</si>
  <si>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</si>
  <si>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</si>
  <si>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</si>
  <si>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</si>
  <si>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</si>
  <si>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</si>
  <si>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</si>
  <si>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</si>
  <si>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</si>
  <si>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</si>
  <si>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</si>
  <si>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</si>
  <si>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</si>
  <si>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</si>
  <si>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</si>
  <si>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</si>
  <si>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</si>
  <si>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</si>
  <si>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</si>
  <si>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</si>
  <si>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</si>
  <si>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</si>
  <si>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</si>
  <si>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</si>
  <si>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</si>
  <si>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</si>
  <si>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</si>
  <si>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</si>
  <si>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</si>
  <si>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</si>
  <si>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</si>
  <si>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</si>
  <si>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</si>
  <si>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</si>
  <si>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</si>
  <si>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</si>
  <si>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</si>
  <si>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</si>
  <si>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</si>
  <si>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</si>
  <si>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</si>
  <si>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</si>
  <si>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</si>
  <si>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</si>
  <si>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</si>
  <si>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</si>
  <si>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</si>
  <si>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</si>
  <si>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</si>
  <si>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</si>
  <si>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</si>
  <si>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</si>
  <si>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</si>
  <si>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</si>
  <si>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</si>
  <si>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</si>
  <si>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</si>
  <si>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</si>
  <si>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</si>
  <si>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</si>
  <si>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</si>
  <si>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</si>
  <si>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</si>
  <si>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</si>
  <si>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</si>
  <si>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</si>
  <si>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</si>
  <si>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</si>
  <si>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</si>
  <si>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</si>
  <si>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</si>
  <si>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</si>
  <si>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</si>
  <si>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</si>
  <si>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</si>
  <si>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</si>
  <si>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</si>
  <si>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</si>
  <si>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</si>
  <si>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</si>
  <si>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</si>
  <si>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</si>
  <si>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</si>
  <si>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</si>
  <si>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</si>
  <si>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</si>
  <si>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</si>
  <si>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</si>
  <si>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</si>
  <si>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</si>
  <si>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</si>
  <si>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</si>
  <si>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</si>
  <si>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</si>
  <si>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</si>
  <si>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</si>
  <si>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</si>
  <si>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</si>
  <si>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</si>
  <si>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</si>
  <si>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</si>
  <si>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</si>
  <si>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</si>
  <si>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</si>
  <si>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</si>
  <si>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</si>
  <si>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</si>
  <si>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</si>
  <si>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</si>
  <si>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</si>
  <si>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</si>
  <si>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</si>
  <si>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</si>
  <si>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</si>
  <si>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</si>
  <si>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</si>
  <si>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</si>
  <si>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</si>
  <si>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</si>
  <si>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</si>
  <si>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</si>
  <si>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</si>
  <si>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</si>
  <si>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</si>
  <si>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</si>
  <si>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</si>
  <si>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</si>
  <si>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</si>
  <si>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</si>
  <si>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</si>
  <si>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</si>
  <si>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</si>
  <si>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</si>
  <si>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</si>
  <si>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</si>
  <si>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</si>
  <si>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</si>
  <si>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</si>
  <si>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</si>
  <si>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</si>
  <si>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</si>
  <si>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</si>
  <si>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</si>
  <si>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</si>
  <si>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</si>
  <si>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</si>
  <si>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</si>
  <si>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</si>
  <si>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</si>
  <si>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</si>
  <si>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</si>
  <si>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</si>
  <si>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</si>
  <si>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</si>
  <si>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</si>
  <si>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</si>
  <si>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</si>
  <si>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</si>
  <si>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</si>
  <si>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</si>
  <si>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</si>
  <si>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</si>
  <si>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</si>
  <si>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</si>
  <si>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</si>
  <si>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</si>
  <si>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</si>
  <si>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</si>
  <si>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</si>
  <si>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</si>
  <si>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</si>
  <si>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</si>
  <si>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</si>
  <si>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</si>
  <si>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</si>
  <si>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</si>
  <si>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</si>
  <si>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</si>
  <si>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</si>
  <si>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</si>
  <si>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</si>
  <si>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</si>
  <si>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</si>
  <si>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</si>
  <si>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</si>
  <si>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</si>
  <si>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</si>
  <si>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</si>
  <si>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</si>
  <si>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</si>
  <si>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</si>
  <si>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</si>
  <si>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</si>
  <si>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</si>
  <si>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</si>
  <si>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</si>
  <si>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</si>
  <si>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</si>
  <si>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</si>
  <si>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</si>
  <si>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</si>
  <si>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</si>
  <si>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</si>
  <si>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</si>
  <si>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</si>
  <si>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</si>
  <si>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</si>
  <si>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</si>
  <si>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</si>
  <si>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</si>
  <si>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</si>
  <si>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</si>
  <si>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</si>
  <si>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</si>
  <si>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</si>
  <si>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</si>
  <si>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</si>
  <si>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</si>
  <si>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</si>
  <si>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</si>
  <si>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</si>
  <si>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</si>
  <si>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</si>
  <si>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</si>
  <si>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</si>
  <si>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</si>
  <si>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</si>
  <si>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</si>
  <si>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</si>
  <si>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</si>
  <si>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</si>
  <si>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</si>
  <si>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</si>
  <si>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</si>
  <si>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</si>
  <si>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</si>
  <si>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</si>
  <si>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</si>
  <si>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</si>
  <si>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</si>
  <si>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</si>
  <si>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</si>
  <si>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</si>
  <si>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</si>
  <si>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</si>
  <si>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</si>
  <si>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</si>
  <si>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</si>
  <si>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</si>
  <si>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</si>
  <si>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</si>
  <si>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</si>
  <si>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</si>
  <si>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</si>
  <si>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</si>
  <si>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</si>
  <si>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</si>
  <si>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</si>
  <si>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</si>
  <si>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</si>
  <si>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</si>
  <si>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</si>
  <si>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</si>
  <si>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</si>
  <si>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</si>
  <si>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</si>
  <si>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</si>
  <si>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</si>
  <si>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</si>
  <si>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</si>
  <si>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</si>
  <si>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</si>
  <si>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</si>
  <si>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</si>
  <si>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</si>
  <si>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</si>
  <si>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</si>
  <si>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</si>
  <si>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</si>
  <si>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</si>
  <si>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</si>
  <si>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</si>
  <si>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</si>
  <si>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</si>
  <si>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</si>
  <si>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</si>
  <si>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</si>
  <si>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</si>
  <si>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</si>
  <si>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</si>
  <si>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</si>
  <si>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</si>
  <si>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</si>
  <si>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</si>
  <si>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</si>
  <si>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</si>
  <si>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</si>
  <si>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</si>
  <si>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</si>
  <si>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</si>
  <si>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</si>
  <si>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</si>
  <si>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</si>
  <si>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</si>
  <si>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</si>
  <si>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</si>
  <si>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</si>
  <si>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</si>
  <si>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</si>
  <si>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</si>
  <si>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</si>
  <si>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</si>
  <si>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</si>
  <si>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</si>
  <si>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</si>
  <si>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</si>
  <si>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</si>
  <si>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</si>
  <si>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</si>
  <si>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</si>
  <si>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</si>
  <si>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</si>
  <si>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</si>
  <si>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</si>
  <si>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</si>
  <si>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</si>
  <si>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</si>
  <si>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</si>
  <si>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</si>
  <si>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</si>
  <si>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</si>
  <si>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</si>
  <si>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</si>
  <si>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</si>
  <si>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</si>
  <si>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</si>
  <si>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</si>
  <si>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</si>
  <si>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</si>
  <si>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</si>
  <si>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</si>
  <si>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</si>
  <si>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</si>
  <si>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</si>
  <si>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</si>
  <si>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</si>
  <si>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</si>
  <si>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</si>
  <si>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</si>
  <si>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</si>
  <si>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</si>
  <si>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</si>
  <si>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</si>
  <si>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</si>
  <si>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</si>
  <si>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</si>
  <si>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</si>
  <si>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</si>
  <si>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</si>
  <si>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</si>
  <si>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</si>
  <si>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</si>
  <si>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</si>
  <si>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</si>
  <si>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</si>
  <si>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</si>
  <si>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</si>
  <si>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</si>
  <si>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</si>
  <si>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</si>
  <si>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</si>
  <si>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</si>
  <si>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</si>
  <si>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</si>
  <si>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</si>
  <si>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</si>
  <si>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</si>
  <si>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</si>
  <si>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</si>
  <si>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</si>
  <si>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</si>
  <si>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</si>
  <si>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</si>
  <si>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</si>
  <si>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</si>
  <si>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</si>
  <si>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</si>
  <si>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</si>
  <si>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</si>
  <si>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</si>
  <si>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</si>
  <si>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</si>
  <si>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</si>
  <si>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</si>
  <si>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</si>
  <si>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</si>
  <si>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</si>
  <si>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</si>
  <si>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</si>
  <si>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</si>
  <si>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</si>
  <si>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</si>
  <si>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</si>
  <si>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</si>
  <si>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</si>
  <si>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</si>
  <si>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</si>
  <si>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</si>
  <si>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</si>
  <si>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</si>
  <si>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</si>
  <si>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</si>
  <si>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</si>
  <si>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</si>
  <si>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</si>
  <si>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</si>
  <si>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</si>
  <si>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</si>
  <si>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</si>
  <si>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</si>
  <si>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</si>
  <si>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</si>
  <si>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</si>
  <si>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</si>
  <si>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</si>
  <si>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</si>
  <si>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</si>
  <si>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</si>
  <si>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</si>
  <si>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</si>
  <si>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</si>
  <si>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</si>
  <si>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</si>
  <si>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</si>
  <si>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</si>
  <si>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</si>
  <si>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</si>
  <si>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</si>
  <si>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</si>
  <si>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</si>
  <si>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</si>
  <si>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</si>
  <si>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</si>
  <si>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</si>
  <si>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</si>
  <si>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</si>
  <si>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</si>
  <si>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</si>
  <si>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</si>
  <si>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</si>
  <si>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</si>
  <si>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</si>
  <si>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</si>
  <si>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</si>
  <si>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</si>
  <si>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</si>
  <si>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</si>
  <si>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</si>
  <si>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</si>
  <si>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</si>
  <si>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</si>
  <si>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</si>
  <si>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</si>
  <si>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</si>
  <si>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</si>
  <si>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</si>
  <si>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</si>
  <si>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</si>
  <si>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</si>
  <si>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</si>
  <si>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</si>
  <si>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</si>
  <si>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</si>
  <si>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</si>
  <si>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</si>
  <si>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</si>
  <si>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</si>
  <si>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</si>
  <si>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</si>
  <si>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</si>
  <si>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</si>
  <si>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</si>
  <si>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</si>
  <si>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</si>
  <si>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</si>
  <si>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</si>
  <si>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</si>
  <si>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</si>
  <si>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</si>
  <si>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</si>
  <si>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</si>
  <si>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</si>
  <si>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</si>
  <si>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</si>
  <si>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</si>
  <si>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</si>
  <si>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</si>
  <si>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</si>
  <si>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</si>
  <si>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</si>
  <si>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</si>
  <si>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</si>
  <si>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</si>
  <si>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</si>
  <si>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</si>
  <si>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</si>
  <si>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</si>
  <si>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</si>
  <si>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</si>
  <si>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</si>
  <si>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</si>
  <si>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</si>
  <si>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</si>
  <si>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</si>
  <si>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</si>
  <si>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</si>
  <si>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</si>
  <si>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</si>
  <si>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</si>
  <si>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</si>
  <si>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</si>
  <si>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</si>
  <si>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</si>
  <si>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</si>
  <si>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</si>
  <si>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</si>
  <si>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</si>
  <si>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</si>
  <si>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</si>
  <si>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</si>
  <si>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</si>
  <si>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</si>
  <si>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</si>
  <si>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</si>
  <si>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</si>
  <si>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</si>
  <si>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</si>
  <si>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</si>
  <si>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</si>
  <si>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</si>
  <si>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</si>
  <si>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</si>
  <si>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</si>
  <si>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</si>
  <si>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</si>
  <si>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</si>
  <si>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</si>
  <si>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</si>
  <si>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</si>
  <si>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</si>
  <si>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</si>
  <si>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</si>
  <si>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</si>
  <si>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</si>
  <si>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</si>
  <si>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</si>
  <si>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</si>
  <si>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</si>
  <si>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</si>
  <si>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</si>
  <si>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</si>
  <si>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</si>
  <si>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</si>
  <si>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</si>
  <si>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</si>
  <si>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</si>
  <si>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</si>
  <si>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</si>
  <si>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</si>
  <si>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</si>
  <si>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</si>
  <si>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</si>
  <si>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</si>
  <si>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</si>
  <si>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</si>
  <si>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</si>
  <si>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</si>
  <si>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</si>
  <si>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</si>
  <si>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</si>
  <si>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</si>
  <si>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</si>
  <si>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</si>
  <si>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</si>
  <si>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</si>
  <si>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</si>
  <si>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</si>
  <si>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</si>
  <si>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</si>
  <si>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</si>
  <si>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</si>
  <si>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</si>
  <si>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</si>
  <si>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</si>
  <si>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</si>
  <si>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</si>
  <si>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</si>
  <si>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</si>
  <si>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</si>
  <si>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</si>
  <si>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</si>
  <si>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</si>
  <si>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</si>
  <si>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</si>
  <si>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</si>
  <si>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</si>
  <si>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</si>
  <si>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</si>
  <si>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</si>
  <si>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</si>
  <si>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</si>
  <si>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</si>
  <si>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</si>
  <si>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</si>
  <si>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</si>
  <si>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</si>
  <si>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</si>
  <si>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</si>
  <si>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</si>
  <si>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</si>
  <si>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</si>
  <si>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</si>
  <si>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</si>
  <si>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</si>
  <si>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</si>
  <si>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</si>
  <si>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</si>
  <si>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</si>
  <si>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</si>
  <si>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</si>
  <si>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</si>
  <si>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</si>
  <si>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</si>
  <si>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</si>
  <si>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</si>
  <si>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</si>
  <si>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</si>
  <si>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</si>
  <si>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</si>
  <si>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</si>
  <si>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</si>
  <si>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</si>
  <si>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</si>
  <si>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</si>
  <si>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</si>
  <si>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</si>
  <si>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</si>
  <si>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</si>
  <si>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</si>
  <si>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</si>
  <si>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</si>
  <si>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</si>
  <si>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</si>
  <si>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</si>
  <si>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</si>
  <si>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</si>
  <si>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</si>
  <si>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</si>
  <si>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</si>
  <si>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</si>
  <si>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</si>
  <si>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</si>
  <si>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</si>
  <si>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</si>
  <si>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</si>
  <si>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</si>
  <si>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</si>
  <si>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</si>
  <si>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</si>
  <si>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</si>
  <si>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</si>
  <si>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</si>
  <si>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</si>
  <si>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</si>
  <si>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</si>
  <si>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</si>
  <si>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</si>
  <si>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</si>
  <si>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</si>
  <si>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</si>
  <si>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</si>
  <si>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</si>
  <si>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</si>
  <si>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</si>
  <si>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</si>
  <si>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</si>
  <si>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</si>
  <si>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</si>
  <si>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</si>
  <si>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</si>
  <si>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</si>
  <si>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</si>
  <si>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</si>
  <si>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</si>
  <si>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</si>
  <si>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</si>
  <si>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</si>
  <si>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</si>
  <si>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</si>
  <si>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</si>
  <si>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</si>
  <si>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</si>
  <si>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</si>
  <si>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</si>
  <si>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</si>
  <si>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</si>
  <si>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</si>
  <si>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</si>
  <si>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</si>
  <si>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</si>
  <si>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</si>
  <si>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</si>
  <si>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</si>
  <si>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</si>
  <si>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</si>
  <si>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</si>
  <si>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</si>
  <si>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</si>
  <si>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</si>
  <si>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</si>
  <si>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</si>
  <si>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</si>
  <si>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</si>
  <si>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</si>
  <si>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</si>
  <si>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</si>
  <si>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</si>
  <si>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</si>
  <si>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</si>
  <si>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</si>
  <si>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</si>
  <si>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</si>
  <si>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</si>
  <si>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</si>
  <si>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</si>
  <si>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</si>
  <si>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</si>
  <si>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</si>
  <si>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</si>
  <si>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</si>
  <si>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</si>
  <si>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</si>
  <si>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</si>
  <si>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</si>
  <si>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</si>
  <si>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</si>
  <si>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</si>
  <si>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</si>
  <si>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</si>
  <si>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</si>
  <si>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</si>
  <si>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</si>
  <si>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</si>
  <si>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</si>
  <si>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</si>
  <si>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</si>
  <si>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</si>
  <si>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</si>
  <si>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</si>
  <si>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</si>
  <si>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</si>
  <si>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</si>
  <si>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</si>
  <si>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</si>
  <si>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</si>
  <si>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</si>
  <si>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</si>
  <si>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</si>
  <si>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</si>
  <si>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</si>
  <si>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</si>
  <si>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</si>
  <si>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</si>
  <si>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</si>
  <si>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</si>
  <si>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</si>
  <si>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</si>
  <si>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</si>
  <si>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</si>
  <si>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</si>
  <si>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</si>
  <si>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</si>
  <si>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</si>
  <si>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</si>
  <si>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</si>
  <si>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</si>
  <si>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</si>
  <si>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</si>
  <si>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</si>
  <si>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</si>
  <si>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</si>
  <si>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</si>
  <si>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</si>
  <si>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</si>
  <si>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</si>
  <si>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</si>
  <si>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</si>
  <si>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</si>
  <si>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</si>
  <si>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</si>
  <si>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</si>
  <si>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</si>
  <si>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</si>
  <si>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</si>
  <si>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</si>
  <si>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</si>
  <si>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</si>
  <si>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</si>
  <si>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</si>
  <si>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</si>
  <si>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</si>
  <si>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</si>
  <si>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</si>
  <si>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</si>
  <si>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</si>
  <si>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</si>
  <si>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</si>
  <si>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</si>
  <si>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</si>
  <si>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</si>
  <si>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</si>
  <si>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</si>
  <si>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</si>
  <si>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</si>
  <si>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</si>
  <si>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</si>
  <si>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</si>
  <si>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</si>
  <si>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</si>
  <si>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</si>
  <si>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</si>
  <si>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</si>
  <si>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</si>
  <si>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</si>
  <si>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</si>
  <si>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</si>
  <si>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</si>
  <si>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</si>
  <si>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</si>
  <si>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</si>
  <si>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</si>
  <si>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</si>
  <si>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</si>
  <si>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</si>
  <si>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</si>
  <si>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</si>
  <si>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</si>
  <si>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</si>
  <si>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</si>
  <si>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</si>
  <si>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</si>
  <si>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</si>
  <si>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</si>
  <si>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</si>
  <si>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</si>
  <si>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</si>
  <si>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</si>
  <si>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</si>
  <si>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</si>
  <si>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</si>
  <si>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</si>
  <si>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</si>
  <si>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</si>
  <si>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</si>
  <si>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</si>
  <si>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</si>
  <si>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</si>
  <si>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</si>
  <si>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</si>
  <si>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</si>
  <si>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</si>
  <si>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</si>
  <si>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</si>
  <si>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</si>
  <si>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</si>
  <si>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</si>
  <si>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</si>
  <si>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</si>
  <si>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</si>
  <si>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</si>
  <si>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</si>
  <si>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</si>
  <si>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</si>
  <si>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</si>
  <si>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</si>
  <si>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</si>
  <si>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</si>
  <si>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</si>
  <si>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</si>
  <si>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</si>
  <si>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</si>
  <si>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</si>
  <si>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</si>
  <si>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</si>
  <si>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</si>
  <si>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</si>
  <si>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</si>
  <si>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</si>
  <si>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</si>
  <si>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</si>
  <si>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</si>
  <si>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</si>
  <si>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</si>
  <si>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</si>
  <si>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</si>
  <si>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</si>
  <si>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</si>
  <si>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</si>
  <si>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</si>
  <si>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</si>
  <si>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</si>
  <si>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</si>
  <si>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</si>
  <si>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</si>
  <si>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</si>
  <si>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</si>
  <si>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</si>
  <si>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</si>
  <si>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</si>
  <si>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</si>
  <si>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</si>
  <si>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</si>
  <si>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</si>
  <si>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</si>
  <si>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</si>
  <si>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</si>
  <si>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</si>
  <si>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</si>
  <si>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</si>
  <si>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</si>
  <si>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</si>
  <si>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</si>
  <si>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</si>
  <si>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</si>
  <si>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</si>
  <si>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</si>
  <si>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</si>
  <si>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</si>
  <si>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</si>
  <si>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</si>
  <si>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</si>
  <si>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</si>
  <si>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</si>
  <si>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</si>
  <si>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</si>
  <si>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</si>
  <si>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</si>
  <si>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</si>
  <si>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</si>
  <si>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</si>
  <si>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</si>
  <si>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</si>
  <si>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</si>
  <si>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</si>
  <si>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</si>
  <si>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</si>
  <si>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</si>
  <si>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</si>
  <si>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</si>
  <si>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</si>
  <si>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</si>
  <si>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</si>
  <si>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</si>
  <si>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</si>
  <si>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</si>
  <si>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</si>
  <si>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</si>
  <si>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</si>
  <si>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</si>
  <si>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</si>
  <si>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</si>
  <si>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</si>
  <si>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</si>
  <si>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</si>
  <si>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</si>
  <si>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</si>
  <si>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</si>
  <si>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</si>
  <si>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</si>
  <si>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</si>
  <si>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</si>
  <si>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</si>
  <si>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</si>
  <si>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</si>
  <si>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</si>
  <si>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</si>
  <si>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</si>
  <si>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</si>
  <si>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</si>
  <si>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</si>
  <si>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</si>
  <si>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</si>
  <si>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</si>
  <si>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</si>
  <si>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</si>
  <si>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</si>
  <si>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</si>
  <si>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</si>
  <si>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</si>
  <si>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</si>
  <si>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</si>
  <si>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</si>
  <si>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</si>
  <si>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</si>
  <si>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</si>
  <si>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</si>
  <si>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</si>
  <si>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</si>
  <si>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</si>
  <si>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</si>
  <si>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</si>
  <si>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</si>
  <si>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</si>
  <si>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</si>
  <si>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</si>
  <si>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</si>
  <si>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</si>
  <si>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</si>
  <si>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</si>
  <si>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</si>
  <si>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</si>
  <si>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</si>
  <si>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</si>
  <si>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</si>
  <si>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</si>
  <si>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</si>
  <si>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</si>
  <si>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</si>
  <si>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</si>
  <si>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</si>
  <si>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</si>
  <si>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</si>
  <si>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</si>
  <si>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</si>
  <si>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</si>
  <si>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</si>
  <si>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</si>
  <si>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</si>
  <si>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</si>
  <si>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</si>
  <si>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</si>
  <si>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</si>
  <si>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</si>
  <si>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</si>
  <si>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</si>
  <si>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</si>
  <si>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</si>
  <si>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</si>
  <si>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</si>
  <si>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</si>
  <si>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</si>
  <si>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</si>
  <si>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</si>
  <si>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</si>
  <si>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</si>
  <si>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</si>
  <si>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</si>
  <si>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</si>
  <si>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</si>
  <si>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</si>
  <si>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</si>
  <si>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</si>
  <si>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</si>
  <si>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</si>
  <si>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</si>
  <si>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</si>
  <si>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</si>
  <si>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</si>
  <si>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</si>
  <si>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</si>
  <si>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</si>
  <si>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</si>
  <si>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</si>
  <si>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</si>
  <si>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</si>
  <si>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</si>
  <si>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</si>
  <si>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</si>
  <si>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</si>
  <si>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</si>
  <si>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</si>
  <si>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</si>
  <si>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</si>
  <si>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</si>
  <si>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</si>
  <si>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</si>
  <si>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</si>
  <si>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</si>
  <si>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</si>
  <si>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</si>
  <si>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</si>
  <si>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</si>
  <si>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</si>
  <si>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</si>
  <si>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</si>
  <si>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</si>
  <si>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</si>
  <si>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</si>
  <si>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</si>
  <si>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</si>
  <si>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</si>
  <si>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</si>
  <si>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</si>
  <si>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</si>
  <si>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</si>
  <si>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</si>
  <si>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</si>
  <si>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</si>
  <si>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</si>
  <si>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</si>
  <si>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</si>
  <si>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</si>
  <si>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</si>
  <si>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</si>
  <si>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</si>
  <si>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</si>
  <si>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</si>
  <si>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</si>
  <si>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</si>
  <si>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</si>
  <si>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</si>
  <si>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</si>
  <si>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</si>
  <si>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</si>
  <si>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</si>
  <si>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</si>
  <si>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</si>
  <si>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</si>
  <si>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</si>
  <si>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</si>
  <si>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</si>
  <si>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</si>
  <si>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</si>
  <si>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</si>
  <si>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</si>
  <si>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</si>
  <si>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</si>
  <si>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</si>
  <si>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</si>
  <si>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</si>
  <si>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</si>
  <si>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</si>
  <si>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</si>
  <si>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</si>
  <si>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</si>
  <si>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</si>
  <si>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</si>
  <si>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</si>
  <si>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</si>
  <si>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</si>
  <si>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</si>
  <si>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</si>
  <si>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</si>
  <si>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</si>
  <si>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</si>
  <si>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</si>
  <si>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</si>
  <si>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</si>
  <si>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</si>
  <si>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</si>
  <si>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</si>
  <si>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</si>
  <si>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</si>
  <si>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</si>
  <si>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</si>
  <si>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</si>
  <si>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</si>
  <si>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</si>
  <si>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</si>
  <si>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</si>
  <si>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</si>
  <si>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</si>
  <si>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</si>
  <si>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</si>
  <si>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</si>
  <si>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</si>
  <si>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</si>
  <si>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</si>
  <si>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</si>
  <si>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</si>
  <si>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</si>
  <si>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</si>
  <si>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</si>
  <si>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</si>
  <si>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</si>
  <si>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</si>
  <si>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</si>
  <si>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</si>
  <si>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</si>
  <si>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</si>
  <si>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</si>
  <si>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</si>
  <si>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</si>
  <si>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</si>
  <si>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</si>
  <si>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</si>
  <si>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</si>
  <si>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</si>
  <si>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</si>
  <si>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</si>
  <si>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</si>
  <si>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</si>
  <si>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</si>
  <si>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</si>
  <si>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</si>
  <si>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</si>
  <si>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</si>
  <si>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</si>
  <si>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</si>
  <si>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</si>
  <si>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</si>
  <si>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</si>
  <si>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</si>
  <si>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</si>
  <si>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</si>
  <si>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</si>
  <si>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</si>
  <si>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</si>
  <si>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</si>
  <si>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</si>
  <si>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</si>
  <si>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</si>
  <si>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</si>
  <si>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</si>
  <si>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</si>
  <si>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</si>
  <si>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</si>
  <si>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</si>
  <si>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</si>
  <si>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</si>
  <si>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</si>
  <si>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</si>
  <si>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</si>
  <si>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</si>
  <si>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</si>
  <si>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</si>
  <si>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</si>
  <si>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</si>
  <si>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</si>
  <si>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</si>
  <si>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</si>
  <si>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</si>
  <si>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</si>
  <si>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</si>
  <si>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</si>
  <si>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</si>
  <si>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</si>
  <si>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</si>
  <si>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</si>
  <si>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</si>
  <si>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</si>
  <si>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</si>
  <si>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</si>
  <si>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</si>
  <si>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</si>
  <si>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</si>
  <si>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</si>
  <si>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</si>
  <si>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</si>
  <si>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</si>
  <si>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</si>
  <si>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</si>
  <si>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</si>
  <si>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</si>
  <si>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</si>
  <si>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</si>
  <si>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</si>
  <si>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</si>
  <si>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</si>
  <si>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</si>
  <si>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</si>
  <si>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</si>
  <si>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</si>
  <si>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</si>
  <si>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</si>
  <si>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</si>
  <si>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</si>
  <si>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</si>
  <si>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</si>
  <si>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</si>
  <si>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</si>
  <si>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</si>
  <si>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</si>
  <si>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</si>
  <si>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</si>
  <si>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</si>
  <si>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</si>
  <si>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</si>
  <si>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</si>
  <si>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</si>
  <si>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</si>
  <si>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</si>
  <si>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</si>
  <si>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</si>
  <si>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</si>
  <si>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</si>
  <si>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</si>
  <si>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</si>
  <si>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</si>
  <si>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</si>
  <si>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</si>
  <si>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</si>
  <si>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</si>
  <si>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</si>
  <si>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</si>
  <si>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</si>
  <si>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</si>
  <si>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</si>
  <si>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</si>
  <si>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</si>
  <si>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</si>
  <si>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</si>
  <si>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</si>
  <si>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</si>
  <si>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</si>
  <si>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</si>
  <si>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</si>
  <si>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</si>
  <si>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</si>
  <si>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</si>
  <si>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</si>
  <si>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</si>
  <si>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</si>
  <si>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</si>
  <si>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</si>
  <si>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</si>
  <si>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</si>
  <si>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</si>
  <si>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</si>
  <si>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</si>
  <si>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</si>
  <si>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</si>
  <si>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</si>
  <si>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</si>
  <si>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</si>
  <si>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</si>
  <si>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</si>
  <si>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</si>
  <si>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</si>
  <si>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</si>
  <si>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</si>
  <si>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</si>
  <si>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</si>
  <si>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</si>
  <si>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</si>
  <si>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</si>
  <si>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</si>
  <si>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</si>
  <si>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</si>
  <si>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</si>
  <si>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</si>
  <si>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</si>
  <si>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</si>
  <si>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</si>
  <si>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</si>
  <si>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</si>
  <si>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</si>
  <si>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</si>
  <si>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</si>
  <si>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</si>
  <si>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</si>
  <si>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</si>
  <si>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</si>
  <si>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</si>
  <si>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</si>
  <si>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</si>
  <si>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</si>
  <si>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</si>
  <si>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</si>
  <si>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</si>
  <si>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</si>
  <si>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</si>
  <si>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</si>
  <si>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</si>
  <si>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</si>
  <si>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</si>
  <si>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</si>
  <si>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</si>
  <si>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</si>
  <si>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</si>
  <si>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</si>
  <si>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</si>
  <si>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</si>
  <si>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</si>
  <si>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</si>
  <si>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</si>
  <si>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</si>
  <si>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</si>
  <si>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</si>
  <si>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</si>
  <si>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</si>
  <si>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</si>
  <si>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</si>
  <si>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</si>
  <si>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</si>
  <si>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</si>
  <si>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</si>
  <si>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</si>
  <si>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</si>
  <si>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</si>
  <si>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</si>
  <si>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</si>
  <si>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</si>
  <si>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</si>
  <si>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</si>
  <si>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</si>
  <si>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</si>
  <si>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</si>
  <si>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</si>
  <si>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</si>
  <si>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</si>
  <si>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</si>
  <si>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</si>
  <si>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</si>
  <si>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</si>
  <si>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</si>
  <si>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</si>
  <si>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</si>
  <si>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</si>
  <si>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</si>
  <si>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</si>
  <si>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</si>
  <si>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</si>
  <si>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</si>
  <si>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</si>
  <si>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</si>
  <si>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</si>
  <si>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</si>
  <si>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</si>
  <si>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</si>
  <si>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</si>
  <si>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</si>
  <si>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</si>
  <si>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</si>
  <si>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</si>
  <si>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</si>
  <si>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</si>
  <si>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</si>
  <si>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</si>
  <si>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</si>
  <si>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</si>
  <si>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</si>
  <si>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</si>
  <si>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</si>
  <si>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</si>
  <si>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</si>
  <si>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</si>
  <si>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</si>
  <si>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</si>
  <si>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</si>
  <si>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</si>
  <si>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</si>
  <si>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</si>
  <si>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</si>
  <si>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</si>
  <si>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</si>
  <si>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</si>
  <si>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</si>
  <si>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</si>
  <si>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</si>
  <si>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</si>
  <si>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</si>
  <si>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</si>
  <si>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</si>
  <si>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</si>
  <si>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</si>
  <si>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</si>
  <si>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</si>
  <si>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</si>
  <si>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</si>
  <si>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</si>
  <si>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</si>
  <si>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</si>
  <si>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</si>
  <si>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</si>
  <si>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</si>
  <si>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</si>
  <si>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</si>
  <si>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</si>
  <si>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</si>
  <si>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</si>
  <si>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</si>
  <si>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</si>
  <si>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</si>
  <si>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</si>
  <si>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</si>
  <si>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</si>
  <si>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</si>
  <si>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</si>
  <si>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</si>
  <si>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</si>
  <si>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</si>
  <si>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</si>
  <si>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</si>
  <si>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</si>
  <si>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</si>
  <si>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</si>
  <si>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</si>
  <si>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</si>
  <si>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</si>
  <si>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</si>
  <si>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</si>
  <si>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</si>
  <si>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</si>
  <si>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</si>
  <si>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</si>
  <si>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</si>
  <si>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</si>
  <si>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</si>
  <si>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</si>
  <si>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</si>
  <si>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</si>
  <si>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</si>
  <si>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</si>
  <si>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</si>
  <si>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</si>
  <si>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</si>
  <si>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</si>
  <si>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</si>
  <si>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</si>
  <si>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</si>
  <si>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</si>
  <si>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</si>
  <si>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</si>
  <si>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</si>
  <si>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</si>
  <si>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</si>
  <si>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</si>
  <si>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</si>
  <si>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</si>
  <si>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</si>
  <si>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</si>
  <si>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</si>
  <si>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</si>
  <si>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</si>
  <si>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</si>
  <si>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</si>
  <si>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</si>
  <si>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</si>
  <si>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</si>
  <si>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</si>
  <si>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</si>
  <si>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</si>
  <si>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</si>
  <si>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</si>
  <si>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</si>
  <si>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</si>
  <si>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</si>
  <si>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</si>
  <si>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</si>
  <si>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</si>
  <si>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</si>
  <si>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</si>
  <si>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</si>
  <si>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</si>
  <si>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</si>
  <si>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</si>
  <si>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</si>
  <si>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</si>
  <si>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</si>
  <si>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</si>
  <si>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</si>
  <si>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</si>
  <si>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</si>
  <si>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</si>
  <si>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</si>
  <si>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</si>
  <si>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</si>
  <si>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</si>
  <si>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</si>
  <si>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</si>
  <si>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</si>
  <si>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</si>
  <si>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</si>
  <si>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</si>
  <si>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</si>
  <si>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</si>
  <si>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</si>
  <si>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</si>
  <si>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</si>
  <si>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</si>
  <si>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</si>
  <si>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</si>
  <si>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</si>
  <si>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</si>
  <si>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</si>
  <si>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</si>
  <si>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</si>
  <si>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</si>
  <si>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</si>
  <si>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</si>
  <si>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</si>
  <si>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</si>
  <si>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</si>
  <si>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</si>
  <si>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</si>
  <si>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</si>
  <si>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</si>
  <si>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</si>
  <si>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</si>
  <si>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</si>
  <si>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</si>
  <si>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</si>
  <si>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</si>
  <si>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</si>
  <si>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</si>
  <si>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</si>
  <si>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</si>
  <si>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</si>
  <si>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</si>
  <si>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</si>
  <si>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</si>
  <si>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</si>
  <si>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</si>
  <si>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</si>
  <si>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</si>
  <si>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</si>
  <si>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</si>
  <si>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</si>
  <si>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</si>
  <si>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</si>
  <si>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</si>
  <si>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</si>
  <si>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</si>
  <si>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</si>
  <si>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</si>
  <si>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</si>
  <si>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</si>
  <si>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</si>
  <si>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</si>
  <si>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</si>
  <si>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</si>
  <si>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</si>
  <si>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</si>
  <si>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</si>
  <si>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</si>
  <si>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</si>
  <si>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</si>
  <si>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</si>
  <si>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</si>
  <si>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</si>
  <si>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</si>
  <si>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</si>
  <si>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</si>
  <si>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</si>
  <si>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</si>
  <si>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</si>
  <si>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</si>
  <si>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</si>
  <si>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</si>
  <si>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</si>
  <si>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</si>
  <si>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</si>
  <si>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</si>
  <si>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</si>
  <si>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</si>
  <si>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</si>
  <si>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</si>
  <si>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</si>
  <si>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</si>
  <si>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</si>
  <si>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</si>
  <si>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</si>
  <si>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</si>
  <si>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</si>
  <si>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</si>
  <si>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</si>
  <si>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</si>
  <si>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</si>
  <si>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</si>
  <si>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</si>
  <si>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</si>
  <si>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</si>
  <si>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</si>
  <si>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</si>
  <si>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</si>
  <si>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</si>
  <si>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</si>
  <si>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</si>
  <si>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</si>
  <si>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</si>
  <si>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</si>
  <si>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</si>
  <si>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</si>
  <si>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</si>
  <si>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</si>
  <si>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</si>
  <si>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</si>
  <si>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</si>
  <si>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</si>
  <si>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</si>
  <si>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</si>
  <si>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</si>
  <si>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</si>
  <si>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</si>
  <si>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</si>
  <si>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</si>
  <si>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</si>
  <si>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</si>
  <si>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</si>
  <si>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</si>
  <si>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</si>
  <si>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</si>
  <si>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</si>
  <si>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</si>
  <si>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</si>
  <si>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</si>
  <si>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</si>
  <si>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</si>
  <si>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</si>
  <si>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</si>
  <si>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</si>
  <si>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</si>
  <si>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</si>
  <si>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</si>
  <si>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</si>
  <si>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</si>
  <si>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</si>
  <si>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</si>
  <si>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</si>
  <si>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</si>
  <si>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</si>
  <si>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</si>
  <si>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</si>
  <si>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</si>
  <si>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</si>
  <si>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</si>
  <si>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</si>
  <si>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</si>
  <si>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</si>
  <si>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</si>
  <si>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</si>
  <si>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</si>
  <si>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</si>
  <si>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</si>
  <si>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</si>
  <si>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</si>
  <si>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</si>
  <si>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</si>
  <si>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</si>
  <si>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</si>
  <si>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</si>
  <si>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</si>
  <si>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</si>
  <si>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</si>
  <si>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</si>
  <si>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</si>
  <si>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</si>
  <si>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</si>
  <si>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</si>
  <si>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</si>
  <si>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</si>
  <si>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</si>
  <si>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</si>
  <si>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</si>
  <si>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</si>
  <si>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</si>
  <si>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</si>
  <si>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</si>
  <si>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</si>
  <si>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</si>
  <si>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</si>
  <si>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</si>
  <si>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</si>
  <si>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</si>
  <si>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</si>
  <si>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</si>
  <si>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</si>
  <si>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</si>
  <si>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</si>
  <si>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</si>
  <si>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</si>
  <si>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</si>
  <si>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</si>
  <si>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</si>
  <si>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</si>
  <si>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</si>
  <si>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</si>
  <si>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</si>
  <si>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</si>
  <si>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</si>
  <si>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</si>
  <si>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</si>
  <si>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</si>
  <si>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</si>
  <si>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</si>
  <si>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</si>
  <si>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</si>
  <si>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</si>
  <si>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</si>
  <si>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</si>
  <si>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</si>
  <si>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</si>
  <si>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</si>
  <si>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</si>
  <si>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</si>
  <si>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</si>
  <si>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</si>
  <si>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</si>
  <si>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</si>
  <si>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</si>
  <si>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</si>
  <si>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</si>
  <si>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</si>
  <si>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</si>
  <si>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</si>
  <si>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</si>
  <si>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</si>
  <si>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</si>
  <si>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</si>
  <si>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</si>
  <si>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</si>
  <si>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</si>
  <si>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</si>
  <si>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</si>
  <si>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</si>
  <si>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</si>
  <si>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</si>
  <si>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</si>
  <si>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</si>
  <si>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</si>
  <si>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</si>
  <si>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</si>
  <si>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</si>
  <si>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</si>
  <si>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</si>
  <si>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</si>
  <si>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</si>
  <si>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</si>
  <si>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</si>
  <si>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</si>
  <si>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</si>
  <si>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</si>
  <si>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</si>
  <si>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</si>
  <si>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</si>
  <si>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</si>
  <si>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</si>
  <si>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</si>
  <si>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</si>
  <si>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</si>
  <si>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</si>
  <si>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</si>
  <si>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</si>
  <si>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</si>
  <si>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</si>
  <si>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</si>
  <si>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</si>
  <si>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</si>
  <si>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</si>
  <si>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</si>
  <si>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</si>
  <si>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</si>
  <si>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</si>
  <si>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</si>
  <si>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</si>
  <si>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</si>
  <si>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</si>
  <si>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</si>
  <si>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</si>
  <si>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</si>
  <si>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</si>
  <si>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</si>
  <si>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</si>
  <si>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</si>
  <si>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</si>
  <si>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</si>
  <si>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</si>
  <si>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</si>
  <si>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</si>
  <si>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</si>
  <si>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</si>
  <si>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</si>
  <si>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</si>
  <si>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</si>
  <si>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</si>
  <si>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</si>
  <si>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</si>
  <si>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</si>
  <si>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</si>
  <si>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</si>
  <si>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</si>
  <si>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</si>
  <si>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</si>
  <si>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</si>
  <si>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</si>
  <si>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</si>
  <si>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</si>
  <si>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</si>
  <si>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</si>
  <si>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</si>
  <si>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</si>
  <si>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</si>
  <si>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</si>
  <si>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</si>
  <si>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</si>
  <si>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</si>
  <si>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</si>
  <si>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</si>
  <si>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</si>
  <si>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</si>
  <si>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</si>
  <si>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</si>
  <si>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</si>
  <si>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</si>
  <si>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</si>
  <si>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</si>
  <si>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</si>
  <si>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</si>
  <si>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</si>
  <si>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</si>
  <si>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</si>
  <si>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</si>
  <si>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</si>
  <si>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</si>
  <si>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</si>
  <si>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</si>
  <si>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</si>
  <si>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</si>
  <si>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</si>
  <si>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</si>
  <si>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</si>
  <si>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</si>
  <si>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</si>
  <si>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</si>
  <si>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</si>
  <si>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</si>
  <si>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</si>
  <si>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</si>
  <si>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</si>
  <si>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</si>
  <si>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</si>
  <si>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</si>
  <si>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</si>
  <si>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</si>
  <si>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</si>
  <si>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</si>
  <si>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</si>
  <si>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</si>
  <si>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</si>
  <si>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</si>
  <si>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</si>
  <si>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</si>
  <si>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</si>
  <si>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</si>
  <si>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</si>
  <si>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</si>
  <si>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</si>
  <si>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</si>
  <si>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</si>
  <si>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</si>
  <si>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</si>
  <si>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</si>
  <si>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</si>
  <si>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</si>
  <si>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</si>
  <si>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</si>
  <si>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</si>
  <si>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</si>
  <si>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</si>
  <si>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</si>
  <si>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</si>
  <si>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</si>
  <si>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</si>
  <si>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</si>
  <si>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</si>
  <si>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</si>
  <si>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</si>
  <si>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</si>
  <si>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</si>
  <si>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</si>
  <si>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</si>
  <si>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</si>
  <si>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</si>
  <si>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</si>
  <si>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</si>
  <si>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</si>
  <si>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</si>
  <si>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</si>
  <si>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</si>
  <si>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</si>
  <si>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</si>
  <si>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</si>
  <si>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</si>
  <si>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</si>
  <si>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</si>
  <si>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</si>
  <si>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</si>
  <si>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</si>
  <si>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</si>
  <si>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</si>
  <si>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</si>
  <si>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</si>
  <si>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</si>
  <si>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</si>
  <si>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</si>
  <si>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</si>
  <si>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</si>
  <si>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</si>
  <si>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</si>
  <si>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</si>
  <si>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</si>
  <si>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</si>
  <si>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</si>
  <si>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</si>
  <si>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</si>
  <si>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</si>
  <si>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</si>
  <si>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</si>
  <si>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</si>
  <si>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</si>
  <si>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</si>
  <si>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</si>
  <si>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</si>
  <si>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</si>
  <si>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</si>
  <si>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</si>
  <si>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</si>
  <si>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</si>
  <si>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</si>
  <si>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</si>
  <si>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</si>
  <si>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</si>
  <si>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</si>
  <si>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</si>
  <si>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</si>
  <si>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</si>
  <si>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</si>
  <si>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</si>
  <si>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</si>
  <si>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</si>
  <si>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</si>
  <si>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</si>
  <si>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</si>
  <si>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</si>
  <si>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</si>
  <si>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</si>
  <si>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</si>
  <si>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</si>
  <si>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</si>
  <si>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</si>
  <si>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</si>
  <si>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</si>
  <si>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</si>
  <si>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</si>
  <si>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</si>
  <si>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</si>
  <si>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</si>
  <si>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</si>
  <si>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</si>
  <si>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</si>
  <si>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</si>
  <si>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</si>
  <si>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</si>
  <si>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</si>
  <si>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</si>
  <si>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</si>
  <si>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</si>
  <si>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</si>
  <si>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</si>
  <si>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</si>
  <si>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</si>
  <si>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</si>
  <si>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</si>
  <si>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</si>
  <si>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</si>
  <si>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</si>
  <si>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</si>
  <si>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</si>
  <si>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</si>
  <si>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</si>
  <si>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</si>
  <si>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</si>
  <si>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</si>
  <si>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</si>
  <si>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</si>
  <si>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</si>
  <si>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</si>
  <si>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</si>
  <si>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</si>
  <si>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</si>
  <si>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</si>
  <si>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</si>
  <si>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</si>
  <si>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</si>
  <si>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</si>
  <si>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</si>
  <si>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</si>
  <si>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</si>
  <si>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</si>
  <si>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</si>
  <si>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</si>
  <si>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</si>
  <si>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</si>
  <si>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</si>
  <si>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</si>
  <si>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</si>
  <si>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</si>
  <si>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</si>
  <si>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</si>
  <si>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</si>
  <si>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</si>
  <si>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</si>
  <si>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</si>
  <si>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</si>
  <si>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</si>
  <si>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</si>
  <si>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</si>
  <si>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</si>
  <si>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</si>
  <si>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</si>
  <si>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</si>
  <si>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</si>
  <si>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</si>
  <si>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</si>
  <si>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</si>
  <si>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</si>
  <si>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</si>
  <si>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</si>
  <si>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</si>
  <si>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自然人</t>
  </si>
  <si>
    <t>核定资产</t>
  </si>
  <si>
    <t>房地产市场价值</t>
  </si>
  <si>
    <t>是</t>
  </si>
  <si>
    <t>地上</t>
  </si>
  <si>
    <t>办公楼</t>
  </si>
  <si>
    <t>商务金融用地</t>
  </si>
  <si>
    <t>自定义容积率</t>
  </si>
  <si>
    <t>不临65条商业街</t>
  </si>
  <si>
    <t>利息：取LPR加浮动点数</t>
  </si>
  <si>
    <t>较好</t>
  </si>
  <si>
    <t>好</t>
  </si>
  <si>
    <t>未包含在土地购买价格中</t>
  </si>
  <si>
    <t>已包含在土地取得成本中</t>
  </si>
  <si>
    <t>成新度</t>
  </si>
  <si>
    <t>收益法 (元)</t>
  </si>
  <si>
    <t>押一</t>
  </si>
  <si>
    <t>钢混</t>
  </si>
  <si>
    <t>非生产用房</t>
  </si>
  <si>
    <t>否</t>
  </si>
  <si>
    <t>天溪园</t>
    <phoneticPr fontId="134" type="noConversion"/>
  </si>
  <si>
    <r>
      <t>4</t>
    </r>
    <r>
      <rPr>
        <sz val="11"/>
        <color theme="1"/>
        <rFont val="宋体"/>
        <family val="3"/>
        <charset val="134"/>
        <scheme val="minor"/>
      </rPr>
      <t>.6-5.5</t>
    </r>
    <phoneticPr fontId="134" type="noConversion"/>
  </si>
  <si>
    <t>金苑大厦</t>
    <phoneticPr fontId="134" type="noConversion"/>
  </si>
  <si>
    <t>北京文化创意大厦</t>
    <phoneticPr fontId="134" type="noConversion"/>
  </si>
  <si>
    <t>北辰世纪</t>
    <phoneticPr fontId="134" type="noConversion"/>
  </si>
  <si>
    <t>北投投资大厦</t>
    <phoneticPr fontId="134" type="noConversion"/>
  </si>
  <si>
    <t>国家会议中心</t>
    <phoneticPr fontId="134" type="noConversion"/>
  </si>
  <si>
    <t>通路</t>
  </si>
  <si>
    <t>通电</t>
  </si>
  <si>
    <t>与级别开发程度不一致</t>
  </si>
  <si>
    <t>通讯</t>
  </si>
  <si>
    <t>通上水</t>
  </si>
  <si>
    <t>通下水</t>
  </si>
  <si>
    <t>燃气</t>
  </si>
  <si>
    <t>平整</t>
  </si>
  <si>
    <r>
      <t>7号楼</t>
    </r>
    <r>
      <rPr>
        <sz val="11"/>
        <color theme="1"/>
        <rFont val="宋体"/>
        <family val="3"/>
        <charset val="134"/>
        <scheme val="minor"/>
      </rPr>
      <t>1单元605</t>
    </r>
    <phoneticPr fontId="134" type="noConversion"/>
  </si>
  <si>
    <r>
      <t>7号楼</t>
    </r>
    <r>
      <rPr>
        <sz val="11"/>
        <color theme="1"/>
        <rFont val="宋体"/>
        <family val="3"/>
        <charset val="134"/>
        <scheme val="minor"/>
      </rPr>
      <t>1单元1005</t>
    </r>
    <phoneticPr fontId="134" type="noConversion"/>
  </si>
  <si>
    <t>南</t>
  </si>
  <si>
    <t>南</t>
    <phoneticPr fontId="134" type="noConversion"/>
  </si>
  <si>
    <t>售价</t>
  </si>
  <si>
    <t>售价</t>
    <phoneticPr fontId="134" type="noConversion"/>
  </si>
  <si>
    <t>租金</t>
    <phoneticPr fontId="134" type="noConversion"/>
  </si>
  <si>
    <t>无暖气、商水商电</t>
    <phoneticPr fontId="134" type="noConversion"/>
  </si>
  <si>
    <t>有暖气、民水民电</t>
    <phoneticPr fontId="134" type="noConversion"/>
  </si>
  <si>
    <t>东西北</t>
    <phoneticPr fontId="134" type="noConversion"/>
  </si>
  <si>
    <t>南北</t>
  </si>
  <si>
    <t>南北</t>
    <phoneticPr fontId="134" type="noConversion"/>
  </si>
  <si>
    <t>林奥嘉园</t>
    <phoneticPr fontId="3" type="noConversion"/>
  </si>
  <si>
    <t>正常</t>
  </si>
  <si>
    <t>办公</t>
    <phoneticPr fontId="31" type="noConversion"/>
  </si>
  <si>
    <t>高楼层</t>
  </si>
  <si>
    <t>高楼层</t>
    <phoneticPr fontId="31" type="noConversion"/>
  </si>
  <si>
    <t>中楼层</t>
  </si>
  <si>
    <t>中楼层</t>
    <phoneticPr fontId="31" type="noConversion"/>
  </si>
  <si>
    <t>低楼层</t>
  </si>
  <si>
    <t>低楼层</t>
    <phoneticPr fontId="31" type="noConversion"/>
  </si>
  <si>
    <t>钢混</t>
    <phoneticPr fontId="31" type="noConversion"/>
  </si>
  <si>
    <t>精装修</t>
    <phoneticPr fontId="31" type="noConversion"/>
  </si>
  <si>
    <t>南北</t>
    <phoneticPr fontId="31" type="noConversion"/>
  </si>
  <si>
    <t>南</t>
    <phoneticPr fontId="31" type="noConversion"/>
  </si>
  <si>
    <r>
      <t>7号楼</t>
    </r>
    <r>
      <rPr>
        <sz val="11"/>
        <color theme="1"/>
        <rFont val="宋体"/>
        <family val="3"/>
        <charset val="134"/>
        <scheme val="minor"/>
      </rPr>
      <t>1单元1605</t>
    </r>
    <phoneticPr fontId="134" type="noConversion"/>
  </si>
  <si>
    <t>高层板楼</t>
  </si>
  <si>
    <t>高层板楼</t>
    <phoneticPr fontId="31" type="noConversion"/>
  </si>
  <si>
    <t>单套模式</t>
  </si>
  <si>
    <t>普通装修</t>
  </si>
  <si>
    <t>普通装修</t>
    <phoneticPr fontId="31" type="noConversion"/>
  </si>
  <si>
    <t>比较法-办公</t>
  </si>
  <si>
    <r>
      <rPr>
        <sz val="11"/>
        <color indexed="8"/>
        <rFont val="宋体"/>
        <family val="3"/>
        <charset val="134"/>
      </rPr>
      <t>次干道</t>
    </r>
    <r>
      <rPr>
        <sz val="11"/>
        <color indexed="8"/>
        <rFont val="Arial"/>
        <family val="2"/>
      </rPr>
      <t>-</t>
    </r>
    <r>
      <rPr>
        <sz val="11"/>
        <color indexed="8"/>
        <rFont val="宋体"/>
        <family val="3"/>
        <charset val="134"/>
      </rPr>
      <t>清林路</t>
    </r>
    <phoneticPr fontId="31" type="noConversion"/>
  </si>
  <si>
    <t>物业公司管理</t>
  </si>
  <si>
    <t>物业公司管理</t>
    <phoneticPr fontId="31" type="noConversion"/>
  </si>
  <si>
    <t>六通</t>
  </si>
  <si>
    <t>六通</t>
    <phoneticPr fontId="31" type="noConversion"/>
  </si>
  <si>
    <t>一般</t>
  </si>
  <si>
    <t>七通</t>
  </si>
  <si>
    <t>陈颖</t>
  </si>
  <si>
    <t>普通装修</t>
    <phoneticPr fontId="31" type="noConversion"/>
  </si>
  <si>
    <t>13层</t>
  </si>
  <si>
    <t>13层</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</si>
</sst>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14" fontId="47" fillId="12" borderId="0" xfId="0" applyNumberFormat="1" applyFont="1" applyFill="1" applyAlignment="1" applyProtection="1">
      <alignment vertical="center"/>
      <protection locked="0"/>
    </xf>
    <xf numFmtId="0" fontId="54" fillId="6" borderId="0" xfId="0" applyFont="1" applyFill="1" applyBorder="1" applyAlignment="1" applyProtection="1">
      <alignment horizontal="center" vertical="center"/>
      <protection locked="0"/>
    </xf>
    <xf numFmtId="176" fontId="62" fillId="6" borderId="0" xfId="0" applyNumberFormat="1" applyFont="1" applyFill="1" applyBorder="1" applyAlignment="1" applyProtection="1">
      <alignment horizontal="left"/>
      <protection locked="0"/>
    </xf>
    <xf numFmtId="176" fontId="54" fillId="6" borderId="0"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horizontal="center" vertical="center"/>
    </xf>
    <xf numFmtId="0" fontId="0" fillId="0" borderId="0" xfId="0" applyAlignment="1">
      <alignment horizontal="center" vertical="center"/>
    </xf>
    <xf numFmtId="0" fontId="80" fillId="5" borderId="4" xfId="1" applyFont="1" applyFill="1" applyBorder="1" applyAlignment="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294809</xdr:colOff>
      <xdr:row>25</xdr:row>
      <xdr:rowOff>28036</xdr:rowOff>
    </xdr:to>
    <xdr:pic>
      <xdr:nvPicPr>
        <xdr:cNvPr id="2" name="图片 1">
          <a:extLst>
            <a:ext uri="{FF2B5EF4-FFF2-40B4-BE49-F238E27FC236}">
              <a16:creationId xmlns:a16="http://schemas.microsoft.com/office/drawing/2014/main" id="{FE69101A-7D13-4675-AAB6-BE0FB1F5D201}"/>
            </a:ext>
          </a:extLst>
        </xdr:cNvPr>
        <xdr:cNvPicPr>
          <a:picLocks noChangeAspect="1"/>
        </xdr:cNvPicPr>
      </xdr:nvPicPr>
      <xdr:blipFill>
        <a:blip xmlns:r="http://schemas.openxmlformats.org/officeDocument/2006/relationships" r:embed="rId1"/>
        <a:stretch>
          <a:fillRect/>
        </a:stretch>
      </xdr:blipFill>
      <xdr:spPr>
        <a:xfrm>
          <a:off x="0" y="0"/>
          <a:ext cx="3723809" cy="4314286"/>
        </a:xfrm>
        <a:prstGeom prst="rect">
          <a:avLst/>
        </a:prstGeom>
      </xdr:spPr>
    </xdr:pic>
    <xdr:clientData/>
  </xdr:twoCellAnchor>
  <xdr:twoCellAnchor editAs="oneCell">
    <xdr:from>
      <xdr:col>4</xdr:col>
      <xdr:colOff>504824</xdr:colOff>
      <xdr:row>0</xdr:row>
      <xdr:rowOff>0</xdr:rowOff>
    </xdr:from>
    <xdr:to>
      <xdr:col>15</xdr:col>
      <xdr:colOff>333375</xdr:colOff>
      <xdr:row>27</xdr:row>
      <xdr:rowOff>167660</xdr:rowOff>
    </xdr:to>
    <xdr:pic>
      <xdr:nvPicPr>
        <xdr:cNvPr id="3" name="图片 2">
          <a:extLst>
            <a:ext uri="{FF2B5EF4-FFF2-40B4-BE49-F238E27FC236}">
              <a16:creationId xmlns:a16="http://schemas.microsoft.com/office/drawing/2014/main" id="{8E671300-CAB0-48BB-8C2D-E322E1DEE002}"/>
            </a:ext>
          </a:extLst>
        </xdr:cNvPr>
        <xdr:cNvPicPr>
          <a:picLocks noChangeAspect="1"/>
        </xdr:cNvPicPr>
      </xdr:nvPicPr>
      <xdr:blipFill>
        <a:blip xmlns:r="http://schemas.openxmlformats.org/officeDocument/2006/relationships" r:embed="rId2"/>
        <a:stretch>
          <a:fillRect/>
        </a:stretch>
      </xdr:blipFill>
      <xdr:spPr>
        <a:xfrm>
          <a:off x="3248024" y="0"/>
          <a:ext cx="8362951" cy="4796810"/>
        </a:xfrm>
        <a:prstGeom prst="rect">
          <a:avLst/>
        </a:prstGeom>
      </xdr:spPr>
    </xdr:pic>
    <xdr:clientData/>
  </xdr:twoCellAnchor>
  <xdr:twoCellAnchor editAs="oneCell">
    <xdr:from>
      <xdr:col>0</xdr:col>
      <xdr:colOff>228600</xdr:colOff>
      <xdr:row>23</xdr:row>
      <xdr:rowOff>161925</xdr:rowOff>
    </xdr:from>
    <xdr:to>
      <xdr:col>5</xdr:col>
      <xdr:colOff>599600</xdr:colOff>
      <xdr:row>37</xdr:row>
      <xdr:rowOff>133054</xdr:rowOff>
    </xdr:to>
    <xdr:pic>
      <xdr:nvPicPr>
        <xdr:cNvPr id="4" name="图片 3">
          <a:extLst>
            <a:ext uri="{FF2B5EF4-FFF2-40B4-BE49-F238E27FC236}">
              <a16:creationId xmlns:a16="http://schemas.microsoft.com/office/drawing/2014/main" id="{AC004D09-6B26-4385-A4DB-D54ED9C53734}"/>
            </a:ext>
          </a:extLst>
        </xdr:cNvPr>
        <xdr:cNvPicPr>
          <a:picLocks noChangeAspect="1"/>
        </xdr:cNvPicPr>
      </xdr:nvPicPr>
      <xdr:blipFill>
        <a:blip xmlns:r="http://schemas.openxmlformats.org/officeDocument/2006/relationships" r:embed="rId3"/>
        <a:stretch>
          <a:fillRect/>
        </a:stretch>
      </xdr:blipFill>
      <xdr:spPr>
        <a:xfrm>
          <a:off x="228600" y="4105275"/>
          <a:ext cx="3800000" cy="2371429"/>
        </a:xfrm>
        <a:prstGeom prst="rect">
          <a:avLst/>
        </a:prstGeom>
      </xdr:spPr>
    </xdr:pic>
    <xdr:clientData/>
  </xdr:twoCellAnchor>
  <xdr:twoCellAnchor editAs="oneCell">
    <xdr:from>
      <xdr:col>0</xdr:col>
      <xdr:colOff>38100</xdr:colOff>
      <xdr:row>37</xdr:row>
      <xdr:rowOff>133350</xdr:rowOff>
    </xdr:from>
    <xdr:to>
      <xdr:col>5</xdr:col>
      <xdr:colOff>513862</xdr:colOff>
      <xdr:row>64</xdr:row>
      <xdr:rowOff>75629</xdr:rowOff>
    </xdr:to>
    <xdr:pic>
      <xdr:nvPicPr>
        <xdr:cNvPr id="5" name="图片 4">
          <a:extLst>
            <a:ext uri="{FF2B5EF4-FFF2-40B4-BE49-F238E27FC236}">
              <a16:creationId xmlns:a16="http://schemas.microsoft.com/office/drawing/2014/main" id="{8E40792E-7145-41E5-B80B-07D5E69CA282}"/>
            </a:ext>
          </a:extLst>
        </xdr:cNvPr>
        <xdr:cNvPicPr>
          <a:picLocks noChangeAspect="1"/>
        </xdr:cNvPicPr>
      </xdr:nvPicPr>
      <xdr:blipFill>
        <a:blip xmlns:r="http://schemas.openxmlformats.org/officeDocument/2006/relationships" r:embed="rId4"/>
        <a:stretch>
          <a:fillRect/>
        </a:stretch>
      </xdr:blipFill>
      <xdr:spPr>
        <a:xfrm>
          <a:off x="38100" y="6477000"/>
          <a:ext cx="3904762" cy="4571429"/>
        </a:xfrm>
        <a:prstGeom prst="rect">
          <a:avLst/>
        </a:prstGeom>
      </xdr:spPr>
    </xdr:pic>
    <xdr:clientData/>
  </xdr:twoCellAnchor>
  <xdr:twoCellAnchor editAs="oneCell">
    <xdr:from>
      <xdr:col>0</xdr:col>
      <xdr:colOff>0</xdr:colOff>
      <xdr:row>64</xdr:row>
      <xdr:rowOff>19050</xdr:rowOff>
    </xdr:from>
    <xdr:to>
      <xdr:col>5</xdr:col>
      <xdr:colOff>466238</xdr:colOff>
      <xdr:row>93</xdr:row>
      <xdr:rowOff>75571</xdr:rowOff>
    </xdr:to>
    <xdr:pic>
      <xdr:nvPicPr>
        <xdr:cNvPr id="6" name="图片 5">
          <a:extLst>
            <a:ext uri="{FF2B5EF4-FFF2-40B4-BE49-F238E27FC236}">
              <a16:creationId xmlns:a16="http://schemas.microsoft.com/office/drawing/2014/main" id="{7DED45D2-AC50-4050-AAA0-D592A68B8EC3}"/>
            </a:ext>
          </a:extLst>
        </xdr:cNvPr>
        <xdr:cNvPicPr>
          <a:picLocks noChangeAspect="1"/>
        </xdr:cNvPicPr>
      </xdr:nvPicPr>
      <xdr:blipFill>
        <a:blip xmlns:r="http://schemas.openxmlformats.org/officeDocument/2006/relationships" r:embed="rId5"/>
        <a:stretch>
          <a:fillRect/>
        </a:stretch>
      </xdr:blipFill>
      <xdr:spPr>
        <a:xfrm>
          <a:off x="0" y="10991850"/>
          <a:ext cx="3895238" cy="5028571"/>
        </a:xfrm>
        <a:prstGeom prst="rect">
          <a:avLst/>
        </a:prstGeom>
      </xdr:spPr>
    </xdr:pic>
    <xdr:clientData/>
  </xdr:twoCellAnchor>
  <xdr:twoCellAnchor editAs="oneCell">
    <xdr:from>
      <xdr:col>9</xdr:col>
      <xdr:colOff>638331</xdr:colOff>
      <xdr:row>27</xdr:row>
      <xdr:rowOff>95249</xdr:rowOff>
    </xdr:from>
    <xdr:to>
      <xdr:col>16</xdr:col>
      <xdr:colOff>398880</xdr:colOff>
      <xdr:row>45</xdr:row>
      <xdr:rowOff>104122</xdr:rowOff>
    </xdr:to>
    <xdr:pic>
      <xdr:nvPicPr>
        <xdr:cNvPr id="7" name="图片 6">
          <a:extLst>
            <a:ext uri="{FF2B5EF4-FFF2-40B4-BE49-F238E27FC236}">
              <a16:creationId xmlns:a16="http://schemas.microsoft.com/office/drawing/2014/main" id="{E8E3F7F7-0522-4DC2-A8C7-50CD1B467FAC}"/>
            </a:ext>
          </a:extLst>
        </xdr:cNvPr>
        <xdr:cNvPicPr>
          <a:picLocks noChangeAspect="1"/>
        </xdr:cNvPicPr>
      </xdr:nvPicPr>
      <xdr:blipFill>
        <a:blip xmlns:r="http://schemas.openxmlformats.org/officeDocument/2006/relationships" r:embed="rId6"/>
        <a:stretch>
          <a:fillRect/>
        </a:stretch>
      </xdr:blipFill>
      <xdr:spPr>
        <a:xfrm>
          <a:off x="6810531" y="4724399"/>
          <a:ext cx="5551749" cy="3094973"/>
        </a:xfrm>
        <a:prstGeom prst="rect">
          <a:avLst/>
        </a:prstGeom>
      </xdr:spPr>
    </xdr:pic>
    <xdr:clientData/>
  </xdr:twoCellAnchor>
  <xdr:twoCellAnchor editAs="oneCell">
    <xdr:from>
      <xdr:col>0</xdr:col>
      <xdr:colOff>19051</xdr:colOff>
      <xdr:row>45</xdr:row>
      <xdr:rowOff>64887</xdr:rowOff>
    </xdr:from>
    <xdr:to>
      <xdr:col>10</xdr:col>
      <xdr:colOff>561976</xdr:colOff>
      <xdr:row>67</xdr:row>
      <xdr:rowOff>149135</xdr:rowOff>
    </xdr:to>
    <xdr:pic>
      <xdr:nvPicPr>
        <xdr:cNvPr id="8" name="图片 7">
          <a:extLst>
            <a:ext uri="{FF2B5EF4-FFF2-40B4-BE49-F238E27FC236}">
              <a16:creationId xmlns:a16="http://schemas.microsoft.com/office/drawing/2014/main" id="{5B13A352-D47A-43E9-85A1-73BF61252986}"/>
            </a:ext>
          </a:extLst>
        </xdr:cNvPr>
        <xdr:cNvPicPr>
          <a:picLocks noChangeAspect="1"/>
        </xdr:cNvPicPr>
      </xdr:nvPicPr>
      <xdr:blipFill>
        <a:blip xmlns:r="http://schemas.openxmlformats.org/officeDocument/2006/relationships" r:embed="rId7"/>
        <a:stretch>
          <a:fillRect/>
        </a:stretch>
      </xdr:blipFill>
      <xdr:spPr>
        <a:xfrm>
          <a:off x="19051" y="7780137"/>
          <a:ext cx="7810500" cy="3856148"/>
        </a:xfrm>
        <a:prstGeom prst="rect">
          <a:avLst/>
        </a:prstGeom>
      </xdr:spPr>
    </xdr:pic>
    <xdr:clientData/>
  </xdr:twoCellAnchor>
  <xdr:twoCellAnchor editAs="oneCell">
    <xdr:from>
      <xdr:col>0</xdr:col>
      <xdr:colOff>0</xdr:colOff>
      <xdr:row>67</xdr:row>
      <xdr:rowOff>76200</xdr:rowOff>
    </xdr:from>
    <xdr:to>
      <xdr:col>11</xdr:col>
      <xdr:colOff>207584</xdr:colOff>
      <xdr:row>91</xdr:row>
      <xdr:rowOff>18332</xdr:rowOff>
    </xdr:to>
    <xdr:pic>
      <xdr:nvPicPr>
        <xdr:cNvPr id="9" name="图片 8">
          <a:extLst>
            <a:ext uri="{FF2B5EF4-FFF2-40B4-BE49-F238E27FC236}">
              <a16:creationId xmlns:a16="http://schemas.microsoft.com/office/drawing/2014/main" id="{AF0D7C68-8314-4D1C-A885-EB8DD79EF2C2}"/>
            </a:ext>
          </a:extLst>
        </xdr:cNvPr>
        <xdr:cNvPicPr>
          <a:picLocks noChangeAspect="1"/>
        </xdr:cNvPicPr>
      </xdr:nvPicPr>
      <xdr:blipFill>
        <a:blip xmlns:r="http://schemas.openxmlformats.org/officeDocument/2006/relationships" r:embed="rId8"/>
        <a:stretch>
          <a:fillRect/>
        </a:stretch>
      </xdr:blipFill>
      <xdr:spPr>
        <a:xfrm>
          <a:off x="0" y="11563350"/>
          <a:ext cx="8160959" cy="4056932"/>
        </a:xfrm>
        <a:prstGeom prst="rect">
          <a:avLst/>
        </a:prstGeom>
      </xdr:spPr>
    </xdr:pic>
    <xdr:clientData/>
  </xdr:twoCellAnchor>
  <xdr:twoCellAnchor editAs="oneCell">
    <xdr:from>
      <xdr:col>0</xdr:col>
      <xdr:colOff>0</xdr:colOff>
      <xdr:row>82</xdr:row>
      <xdr:rowOff>133395</xdr:rowOff>
    </xdr:from>
    <xdr:to>
      <xdr:col>10</xdr:col>
      <xdr:colOff>266700</xdr:colOff>
      <xdr:row>103</xdr:row>
      <xdr:rowOff>75598</xdr:rowOff>
    </xdr:to>
    <xdr:pic>
      <xdr:nvPicPr>
        <xdr:cNvPr id="10" name="图片 9">
          <a:extLst>
            <a:ext uri="{FF2B5EF4-FFF2-40B4-BE49-F238E27FC236}">
              <a16:creationId xmlns:a16="http://schemas.microsoft.com/office/drawing/2014/main" id="{B3DE5A85-8830-4287-A09A-EADC6A7455E3}"/>
            </a:ext>
          </a:extLst>
        </xdr:cNvPr>
        <xdr:cNvPicPr>
          <a:picLocks noChangeAspect="1"/>
        </xdr:cNvPicPr>
      </xdr:nvPicPr>
      <xdr:blipFill>
        <a:blip xmlns:r="http://schemas.openxmlformats.org/officeDocument/2006/relationships" r:embed="rId9"/>
        <a:stretch>
          <a:fillRect/>
        </a:stretch>
      </xdr:blipFill>
      <xdr:spPr>
        <a:xfrm>
          <a:off x="0" y="14192295"/>
          <a:ext cx="7534275" cy="35426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8165;&#26519;&#1999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估价对象为北京市房地产，为所有。根据《国有土地使用证》[]，估价对象（分摊）出让国有建设用地使用权面积为0平方米，建筑面积为133.12平方米。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估价对象为北京市房地产,属开发建设的，该项目尚在开发建设中。根据《国有土地使用证》[]，估价对象（分摊）出让国有建设用地使用权面积为0平方米，规划建筑面积为133.12平方米。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2023年8月3日（评估专业人员实地查勘之日）</v>
      </c>
    </row>
    <row r="13" spans="1:2" s="1203" customFormat="1">
      <c r="A13" s="1201" t="s">
        <v>529</v>
      </c>
      <c r="B13" s="1202" t="str">
        <f>'预评函-1'!A18</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133.12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2" t="s">
        <v>2583</v>
      </c>
      <c r="J2" s="3502"/>
      <c r="K2" s="3502"/>
      <c r="L2" s="3502"/>
      <c r="M2" s="3502"/>
      <c r="N2" s="3502"/>
      <c r="O2" s="3502"/>
      <c r="P2" s="3502"/>
      <c r="Q2" s="3502"/>
      <c r="R2" s="3502"/>
    </row>
    <row r="3" spans="1:18">
      <c r="A3" s="3020" t="s">
        <v>2504</v>
      </c>
      <c r="B3" s="3021">
        <f>项目基本情况!D3</f>
        <v>45141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13.38</v>
      </c>
      <c r="D6" s="3025">
        <f>IF(ISERROR(ROUND(POWER(1+E6,A6-C6)*(POWER(1+E6,C6)-1)/(POWER(1+E6,A6)-1),3)),0,ROUND(POWER(1+E6,A6-C6)*(POWER(1+E6,C6)-1)/(POWER(1+E6,A6)-1),4))</f>
        <v>0.47520000000000001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33.4</v>
      </c>
      <c r="D7" s="3025">
        <f>IF(ISERROR(ROUND(POWER(1+E7,A7-C7)*(POWER(1+E7,C7)-1)/(POWER(1+E7,A7)-1),3)),0,ROUND(POWER(1+E7,A7-C7)*(POWER(1+E7,C7)-1)/(POWER(1+E7,A7)-1),4))</f>
        <v>0.78029999999999999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45141</v>
      </c>
      <c r="C3" s="2374" t="s">
        <v>2171</v>
      </c>
      <c r="D3" s="2373">
        <f>B3</f>
        <v>45141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3453</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4"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15"/>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58809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37.44</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1"/>
      <c r="C16" s="3522"/>
      <c r="D16" s="3523"/>
      <c r="E16" s="2413" t="s">
        <v>2194</v>
      </c>
      <c r="F16" s="3524"/>
      <c r="G16" s="3525"/>
      <c r="H16" s="3525"/>
      <c r="I16" s="3526"/>
      <c r="J16" s="2439"/>
      <c r="K16" s="2617"/>
      <c r="L16" s="2451"/>
      <c r="M16" s="2451"/>
      <c r="N16" s="2509"/>
      <c r="O16" s="2451"/>
      <c r="P16" s="2509"/>
      <c r="Q16" s="2439"/>
      <c r="R16" s="2439"/>
    </row>
    <row r="17" spans="1:28">
      <c r="A17" s="313" t="s">
        <v>2195</v>
      </c>
      <c r="B17" s="302" t="s">
        <v>2196</v>
      </c>
      <c r="C17" s="8">
        <f>'数据-汇总表'!E3</f>
        <v>133.12</v>
      </c>
      <c r="D17" s="2322" t="s">
        <v>2197</v>
      </c>
      <c r="E17" s="3527" t="s">
        <v>2198</v>
      </c>
      <c r="F17" s="3528"/>
      <c r="G17" s="3528"/>
      <c r="H17" s="3528"/>
      <c r="I17" s="352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0" t="s">
        <v>2202</v>
      </c>
      <c r="F18" s="3531"/>
      <c r="G18" s="3531"/>
      <c r="H18" s="3531"/>
      <c r="I18" s="353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7" t="s">
        <v>2206</v>
      </c>
      <c r="C20" s="3518"/>
      <c r="D20" s="3519" t="s">
        <v>2207</v>
      </c>
      <c r="E20" s="3520"/>
      <c r="F20" s="2647" t="s">
        <v>1056</v>
      </c>
      <c r="G20" s="2664"/>
      <c r="H20" s="2664"/>
      <c r="I20" s="2664"/>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5"/>
      <c r="B30" s="302" t="s">
        <v>2218</v>
      </c>
      <c r="C30" s="3506"/>
      <c r="D30" s="3507"/>
      <c r="E30" s="2664"/>
      <c r="F30" s="2664"/>
      <c r="G30" s="2664"/>
      <c r="H30" s="2664"/>
      <c r="I30" s="2664"/>
      <c r="J30" s="2439"/>
      <c r="K30" s="2616"/>
      <c r="L30" s="2613"/>
      <c r="M30" s="2613"/>
      <c r="N30" s="2439"/>
      <c r="O30" s="2450"/>
      <c r="P30" s="2439"/>
      <c r="Q30" s="2439"/>
      <c r="R30" s="2439"/>
      <c r="S30" s="2439"/>
      <c r="T30" s="2439"/>
      <c r="U30" s="2439"/>
      <c r="V30" s="2439"/>
    </row>
    <row r="31" spans="1:28">
      <c r="A31" s="350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3" t="s">
        <v>2228</v>
      </c>
      <c r="T34" s="2428" t="str">
        <f>NUMBERSTRING(7-K34,1)&amp;"通"</f>
        <v>七通</v>
      </c>
      <c r="U34" s="2439"/>
      <c r="V34" s="2439"/>
    </row>
    <row r="35" spans="1:30">
      <c r="A35" s="2429"/>
      <c r="B35" s="3510" t="s">
        <v>2229</v>
      </c>
      <c r="C35" s="3510"/>
      <c r="D35" s="3510"/>
      <c r="E35" s="351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303</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2988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7" sqref="E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266.27300000000002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266.27300000000002</v>
      </c>
      <c r="H5" s="13">
        <f t="shared" ref="H5:AT5" si="0">SUM(H13:H656)</f>
        <v>266.27300000000002</v>
      </c>
      <c r="I5" s="13">
        <f t="shared" si="0"/>
        <v>266.27300000000002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133.12</v>
      </c>
      <c r="BA5" s="15">
        <f t="shared" si="1"/>
        <v>133.12</v>
      </c>
      <c r="BB5" s="15">
        <f t="shared" si="1"/>
        <v>133.12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1301</v>
      </c>
      <c r="D13" s="1625" t="s">
        <v>3382</v>
      </c>
      <c r="E13" s="13">
        <f>IF($C$3="是",ROUND($A$3*G13/$B$3,2),ROUND($A$3*(G13-AT13)/$B$3,2))</f>
        <v>0</v>
      </c>
      <c r="F13" s="29"/>
      <c r="G13" s="30">
        <f>H13+AC13+AT13</f>
        <v>79.73</v>
      </c>
      <c r="H13" s="17">
        <f>SUMIF(I$12:AB$12,"总值",I13:AB13)</f>
        <v>79.73</v>
      </c>
      <c r="I13" s="1626">
        <v>79.73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1301</v>
      </c>
      <c r="AY13" s="1349">
        <f>ROUND($AY$6*AZ13/$AZ$5,2)</f>
        <v>0</v>
      </c>
      <c r="AZ13" s="13">
        <f>BA13+BL13</f>
        <v>79.73</v>
      </c>
      <c r="BA13" s="13">
        <f>SUM(BB13:BK13)</f>
        <v>79.73</v>
      </c>
      <c r="BB13" s="13">
        <f>IF($D13="是",I13-J13,0)</f>
        <v>79.73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1302</v>
      </c>
      <c r="D14" s="1625" t="s">
        <v>3382</v>
      </c>
      <c r="E14" s="13">
        <f>IF($C$3="是",ROUND($A$3*G14/$B$3,2),ROUND($A$3*(G14-AT14)/$B$3,2))</f>
        <v>0</v>
      </c>
      <c r="F14" s="29"/>
      <c r="G14" s="30">
        <f>H14+AC14+AT14</f>
        <v>25.54</v>
      </c>
      <c r="H14" s="17">
        <f>SUMIF(I$12:AB$12,"总值",I14:AB14)</f>
        <v>25.54</v>
      </c>
      <c r="I14" s="1626">
        <v>25.54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1302</v>
      </c>
      <c r="AY14" s="1349">
        <f>ROUND($AY$6*AZ14/$AZ$5,2)</f>
        <v>0</v>
      </c>
      <c r="AZ14" s="13">
        <f>BA14+BL14</f>
        <v>25.54</v>
      </c>
      <c r="BA14" s="13">
        <f>SUM(BB14:BK14)</f>
        <v>25.54</v>
      </c>
      <c r="BB14" s="13">
        <f>IF($D14="是",I14-J14,0)</f>
        <v>25.54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1303</v>
      </c>
      <c r="D15" s="1625" t="s">
        <v>3382</v>
      </c>
      <c r="E15" s="13">
        <f>IF($C$3="是",ROUND($A$3*G15/$B$3,2),ROUND($A$3*(G15-AT15)/$B$3,2))</f>
        <v>0</v>
      </c>
      <c r="F15" s="29"/>
      <c r="G15" s="30">
        <f>H15+AC15+AT15</f>
        <v>27.85</v>
      </c>
      <c r="H15" s="17">
        <f>SUMIF(I$12:AB$12,"总值",I15:AB15)</f>
        <v>27.85</v>
      </c>
      <c r="I15" s="1626">
        <v>27.85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1303</v>
      </c>
      <c r="AY15" s="1349">
        <f>ROUND($AY$6*AZ15/$AZ$5,2)</f>
        <v>0</v>
      </c>
      <c r="AZ15" s="13">
        <f>BA15+BL15</f>
        <v>27.85</v>
      </c>
      <c r="BA15" s="13">
        <f>SUM(BB15:BK15)</f>
        <v>27.85</v>
      </c>
      <c r="BB15" s="13">
        <f>IF($D15="是",I15-J15,0)</f>
        <v>27.85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79.763000000000005</v>
      </c>
      <c r="H16" s="17">
        <f>SUMIF(I$12:AB$12,"总值",I16:AB16)</f>
        <v>79.763000000000005</v>
      </c>
      <c r="I16" s="1626">
        <v>79.763000000000005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25.54</v>
      </c>
      <c r="H17" s="17">
        <f>SUMIF(I$12:AB$12,"总值",I17:AB17)</f>
        <v>25.54</v>
      </c>
      <c r="I17" s="1626">
        <v>25.54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27.85</v>
      </c>
      <c r="H18" s="35">
        <f t="shared" ref="H18:H109" si="9">SUMIF(I$12:AB$12,"总值",I18:AB18)</f>
        <v>27.85</v>
      </c>
      <c r="I18" s="36">
        <v>27.85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E15" sqref="E1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9"/>
      <c r="G2" s="2650"/>
      <c r="H2" s="2651"/>
      <c r="I2" s="2325" t="s">
        <v>1132</v>
      </c>
      <c r="J2" s="2659"/>
      <c r="K2" s="2659"/>
      <c r="L2" s="2659"/>
      <c r="M2" s="2659"/>
      <c r="N2" s="2661"/>
      <c r="O2" s="2659"/>
      <c r="P2" s="2659"/>
    </row>
    <row r="3" spans="1:16" ht="15.75" thickBot="1">
      <c r="A3" s="3543" t="s">
        <v>1105</v>
      </c>
      <c r="B3" s="3543"/>
      <c r="C3" s="3543"/>
      <c r="D3" s="43">
        <f>'数据-基础表'!AY6</f>
        <v>0</v>
      </c>
      <c r="E3" s="43">
        <f>'数据-基础表'!AZ5</f>
        <v>133.12</v>
      </c>
      <c r="F3" s="2659"/>
      <c r="G3" s="1145"/>
      <c r="H3" s="1026" t="s">
        <v>1106</v>
      </c>
      <c r="I3" s="855" t="e">
        <f>ROUND('数据-基础表'!B3/'数据-基础表'!A3,2)</f>
        <v>#DIV/0!</v>
      </c>
      <c r="J3" s="2659"/>
      <c r="K3" s="2659"/>
      <c r="L3" s="2659"/>
      <c r="M3" s="2659"/>
      <c r="N3" s="2661"/>
      <c r="O3" s="2659"/>
      <c r="P3" s="2659"/>
    </row>
    <row r="4" spans="1:16" ht="15">
      <c r="A4" s="3544"/>
      <c r="B4" s="3545"/>
      <c r="C4" s="354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7" t="s">
        <v>1110</v>
      </c>
      <c r="C5" s="354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7" t="s">
        <v>1111</v>
      </c>
      <c r="C6" s="3547"/>
      <c r="D6" s="45">
        <f>ROUND($D$3*E6/$E$3,2)</f>
        <v>0</v>
      </c>
      <c r="E6" s="46">
        <f>E3-E5</f>
        <v>133.12</v>
      </c>
      <c r="F6" s="2659"/>
      <c r="G6" s="2653" t="s">
        <v>1112</v>
      </c>
      <c r="H6" s="1146" t="s">
        <v>1113</v>
      </c>
      <c r="I6" s="2654" t="e">
        <f>ROUND(F31/D31,2)</f>
        <v>#DIV/0!</v>
      </c>
      <c r="J6" s="2659"/>
      <c r="K6" s="2659"/>
      <c r="L6" s="2659"/>
      <c r="M6" s="2659"/>
      <c r="N6" s="2659"/>
      <c r="O6" s="2659"/>
      <c r="P6" s="2659"/>
    </row>
    <row r="7" spans="1:16" ht="15.75" thickBot="1">
      <c r="A7" s="3539"/>
      <c r="B7" s="3540"/>
      <c r="C7" s="3541"/>
      <c r="D7" s="1641" t="s">
        <v>1107</v>
      </c>
      <c r="E7" s="1645" t="s">
        <v>1114</v>
      </c>
      <c r="F7" s="2659"/>
      <c r="G7" s="2655" t="s">
        <v>1115</v>
      </c>
      <c r="H7" s="2656"/>
      <c r="I7" s="2657">
        <v>5.07</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133.12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133.12</v>
      </c>
      <c r="F16" s="2659"/>
      <c r="G16" s="2660"/>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3456</v>
      </c>
      <c r="D19" s="45">
        <f>ROUND($D$3*E19/$E$3,2)</f>
        <v>0</v>
      </c>
      <c r="E19" s="53">
        <f t="shared" ref="E19:E26" si="1">SUM(F19:G19)</f>
        <v>133.12</v>
      </c>
      <c r="F19" s="2795">
        <f>'数据-基础表'!I13+'数据-基础表'!I14+'数据-基础表'!I15</f>
        <v>133.12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133.12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133.12</v>
      </c>
      <c r="F27" s="1140">
        <f>IF(SUM(F19:F26)=E8,SUM(F19:F26),"地上面积有误")</f>
        <v>133.12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133.12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133.12</v>
      </c>
      <c r="F31" s="677">
        <f>F27+F30</f>
        <v>133.12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N22" sqref="AN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62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13层</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37.44</v>
      </c>
      <c r="G6" s="65">
        <f>IF(ISERROR(ROUND(POWER(1+H6,D6-F6)*(POWER(1+H6,F6)-1)/(POWER(1+H6,D6)-1),3)),0,ROUND(POWER(1+H6,D6-F6)*(POWER(1+H6,F6)-1)/(POWER(1+H6,D6)-1),3))</f>
        <v>0.89600000000000002</v>
      </c>
      <c r="H6" s="732">
        <v>0.04</v>
      </c>
      <c r="I6" s="732">
        <v>4.4999999999999998E-2</v>
      </c>
      <c r="J6" s="66">
        <v>5.5E-2</v>
      </c>
      <c r="K6" s="1030">
        <f>SUMIF('数据-汇总表'!C$19:C$33,A6,'数据-汇总表'!E$19:E$33)</f>
        <v>133.12</v>
      </c>
      <c r="L6" s="733">
        <v>4500</v>
      </c>
      <c r="M6" s="67">
        <f t="shared" ref="M6:M14" si="0">ROUND(K6*L6/10000,0)</f>
        <v>60</v>
      </c>
      <c r="N6" s="731">
        <f>M19</f>
        <v>0.87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11000</v>
      </c>
      <c r="V6" s="70">
        <v>2.5000000000000001E-2</v>
      </c>
      <c r="W6" s="70">
        <v>0.1</v>
      </c>
      <c r="X6" s="1040"/>
      <c r="Y6" s="71">
        <f>N6</f>
        <v>0.87</v>
      </c>
      <c r="Z6" s="72"/>
      <c r="AA6" s="66"/>
      <c r="AB6" s="66"/>
      <c r="AC6" s="1040"/>
      <c r="AD6" s="73"/>
      <c r="AE6" s="1041">
        <f ca="1">IF(AN6="",0,SUMIF(INDIRECT("'"&amp;AN6&amp;"'"&amp;"!E:E"),$AE$5,INDIRECT("'"&amp;AN6&amp;"'"&amp;"!F:F")))</f>
        <v>37.44</v>
      </c>
      <c r="AF6" s="1348"/>
      <c r="AG6" s="138">
        <f>IF(AF6="",0,AE6-AF6)</f>
        <v>0</v>
      </c>
      <c r="AH6" s="74">
        <v>1</v>
      </c>
      <c r="AI6" s="76">
        <v>12</v>
      </c>
      <c r="AJ6" s="77"/>
      <c r="AK6" s="78">
        <v>1.4999999999999999E-2</v>
      </c>
      <c r="AL6" s="79">
        <v>1.5E-3</v>
      </c>
      <c r="AM6" s="80">
        <v>0.01</v>
      </c>
      <c r="AN6" s="1715" t="s">
        <v>3394</v>
      </c>
      <c r="AO6" s="52">
        <f ca="1">SUMIF(INDIRECT("'"&amp;AN6&amp;"'"&amp;"!A:A"),"总价",INDIRECT("'"&amp;AN6&amp;"'"&amp;"!B:B"))</f>
        <v>249.7647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0.04</v>
      </c>
      <c r="I16" s="91"/>
      <c r="J16" s="91"/>
      <c r="K16" s="92">
        <f>SUM(K6:K15)</f>
        <v>133.12</v>
      </c>
      <c r="L16" s="93">
        <f>ROUND(M16*10000/SUM(K6:K14),0)</f>
        <v>4507</v>
      </c>
      <c r="M16" s="93">
        <f>SUM(M6:M14)</f>
        <v>60</v>
      </c>
      <c r="N16" s="94">
        <f>ROUND(SUMPRODUCT(M6:M14,N6:N14)/M16,3)</f>
        <v>0.87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v>2015</v>
      </c>
      <c r="N18" s="2671"/>
      <c r="O18" s="2671"/>
      <c r="P18" s="2671"/>
      <c r="Q18" s="2671"/>
      <c r="R18" s="2671"/>
      <c r="S18" s="2671"/>
      <c r="T18" s="2671"/>
      <c r="U18" s="2671"/>
      <c r="V18" s="2671"/>
      <c r="W18" s="2671"/>
      <c r="X18" s="2671"/>
      <c r="Y18" s="2671"/>
      <c r="Z18" s="2671">
        <v>11000</v>
      </c>
      <c r="AA18" s="2671">
        <f>Z18*12</f>
        <v>132000</v>
      </c>
      <c r="AB18" s="2671"/>
      <c r="AC18" s="2671"/>
      <c r="AD18" s="2671"/>
      <c r="AE18" s="3457"/>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f>ROUND(1-(2023-M18)/60,2)</f>
        <v>0.87</v>
      </c>
      <c r="N19" s="2671"/>
      <c r="O19" s="2671"/>
      <c r="P19" s="2671"/>
      <c r="Q19" s="2671"/>
      <c r="R19" s="2671"/>
      <c r="S19" s="2671"/>
      <c r="T19" s="2671"/>
      <c r="U19" s="2671"/>
      <c r="V19" s="2671"/>
      <c r="W19" s="2671"/>
      <c r="X19" s="2671"/>
      <c r="Y19" s="2671"/>
      <c r="Z19" s="2671">
        <f>ROUND(1-(2025-M18)/60,2)</f>
        <v>0.83</v>
      </c>
      <c r="AA19" s="2671"/>
      <c r="AB19" s="2671"/>
      <c r="AC19" s="2671"/>
      <c r="AD19" s="2671"/>
      <c r="AE19" s="3457"/>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26624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4.7500000000000001E-2</v>
      </c>
      <c r="C40" s="2814">
        <v>1.2E-2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8" t="s">
        <v>2286</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B1"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133.12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45141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656.72090000000003</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133.12</v>
      </c>
      <c r="C14" s="2518"/>
      <c r="D14" s="2518">
        <f ca="1">ROUND(E14*B14/10000,4)</f>
        <v>656.72090000000003</v>
      </c>
      <c r="E14" s="2518">
        <f ca="1">结果表!G20</f>
        <v>49333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2" zoomScaleNormal="100" zoomScaleSheetLayoutView="100" zoomScalePageLayoutView="80" workbookViewId="0">
      <selection activeCell="J23" sqref="J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3394</v>
      </c>
      <c r="D4" s="1756" t="s">
        <v>3445</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4" t="s">
        <v>1268</v>
      </c>
      <c r="B5" s="3551">
        <v>25</v>
      </c>
      <c r="C5" s="3567"/>
      <c r="D5" s="3587"/>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v>2</v>
      </c>
      <c r="D14" s="3587">
        <f>10-C14</f>
        <v>8</v>
      </c>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74" t="s">
        <v>2131</v>
      </c>
      <c r="F18" s="3575"/>
      <c r="G18" s="3575"/>
      <c r="H18" s="3575"/>
      <c r="I18" s="3575"/>
      <c r="K18" s="302" t="s">
        <v>1289</v>
      </c>
      <c r="L18" s="302">
        <f>IF(C1="",'数据-汇总表'!E3,SUMIF(项目类型,C1,'数据-汇总表'!E17:E26)+SUMIF(项目类型,C1,'数据-汇总表'!I17:I26))</f>
        <v>133.12</v>
      </c>
      <c r="M18" s="302">
        <f>IF(C1="",'数据-汇总表'!E3,SUMIF(项目类型,C1,'数据-汇总表'!E17:E26))</f>
        <v>133.12</v>
      </c>
    </row>
    <row r="19" spans="1:36" ht="15">
      <c r="A19" s="1761" t="s">
        <v>1290</v>
      </c>
      <c r="B19" s="1762" t="s">
        <v>1291</v>
      </c>
      <c r="C19" s="134">
        <f ca="1">SUMIF(INDIRECT("'"&amp;C4&amp;"'"&amp;"!A:A"),结果表!B19,INDIRECT("'"&amp;C4&amp;"'"&amp;"!B:B"))</f>
        <v>249.7647</v>
      </c>
      <c r="D19" s="135">
        <f ca="1">SUMIF(INDIRECT("'"&amp;D4&amp;"'"&amp;"!A:A"),结果表!B19,INDIRECT("'"&amp;D4&amp;"'"&amp;"!B:B"))</f>
        <v>758.46450000000004</v>
      </c>
      <c r="E19" s="1761" t="s">
        <v>1292</v>
      </c>
      <c r="F19" s="1762" t="s">
        <v>1291</v>
      </c>
      <c r="G19" s="136">
        <f ca="1">ROUND(C19*$C$18+D19*$D$18,0)</f>
        <v>657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18762</v>
      </c>
      <c r="D20" s="138">
        <f ca="1">SUMIF(INDIRECT("'"&amp;D4&amp;"'"&amp;"!A:A"),结果表!B20,INDIRECT("'"&amp;D4&amp;"'"&amp;"!B:B"))</f>
        <v>56976</v>
      </c>
      <c r="E20" s="1764"/>
      <c r="F20" s="1026" t="s">
        <v>1295</v>
      </c>
      <c r="G20" s="139">
        <f ca="1">ROUND(C20*$C$18+D20*$D$18,0)</f>
        <v>49333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2.0367161572472012</v>
      </c>
      <c r="E22" s="129"/>
      <c r="F22" s="129"/>
      <c r="G22" s="129"/>
      <c r="H22" s="129"/>
      <c r="I22" s="129"/>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49333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t="e">
        <f ca="1">ROUND(H101*F45,0)</f>
        <v>#REF!</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6"/>
      <c r="I46" s="159"/>
      <c r="J46" s="2523">
        <v>1</v>
      </c>
      <c r="K46" s="3614" t="s">
        <v>1331</v>
      </c>
      <c r="L46" s="3614"/>
      <c r="M46" s="3634"/>
      <c r="N46" s="3634"/>
      <c r="O46" s="3634"/>
    </row>
    <row r="47" spans="1:15" ht="12" customHeight="1">
      <c r="A47" s="160" t="s">
        <v>1332</v>
      </c>
      <c r="B47" s="161"/>
      <c r="C47" s="162"/>
      <c r="D47" s="1087" t="s">
        <v>1333</v>
      </c>
      <c r="E47" s="302" t="s">
        <v>1334</v>
      </c>
      <c r="F47" s="163" t="s">
        <v>1335</v>
      </c>
      <c r="G47" s="2546" t="s">
        <v>1336</v>
      </c>
      <c r="H47" s="2547"/>
      <c r="I47" s="159"/>
      <c r="J47" s="2523">
        <v>2</v>
      </c>
      <c r="K47" s="3614" t="s">
        <v>1337</v>
      </c>
      <c r="L47" s="3614"/>
      <c r="M47" s="3635">
        <f>'数据-取费表'!B2</f>
        <v>45141</v>
      </c>
      <c r="N47" s="3635"/>
      <c r="O47" s="3635"/>
    </row>
    <row r="48" spans="1:15" ht="25.5">
      <c r="A48" s="3583" t="s">
        <v>1338</v>
      </c>
      <c r="B48" s="3566"/>
      <c r="C48" s="356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4" t="s">
        <v>1340</v>
      </c>
      <c r="L48" s="3614"/>
      <c r="M48" s="3636" t="e">
        <f ca="1">H101</f>
        <v>#REF!</v>
      </c>
      <c r="N48" s="3636"/>
      <c r="O48" s="3636"/>
    </row>
    <row r="49" spans="1:35" ht="25.5" customHeight="1">
      <c r="A49" s="2333" t="s">
        <v>1341</v>
      </c>
      <c r="B49" s="3550" t="s">
        <v>1342</v>
      </c>
      <c r="C49" s="3550"/>
      <c r="D49" s="1590">
        <v>0</v>
      </c>
      <c r="E49" s="324" t="s">
        <v>1343</v>
      </c>
      <c r="F49" s="2424" t="s">
        <v>28</v>
      </c>
      <c r="G49" s="3620"/>
      <c r="H49" s="2310" t="s">
        <v>2134</v>
      </c>
      <c r="I49" s="2311"/>
      <c r="J49" s="2523">
        <v>4</v>
      </c>
      <c r="K49" s="3614" t="str">
        <f>IF(项目基本情况!E8="房地产抵押价值","房地产抵押价值","抵押担保权已注销时的房地产抵押价值")</f>
        <v>抵押担保权已注销时的房地产抵押价值</v>
      </c>
      <c r="L49" s="3614"/>
      <c r="M49" s="3636" t="str">
        <f>IF(项目基本情况!E8="房地产抵押价值",H107,H109)</f>
        <v>——</v>
      </c>
      <c r="N49" s="3636"/>
      <c r="O49" s="3636"/>
    </row>
    <row r="50" spans="1:35" ht="25.5" customHeight="1">
      <c r="A50" s="2551"/>
      <c r="B50" s="3550" t="s">
        <v>1344</v>
      </c>
      <c r="C50" s="3550"/>
      <c r="D50" s="2552"/>
      <c r="E50" s="332"/>
      <c r="F50" s="2424"/>
      <c r="G50" s="3621"/>
      <c r="H50" s="2312" t="s">
        <v>2135</v>
      </c>
      <c r="I50" s="2311"/>
      <c r="J50" s="3633" t="s">
        <v>1345</v>
      </c>
      <c r="K50" s="3633"/>
      <c r="L50" s="3633"/>
      <c r="M50" s="3633"/>
      <c r="N50" s="3633"/>
      <c r="O50" s="3633"/>
    </row>
    <row r="51" spans="1:35" ht="20.45" customHeight="1">
      <c r="A51" s="2553"/>
      <c r="B51" s="3550" t="s">
        <v>1346</v>
      </c>
      <c r="C51" s="3550"/>
      <c r="D51" s="1087"/>
      <c r="E51" s="327"/>
      <c r="F51" s="2424"/>
      <c r="G51" s="3622"/>
      <c r="H51" s="2312" t="s">
        <v>2136</v>
      </c>
      <c r="I51" s="2311"/>
      <c r="J51" s="2524" t="s">
        <v>1347</v>
      </c>
      <c r="K51" s="3614" t="s">
        <v>1348</v>
      </c>
      <c r="L51" s="3614"/>
      <c r="M51" s="2524" t="s">
        <v>1349</v>
      </c>
      <c r="N51" s="2524" t="s">
        <v>1350</v>
      </c>
      <c r="O51" s="2524" t="s">
        <v>1351</v>
      </c>
    </row>
    <row r="52" spans="1:35" ht="24" customHeight="1">
      <c r="A52" s="2335" t="s">
        <v>1352</v>
      </c>
      <c r="B52" s="3550" t="s">
        <v>1353</v>
      </c>
      <c r="C52" s="3550"/>
      <c r="D52" s="1087" t="e">
        <f ca="1">ROUND(D45*'数据-取费表'!B41/(1+'数据-取费表'!C42),0)</f>
        <v>#REF!</v>
      </c>
      <c r="E52" s="2334" t="s">
        <v>1354</v>
      </c>
      <c r="F52" s="2554">
        <f>'数据-取费表'!B41</f>
        <v>5.6000000000000001E-2</v>
      </c>
      <c r="G52" s="2555"/>
      <c r="H52" s="2544"/>
      <c r="I52" s="1807"/>
      <c r="J52" s="2523">
        <v>1</v>
      </c>
      <c r="K52" s="3615" t="s">
        <v>1355</v>
      </c>
      <c r="L52" s="3615"/>
      <c r="M52" s="2525" t="b">
        <f>D48</f>
        <v>0</v>
      </c>
      <c r="N52" s="2523" t="str">
        <f>E48</f>
        <v>销售额×税（费）率</v>
      </c>
      <c r="O52" s="2526">
        <f>F48</f>
        <v>5.6000000000000001E-2</v>
      </c>
    </row>
    <row r="53" spans="1:35" ht="12" customHeight="1">
      <c r="A53" s="2335" t="s">
        <v>1356</v>
      </c>
      <c r="B53" s="3576" t="s">
        <v>2291</v>
      </c>
      <c r="C53" s="3577"/>
      <c r="D53" s="1087" t="e">
        <f ca="1">ROUND(D45*'数据-取费表'!B41/(1+'数据-取费表'!C42),0)</f>
        <v>#REF!</v>
      </c>
      <c r="E53" s="2334" t="s">
        <v>1354</v>
      </c>
      <c r="F53" s="2554">
        <f>'数据-取费表'!B41</f>
        <v>5.6000000000000001E-2</v>
      </c>
      <c r="G53" s="2555"/>
      <c r="H53" s="2544"/>
      <c r="I53" s="1807"/>
      <c r="J53" s="2523">
        <v>2</v>
      </c>
      <c r="K53" s="3615" t="s">
        <v>1357</v>
      </c>
      <c r="L53" s="3615"/>
      <c r="M53" s="2525" t="e">
        <f t="shared" ref="M53:O54" ca="1" si="0">D55</f>
        <v>#REF!</v>
      </c>
      <c r="N53" s="2523" t="str">
        <f t="shared" si="0"/>
        <v>销售额×税（费）率</v>
      </c>
      <c r="O53" s="2526" t="str">
        <f t="shared" si="0"/>
        <v>免征</v>
      </c>
    </row>
    <row r="54" spans="1:35" ht="12" customHeight="1">
      <c r="A54" s="2335" t="s">
        <v>1358</v>
      </c>
      <c r="B54" s="3576" t="s">
        <v>2292</v>
      </c>
      <c r="C54" s="3577"/>
      <c r="D54" s="1087" t="e">
        <f ca="1">C68</f>
        <v>#REF!</v>
      </c>
      <c r="E54" s="327" t="s">
        <v>1359</v>
      </c>
      <c r="F54" s="2554">
        <f>'数据-取费表'!B41</f>
        <v>5.6000000000000001E-2</v>
      </c>
      <c r="G54" s="2555"/>
      <c r="H54" s="2556"/>
      <c r="I54" s="1807"/>
      <c r="J54" s="2523">
        <v>3</v>
      </c>
      <c r="K54" s="3615" t="s">
        <v>1360</v>
      </c>
      <c r="L54" s="3615"/>
      <c r="M54" s="2525" t="e">
        <f t="shared" ca="1" si="0"/>
        <v>#REF!</v>
      </c>
      <c r="N54" s="2523" t="str">
        <f t="shared" si="0"/>
        <v>增值额×税（费）率</v>
      </c>
      <c r="O54" s="2527" t="str">
        <f t="shared" si="0"/>
        <v>免征</v>
      </c>
    </row>
    <row r="55" spans="1:35" ht="24" customHeight="1">
      <c r="A55" s="3565" t="s">
        <v>1361</v>
      </c>
      <c r="B55" s="3566"/>
      <c r="C55" s="3566"/>
      <c r="D55" s="2324" t="e">
        <f ca="1">IF(H55="个人住宅",0,ROUND(D45*I55,0))</f>
        <v>#REF!</v>
      </c>
      <c r="E55" s="2334" t="s">
        <v>1362</v>
      </c>
      <c r="F55" s="2554" t="str">
        <f>IF(H55="正常",I55,"免征")</f>
        <v>免征</v>
      </c>
      <c r="G55" s="2555"/>
      <c r="H55" s="2550"/>
      <c r="I55" s="165">
        <f>'数据-取费表'!B49</f>
        <v>5.0000000000000001E-4</v>
      </c>
      <c r="J55" s="2523">
        <f>IF(H59="非个人房产","",4)</f>
        <v>4</v>
      </c>
      <c r="K55" s="3615" t="str">
        <f>IF(H59="非个人房产","——","个人所得税")</f>
        <v>个人所得税</v>
      </c>
      <c r="L55" s="3615"/>
      <c r="M55" s="2528" t="e">
        <f ca="1">D59</f>
        <v>#REF!</v>
      </c>
      <c r="N55" s="2040" t="str">
        <f>E59</f>
        <v>差额计税</v>
      </c>
      <c r="O55" s="2529">
        <f>F59</f>
        <v>0.01</v>
      </c>
    </row>
    <row r="56" spans="1:35" ht="24.75">
      <c r="A56" s="3565" t="s">
        <v>1363</v>
      </c>
      <c r="B56" s="3566"/>
      <c r="C56" s="3566"/>
      <c r="D56" s="2324" t="e">
        <f ca="1">IF(H56="个人住宅",D57,D58)</f>
        <v>#REF!</v>
      </c>
      <c r="E56" s="2334" t="s">
        <v>1364</v>
      </c>
      <c r="F56" s="2554" t="str">
        <f>IF(H56="正常",F58,"免征")</f>
        <v>免征</v>
      </c>
      <c r="G56" s="2557" t="s">
        <v>1365</v>
      </c>
      <c r="H56" s="2558"/>
      <c r="I56" s="1808"/>
      <c r="J56" s="2523" t="str">
        <f>IF(项目基本情况!K6="上海银行",IF(J55="",4,J55+1),"")</f>
        <v/>
      </c>
      <c r="K56" s="3638" t="str">
        <f>IF(项目基本情况!K6="上海银行","其他处置费用","")</f>
        <v/>
      </c>
      <c r="L56" s="3639"/>
      <c r="M56" s="2525" t="str">
        <f>IF(项目基本情况!K6="上海银行",M69,"")</f>
        <v/>
      </c>
      <c r="N56" s="3638" t="str">
        <f>IF(项目基本情况!K6="上海银行","包含处置中涉及的律师、诉讼、拍卖、评估等费用","")</f>
        <v/>
      </c>
      <c r="O56" s="3641"/>
    </row>
    <row r="57" spans="1:35" ht="12.75">
      <c r="A57" s="2335" t="s">
        <v>1341</v>
      </c>
      <c r="B57" s="3576" t="s">
        <v>1366</v>
      </c>
      <c r="C57" s="3577"/>
      <c r="D57" s="1590">
        <v>0</v>
      </c>
      <c r="E57" s="324" t="s">
        <v>1343</v>
      </c>
      <c r="F57" s="302"/>
      <c r="G57" s="2555"/>
      <c r="H57" s="2559"/>
      <c r="I57" s="1808"/>
      <c r="J57" s="3615">
        <f>IF(AND(J55="",J56=""),4,IF(项目基本情况!K6="上海银行",结果表!J56+1,结果表!J55+1))</f>
        <v>5</v>
      </c>
      <c r="K57" s="3615" t="s">
        <v>1367</v>
      </c>
      <c r="L57" s="2530" t="s">
        <v>1368</v>
      </c>
      <c r="M57" s="2531"/>
      <c r="N57" s="2532">
        <f ca="1">SUMIF(M52:M56,"&lt;9e307")</f>
        <v>0</v>
      </c>
      <c r="O57" s="2533"/>
      <c r="P57" s="2690" t="e">
        <f ca="1">N57/M49</f>
        <v>#VALUE!</v>
      </c>
    </row>
    <row r="58" spans="1:35" ht="24.75">
      <c r="A58" s="2335" t="s">
        <v>1352</v>
      </c>
      <c r="B58" s="3576" t="s">
        <v>1369</v>
      </c>
      <c r="C58" s="3550"/>
      <c r="D58" s="2324" t="e">
        <f ca="1">IF(H58="转让取得",C81,C97)</f>
        <v>#REF!</v>
      </c>
      <c r="E58" s="2334" t="s">
        <v>1364</v>
      </c>
      <c r="F58" s="302" t="s">
        <v>28</v>
      </c>
      <c r="G58" s="2555"/>
      <c r="H58" s="2558"/>
      <c r="I58" s="1808"/>
      <c r="J58" s="3615"/>
      <c r="K58" s="3615"/>
      <c r="L58" s="2530" t="s">
        <v>1370</v>
      </c>
      <c r="M58" s="2534"/>
      <c r="N58" s="2535" t="str">
        <f ca="1">NUMBERSTRING(INT(N57*10000),2)&amp;"元整"</f>
        <v>零元整</v>
      </c>
      <c r="O58" s="2536"/>
    </row>
    <row r="59" spans="1:35" ht="24.75" thickBot="1">
      <c r="A59" s="3618" t="s">
        <v>1371</v>
      </c>
      <c r="B59" s="3619"/>
      <c r="C59" s="361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6">
        <f>J57+1</f>
        <v>6</v>
      </c>
      <c r="K59" s="3615" t="s">
        <v>1372</v>
      </c>
      <c r="L59" s="2523" t="s">
        <v>1368</v>
      </c>
      <c r="M59" s="2537"/>
      <c r="N59" s="2538" t="e">
        <f ca="1">M49-N57</f>
        <v>#VALUE!</v>
      </c>
      <c r="O59" s="2539"/>
    </row>
    <row r="60" spans="1:35" ht="12" customHeight="1">
      <c r="A60" s="1809"/>
      <c r="B60" s="1747"/>
      <c r="C60" s="1747"/>
      <c r="D60" s="1747"/>
      <c r="E60" s="1578"/>
      <c r="F60" s="1808"/>
      <c r="G60" s="1808"/>
      <c r="H60" s="1810"/>
      <c r="I60" s="129"/>
      <c r="J60" s="3617"/>
      <c r="K60" s="3615"/>
      <c r="L60" s="2530" t="s">
        <v>1370</v>
      </c>
      <c r="M60" s="2534"/>
      <c r="N60" s="2535" t="e">
        <f ca="1">NUMBERSTRING(INT(N59*10000),2)&amp;"元整"</f>
        <v>#VALUE!</v>
      </c>
      <c r="O60" s="2536"/>
    </row>
    <row r="61" spans="1:35" ht="13.5" thickBot="1">
      <c r="A61" s="3563" t="s">
        <v>1373</v>
      </c>
      <c r="B61" s="3563"/>
      <c r="C61" s="3563"/>
      <c r="D61" s="3563"/>
      <c r="E61" s="3563"/>
      <c r="F61" s="1808"/>
      <c r="G61" s="1808"/>
      <c r="H61" s="1810"/>
      <c r="I61" s="129"/>
      <c r="J61" s="2523">
        <f>J59+1</f>
        <v>7</v>
      </c>
      <c r="K61" s="3615" t="s">
        <v>1374</v>
      </c>
      <c r="L61" s="3615"/>
      <c r="M61" s="2540"/>
      <c r="N61" s="2541" t="e">
        <f ca="1">ROUND(N59*10000/'数据-汇总表'!E3,0)</f>
        <v>#VALUE!</v>
      </c>
      <c r="O61" s="2542"/>
    </row>
    <row r="62" spans="1:35" ht="12.75">
      <c r="A62" s="3581" t="s">
        <v>1375</v>
      </c>
      <c r="B62" s="3582"/>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1375</v>
      </c>
      <c r="B71" s="358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2" t="s">
        <v>2129</v>
      </c>
      <c r="H90" s="364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0" t="s">
        <v>1422</v>
      </c>
      <c r="F92" s="3561"/>
      <c r="G92" s="3561"/>
      <c r="H92" s="357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5" t="str">
        <f>C4</f>
        <v>收益法 (元)</v>
      </c>
      <c r="D101" s="2586" t="str">
        <f>D4</f>
        <v>比较法-办公</v>
      </c>
      <c r="E101" s="3637" t="s">
        <v>1431</v>
      </c>
      <c r="F101" s="3594"/>
      <c r="G101" s="1827" t="s">
        <v>1432</v>
      </c>
      <c r="H101" s="2595" t="e">
        <f ca="1">H118</f>
        <v>#REF!</v>
      </c>
      <c r="I101" s="129"/>
    </row>
    <row r="102" spans="1:35" ht="18.75" customHeight="1">
      <c r="A102" s="3596" t="s">
        <v>1433</v>
      </c>
      <c r="B102" s="2584" t="s">
        <v>1432</v>
      </c>
      <c r="C102" s="2585">
        <f ca="1">IF(D32="楼面单价",ROUND(C19,0),C19)</f>
        <v>249.7647</v>
      </c>
      <c r="D102" s="2586">
        <f ca="1">IF(D32="楼面单价",ROUND(D19,0),D19)</f>
        <v>758.46450000000004</v>
      </c>
      <c r="E102" s="3637"/>
      <c r="F102" s="3594"/>
      <c r="G102" s="1827" t="s">
        <v>1434</v>
      </c>
      <c r="H102" s="2555" t="e">
        <f ca="1">I118</f>
        <v>#REF!</v>
      </c>
      <c r="I102" s="129"/>
    </row>
    <row r="103" spans="1:35" ht="42.75" customHeight="1">
      <c r="A103" s="3596"/>
      <c r="B103" s="2584" t="s">
        <v>1434</v>
      </c>
      <c r="C103" s="2587">
        <f ca="1">C20</f>
        <v>18762</v>
      </c>
      <c r="D103" s="2588">
        <f ca="1">D20</f>
        <v>56976</v>
      </c>
      <c r="E103" s="3631" t="s">
        <v>1435</v>
      </c>
      <c r="F103" s="3632"/>
      <c r="G103" s="1828" t="s">
        <v>1436</v>
      </c>
      <c r="H103" s="2595">
        <f>IF(D36="正常操作",H104+H105+H106,H105+H106)</f>
        <v>0</v>
      </c>
      <c r="I103" s="129"/>
    </row>
    <row r="104" spans="1:35" ht="18.75" customHeight="1">
      <c r="A104" s="359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3" t="str">
        <f>IF(项目基本情况!E8="已注销","——","3.房地产抵押价值")</f>
        <v>3.房地产抵押价值</v>
      </c>
      <c r="F107" s="3594"/>
      <c r="G107" s="1827" t="s">
        <v>1432</v>
      </c>
      <c r="H107" s="2595" t="e">
        <f ca="1">IF(E107="——","——",H101-H103)</f>
        <v>#REF!</v>
      </c>
      <c r="I107" s="129"/>
    </row>
    <row r="108" spans="1:35" ht="18.75" customHeight="1">
      <c r="A108" s="129"/>
      <c r="B108" s="129"/>
      <c r="C108" s="129"/>
      <c r="D108" s="129"/>
      <c r="E108" s="3593"/>
      <c r="F108" s="3594"/>
      <c r="G108" s="1827" t="s">
        <v>1434</v>
      </c>
      <c r="H108" s="2555">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8" t="str">
        <f>IF(E109="——","——",H101-H105-H106)</f>
        <v>——</v>
      </c>
      <c r="I109" s="129"/>
    </row>
    <row r="110" spans="1:35" ht="18.75" customHeight="1">
      <c r="A110" s="129"/>
      <c r="B110" s="129"/>
      <c r="C110" s="129"/>
      <c r="D110" s="129"/>
      <c r="E110" s="3593"/>
      <c r="F110" s="3594"/>
      <c r="G110" s="1827" t="s">
        <v>1434</v>
      </c>
      <c r="H110" s="2555"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5" t="str">
        <f>IF(E111="——","——",N59)</f>
        <v>——</v>
      </c>
      <c r="I111" s="129"/>
    </row>
    <row r="112" spans="1:35" ht="18.75" customHeight="1" thickBot="1">
      <c r="A112" s="129"/>
      <c r="B112" s="129"/>
      <c r="C112" s="129"/>
      <c r="D112" s="129"/>
      <c r="E112" s="3626"/>
      <c r="F112" s="3627"/>
      <c r="G112" s="1830" t="s">
        <v>1434</v>
      </c>
      <c r="H112" s="2599"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133.12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28" t="str">
        <f>IF(项目基本情况!B9="房地产市场价值","",MID(E103,3,LEN(E103)-2))</f>
        <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
      </c>
      <c r="B122" s="3595"/>
      <c r="C122" s="3595"/>
      <c r="D122" s="3628" t="e">
        <f ca="1">H107</f>
        <v>#REF!</v>
      </c>
      <c r="E122" s="3629"/>
      <c r="F122" s="3629"/>
      <c r="G122" s="3629"/>
      <c r="H122" s="3629"/>
      <c r="I122" s="3630"/>
      <c r="AA122" s="725"/>
    </row>
    <row r="123" spans="1:27" ht="18.75" customHeight="1">
      <c r="A123" s="3564" t="s">
        <v>1452</v>
      </c>
      <c r="B123" s="3564"/>
      <c r="C123" s="3564"/>
      <c r="D123" s="3604" t="e">
        <f ca="1">NUMBERSTRING(INT(D122*10000),2)&amp;"元整"</f>
        <v>#REF!</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38275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2875225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26624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26624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133.12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133.12</v>
      </c>
      <c r="E19" s="211">
        <f>'数据-取费表'!B31</f>
        <v>200</v>
      </c>
      <c r="F19" s="231"/>
      <c r="G19" s="1856"/>
    </row>
    <row r="20" spans="1:7" s="214" customFormat="1" ht="13.5" customHeight="1">
      <c r="A20" s="255" t="s">
        <v>1493</v>
      </c>
      <c r="B20" s="210" t="s">
        <v>1494</v>
      </c>
      <c r="C20" s="232">
        <f ca="1">ROUND((C5+C19)*F20,0)</f>
        <v>533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2614</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2589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25</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5432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5432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38197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133.12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1E-3</v>
      </c>
      <c r="D44" s="238"/>
      <c r="E44" s="238"/>
      <c r="F44" s="239"/>
      <c r="G44" s="3646"/>
    </row>
    <row r="45" spans="1:7" s="214" customFormat="1" ht="13.5" customHeight="1">
      <c r="A45" s="255" t="s">
        <v>1547</v>
      </c>
      <c r="B45" s="244" t="s">
        <v>1513</v>
      </c>
      <c r="C45" s="245">
        <f ca="1">C46</f>
        <v>13</v>
      </c>
      <c r="D45" s="235">
        <f ca="1">C47</f>
        <v>4.0000000000000001E-3</v>
      </c>
      <c r="E45" s="236" t="s">
        <v>1539</v>
      </c>
      <c r="F45" s="246">
        <f ca="1">F27</f>
        <v>0.2</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90</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78</v>
      </c>
      <c r="D51" s="232"/>
      <c r="E51" s="232"/>
      <c r="F51" s="264"/>
      <c r="G51" s="234" t="s">
        <v>1560</v>
      </c>
    </row>
    <row r="52" spans="1:7" s="208" customFormat="1" ht="16.5" thickBot="1">
      <c r="A52" s="265" t="s">
        <v>1561</v>
      </c>
      <c r="B52" s="266"/>
      <c r="C52" s="267">
        <f ca="1">C31+C51</f>
        <v>38275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北京市房地产市场价值预评估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31666</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-26621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133.12</v>
      </c>
      <c r="E20" s="21">
        <f>'数据-取费表'!B28</f>
        <v>200</v>
      </c>
      <c r="F20" s="804"/>
      <c r="G20" s="12"/>
      <c r="H20" s="809"/>
      <c r="I20" s="809"/>
      <c r="J20" s="809"/>
      <c r="K20" s="810"/>
    </row>
    <row r="21" spans="1:33" s="803" customFormat="1" ht="13.5" customHeight="1">
      <c r="A21" s="790" t="s">
        <v>357</v>
      </c>
      <c r="B21" s="813" t="s">
        <v>1628</v>
      </c>
      <c r="C21" s="814">
        <f ca="1">C16+C17+C18</f>
        <v>-26621</v>
      </c>
      <c r="D21" s="815"/>
      <c r="E21" s="281"/>
      <c r="F21" s="281"/>
      <c r="G21" s="131" t="s">
        <v>1629</v>
      </c>
      <c r="H21" s="807"/>
      <c r="I21" s="807"/>
      <c r="J21" s="807"/>
      <c r="K21" s="808"/>
    </row>
    <row r="22" spans="1:33" s="803" customFormat="1" ht="13.5" customHeight="1">
      <c r="A22" s="790" t="s">
        <v>1601</v>
      </c>
      <c r="B22" s="813" t="s">
        <v>1630</v>
      </c>
      <c r="C22" s="814">
        <f ca="1">ROUND(C21*F22,0)</f>
        <v>-532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-5431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-5431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31666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2109</v>
      </c>
      <c r="E6" s="302" t="s">
        <v>696</v>
      </c>
      <c r="F6" s="303">
        <f ca="1">INDIRECT("'数据-取费表'!u"&amp;$G$1)</f>
        <v>0</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80" zoomScaleNormal="70" zoomScaleSheetLayoutView="80" workbookViewId="0">
      <selection activeCell="D8" sqref="D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3455</v>
      </c>
      <c r="D1" s="1362" t="s">
        <v>43</v>
      </c>
      <c r="E1" s="1363" t="s">
        <v>678</v>
      </c>
      <c r="F1" s="1062">
        <f ca="1">J53</f>
        <v>37.44</v>
      </c>
      <c r="G1" s="1378">
        <f>MATCH(C1,'数据-取费表'!A6:A16,0)+5</f>
        <v>6</v>
      </c>
      <c r="H1" s="2692"/>
      <c r="I1" s="2693"/>
      <c r="J1" s="2693"/>
      <c r="K1" s="3459"/>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249.7647</v>
      </c>
      <c r="C2" s="1387" t="s">
        <v>879</v>
      </c>
      <c r="D2" s="1471">
        <f ca="1">C40+J29+L46</f>
        <v>2497647</v>
      </c>
      <c r="E2" s="1388" t="s">
        <v>880</v>
      </c>
      <c r="F2" s="1389"/>
      <c r="G2" s="2706"/>
      <c r="H2" s="2695"/>
      <c r="I2" s="2695"/>
      <c r="J2" s="2695"/>
      <c r="K2" s="2696"/>
      <c r="L2" s="2695"/>
      <c r="M2" s="2695"/>
    </row>
    <row r="3" spans="1:37" ht="18" customHeight="1" thickBot="1">
      <c r="A3" s="1390" t="s">
        <v>881</v>
      </c>
      <c r="B3" s="1391">
        <f ca="1">IF(ISERROR(D2/F43),0,ROUND(D2/F43,0))</f>
        <v>18762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118920</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118800</v>
      </c>
      <c r="D6" s="155" t="s">
        <v>2106</v>
      </c>
      <c r="E6" s="302" t="s">
        <v>696</v>
      </c>
      <c r="F6" s="303">
        <f ca="1">INDIRECT("'数据-取费表'!u"&amp;$G$1)</f>
        <v>11000</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1</v>
      </c>
      <c r="G7" s="1384"/>
      <c r="H7" s="304"/>
      <c r="I7" s="3650"/>
      <c r="J7" s="306"/>
      <c r="K7" s="307"/>
      <c r="L7" s="302" t="s">
        <v>697</v>
      </c>
      <c r="M7" s="303">
        <f ca="1">F7</f>
        <v>1</v>
      </c>
    </row>
    <row r="8" spans="1:37" ht="18" customHeight="1">
      <c r="A8" s="304"/>
      <c r="B8" s="3650"/>
      <c r="C8" s="306"/>
      <c r="D8" s="307"/>
      <c r="E8" s="302" t="s">
        <v>698</v>
      </c>
      <c r="F8" s="303">
        <f ca="1">INDIRECT("'数据-取费表'!ai"&amp;$G$1)</f>
        <v>12</v>
      </c>
      <c r="G8" s="1384"/>
      <c r="H8" s="304"/>
      <c r="I8" s="3650"/>
      <c r="J8" s="306"/>
      <c r="K8" s="307"/>
      <c r="L8" s="302" t="s">
        <v>698</v>
      </c>
      <c r="M8" s="303">
        <f ca="1">INDIRECT("'数据-取费表'!ai"&amp;$G$1)</f>
        <v>12</v>
      </c>
    </row>
    <row r="9" spans="1:37" ht="18" customHeight="1">
      <c r="A9" s="304"/>
      <c r="B9" s="3651"/>
      <c r="C9" s="306"/>
      <c r="D9" s="307"/>
      <c r="E9" s="302" t="s">
        <v>699</v>
      </c>
      <c r="F9" s="312">
        <f ca="1">INDIRECT("'数据-取费表'!w"&amp;$G$1)</f>
        <v>0.1</v>
      </c>
      <c r="G9" s="1384"/>
      <c r="H9" s="304"/>
      <c r="I9" s="3651"/>
      <c r="J9" s="306"/>
      <c r="K9" s="307"/>
      <c r="L9" s="313" t="s">
        <v>699</v>
      </c>
      <c r="M9" s="314">
        <f ca="1">INDIRECT("'数据-取费表'!ab"&amp;$G$1)</f>
        <v>0</v>
      </c>
    </row>
    <row r="10" spans="1:37" ht="18" customHeight="1">
      <c r="A10" s="1069" t="s">
        <v>402</v>
      </c>
      <c r="B10" s="1365" t="s">
        <v>700</v>
      </c>
      <c r="C10" s="316">
        <f ca="1">ROUND(8000*F11,0)</f>
        <v>120</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t="s">
        <v>3395</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783847</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599040</v>
      </c>
      <c r="D14" s="1345" t="s">
        <v>708</v>
      </c>
      <c r="E14" s="1342"/>
      <c r="F14" s="319"/>
      <c r="G14" s="1384"/>
      <c r="H14" s="982" t="s">
        <v>398</v>
      </c>
      <c r="I14" s="302" t="s">
        <v>709</v>
      </c>
      <c r="J14" s="21">
        <f ca="1">C29</f>
        <v>900973</v>
      </c>
      <c r="K14" s="12"/>
      <c r="L14" s="807"/>
      <c r="M14" s="808"/>
    </row>
    <row r="15" spans="1:37" s="1397" customFormat="1" ht="18" customHeight="1" thickBot="1">
      <c r="A15" s="982" t="s">
        <v>399</v>
      </c>
      <c r="B15" s="302" t="s">
        <v>710</v>
      </c>
      <c r="C15" s="21">
        <f ca="1">ROUND(C14*F15,0)</f>
        <v>17971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13515</v>
      </c>
      <c r="K16" s="1087" t="s">
        <v>715</v>
      </c>
      <c r="L16" s="1088"/>
      <c r="M16" s="1072"/>
    </row>
    <row r="17" spans="1:37" s="1397" customFormat="1" ht="18" customHeight="1">
      <c r="A17" s="982" t="s">
        <v>681</v>
      </c>
      <c r="B17" s="302" t="s">
        <v>716</v>
      </c>
      <c r="C17" s="21">
        <f ca="1">ROUND(F17*(F43+INDIRECT("'数据-取费表'!S"&amp;$G$1)),0)</f>
        <v>26624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8986</v>
      </c>
      <c r="D18" s="302" t="s">
        <v>711</v>
      </c>
      <c r="E18" s="302" t="s">
        <v>712</v>
      </c>
      <c r="F18" s="322">
        <f>'数据-取费表'!B36</f>
        <v>1.4999999999999999E-2</v>
      </c>
      <c r="G18" s="1396"/>
      <c r="H18" s="982" t="s">
        <v>397</v>
      </c>
      <c r="I18" s="302" t="s">
        <v>723</v>
      </c>
      <c r="J18" s="21" t="str">
        <f>IF(项目基本情况!B11="自然人","——",ROUND(J6*M18/(1+'数据-取费表'!J28),0))</f>
        <v>——</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652621</v>
      </c>
      <c r="D19" s="131" t="s">
        <v>726</v>
      </c>
      <c r="E19" s="1360"/>
      <c r="F19" s="23"/>
      <c r="G19" s="1384"/>
      <c r="H19" s="982" t="s">
        <v>399</v>
      </c>
      <c r="I19" s="302" t="s">
        <v>727</v>
      </c>
      <c r="J19" s="21" t="str">
        <f>IF(项目基本情况!B11="自然人","——",ROUND(J7*M19/(1+'数据-取费表'!J29),0))</f>
        <v>——</v>
      </c>
      <c r="K19" s="1370" t="s">
        <v>3341</v>
      </c>
      <c r="L19" s="302" t="s">
        <v>712</v>
      </c>
      <c r="M19" s="322">
        <f>IF(K19="按租金收入计税",'数据-取费表'!B51,'数据-取费表'!B50)</f>
        <v>0.12</v>
      </c>
    </row>
    <row r="20" spans="1:37" s="1397" customFormat="1" ht="18" customHeight="1">
      <c r="A20" s="982" t="s">
        <v>402</v>
      </c>
      <c r="B20" s="302" t="s">
        <v>728</v>
      </c>
      <c r="C20" s="21">
        <f ca="1">ROUND(C19*F20,0)</f>
        <v>13052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13515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31619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-13515</v>
      </c>
      <c r="K25" s="1095" t="s">
        <v>753</v>
      </c>
      <c r="L25" s="1096"/>
      <c r="M25" s="1097"/>
    </row>
    <row r="26" spans="1:37" ht="18" customHeight="1">
      <c r="A26" s="982" t="s">
        <v>397</v>
      </c>
      <c r="B26" s="302" t="s">
        <v>754</v>
      </c>
      <c r="C26" s="21">
        <f ca="1">ROUND((C19+C20)*F26,0)</f>
        <v>133135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900973</v>
      </c>
      <c r="D29" s="1092"/>
      <c r="E29" s="1090"/>
      <c r="F29" s="1093"/>
      <c r="G29" s="1396"/>
      <c r="H29" s="334" t="s">
        <v>396</v>
      </c>
      <c r="I29" s="335" t="s">
        <v>768</v>
      </c>
      <c r="J29" s="336">
        <f ca="1">ROUND(J26/(1+F40)^F41,0)</f>
        <v>0</v>
      </c>
      <c r="K29" s="337" t="s">
        <v>769</v>
      </c>
      <c r="L29" s="338"/>
      <c r="M29" s="339">
        <f ca="1">INDIRECT("'数据-取费表'!k"&amp;$G$1)</f>
        <v>133.12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23800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7920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I34" s="3460">
        <f ca="1">C40+J29</f>
        <v>2449096</v>
      </c>
      <c r="J34" s="1399"/>
      <c r="K34" s="2702"/>
      <c r="L34" s="2703"/>
      <c r="M34" s="2703"/>
    </row>
    <row r="35" spans="1:18" ht="18" customHeight="1">
      <c r="A35" s="1103"/>
      <c r="B35" s="1101"/>
      <c r="C35" s="26"/>
      <c r="D35" s="327"/>
      <c r="E35" s="302" t="s">
        <v>736</v>
      </c>
      <c r="F35" s="303">
        <f ca="1">INDIRECT("'数据-取费表'!r"&amp;$G$1)</f>
        <v>0</v>
      </c>
      <c r="G35" s="1384"/>
      <c r="H35" s="2697"/>
      <c r="I35" s="3460">
        <f ca="1">I34+L46</f>
        <v>2497647</v>
      </c>
      <c r="J35" s="3458"/>
      <c r="K35" s="2701"/>
      <c r="L35" s="2700"/>
      <c r="M35" s="2700"/>
    </row>
    <row r="36" spans="1:18" ht="18" customHeight="1">
      <c r="A36" s="1102" t="s">
        <v>402</v>
      </c>
      <c r="B36" s="302" t="s">
        <v>738</v>
      </c>
      <c r="C36" s="21">
        <f ca="1">ROUND(C29*F36,0)</f>
        <v>13515</v>
      </c>
      <c r="D36" s="1344" t="s">
        <v>771</v>
      </c>
      <c r="E36" s="302" t="s">
        <v>712</v>
      </c>
      <c r="F36" s="328">
        <f ca="1">INDIRECT("'数据-取费表'!Ak"&amp;$G$1)</f>
        <v>1.4999999999999999E-2</v>
      </c>
      <c r="G36" s="1384"/>
      <c r="H36" s="2700"/>
      <c r="I36" s="1398"/>
      <c r="J36" s="3458"/>
      <c r="K36" s="2544"/>
      <c r="L36" s="2700"/>
      <c r="M36" s="2700"/>
    </row>
    <row r="37" spans="1:18" ht="18" customHeight="1">
      <c r="A37" s="982" t="s">
        <v>437</v>
      </c>
      <c r="B37" s="302" t="s">
        <v>742</v>
      </c>
      <c r="C37" s="21">
        <f ca="1">ROUND(C13*F37,0)</f>
        <v>1176</v>
      </c>
      <c r="D37" s="1344" t="s">
        <v>743</v>
      </c>
      <c r="E37" s="302" t="s">
        <v>744</v>
      </c>
      <c r="F37" s="330">
        <f ca="1">INDIRECT("'数据-取费表'!Al"&amp;$G$1)</f>
        <v>1.5E-3</v>
      </c>
      <c r="G37" s="1384"/>
      <c r="H37" s="2700"/>
      <c r="I37" s="1398"/>
      <c r="J37" s="3458"/>
      <c r="K37" s="2544"/>
      <c r="L37" s="2700"/>
      <c r="M37" s="2700"/>
    </row>
    <row r="38" spans="1:18" ht="18" customHeight="1" thickBot="1">
      <c r="A38" s="1089" t="s">
        <v>684</v>
      </c>
      <c r="B38" s="1090" t="s">
        <v>728</v>
      </c>
      <c r="C38" s="1091">
        <f ca="1">ROUND(C5*F38,0)</f>
        <v>1189</v>
      </c>
      <c r="D38" s="1092" t="s">
        <v>748</v>
      </c>
      <c r="E38" s="1090" t="s">
        <v>744</v>
      </c>
      <c r="F38" s="1086">
        <f ca="1">INDIRECT("'数据-取费表'!Am"&amp;$G$1)</f>
        <v>0.01</v>
      </c>
      <c r="G38" s="1384"/>
      <c r="H38" s="2700"/>
      <c r="I38" s="1398"/>
      <c r="J38" s="3458"/>
      <c r="K38" s="2704"/>
      <c r="L38" s="2700"/>
      <c r="M38" s="2700"/>
    </row>
    <row r="39" spans="1:18" ht="24.6" customHeight="1" thickTop="1">
      <c r="A39" s="1079" t="s">
        <v>394</v>
      </c>
      <c r="B39" s="1094" t="s">
        <v>772</v>
      </c>
      <c r="C39" s="310">
        <f ca="1">C5-C30</f>
        <v>95120</v>
      </c>
      <c r="D39" s="1095" t="s">
        <v>773</v>
      </c>
      <c r="E39" s="1096"/>
      <c r="F39" s="1097"/>
      <c r="G39" s="1384"/>
      <c r="H39" s="2700"/>
      <c r="I39" s="1398"/>
      <c r="J39" s="3458"/>
      <c r="K39" s="2704"/>
      <c r="L39" s="2700"/>
      <c r="M39" s="2700"/>
    </row>
    <row r="40" spans="1:18" ht="18" customHeight="1">
      <c r="A40" s="299" t="s">
        <v>395</v>
      </c>
      <c r="B40" s="300" t="s">
        <v>774</v>
      </c>
      <c r="C40" s="301">
        <f ca="1">ROUND(C39*(1-((1+F42)/(1+F40))^F41)/(F40-F42),0)</f>
        <v>2449096</v>
      </c>
      <c r="D40" s="324" t="s">
        <v>758</v>
      </c>
      <c r="E40" s="302" t="s">
        <v>759</v>
      </c>
      <c r="F40" s="312">
        <f ca="1">INDIRECT("'数据-取费表'!I"&amp;$G$1)</f>
        <v>4.4999999999999998E-2</v>
      </c>
      <c r="G40" s="1384"/>
      <c r="H40" s="1461"/>
      <c r="I40" s="1398"/>
      <c r="J40" s="3458"/>
      <c r="K40" s="2704"/>
      <c r="L40" s="1461"/>
      <c r="M40" s="1461"/>
    </row>
    <row r="41" spans="1:18" ht="18" customHeight="1">
      <c r="A41" s="304"/>
      <c r="B41" s="305"/>
      <c r="C41" s="306"/>
      <c r="D41" s="332" t="s">
        <v>775</v>
      </c>
      <c r="E41" s="302" t="s">
        <v>763</v>
      </c>
      <c r="F41" s="333">
        <f ca="1">IF(INDIRECT("'数据-取费表'!af"&amp;$G$1)=0,INDIRECT("'数据-取费表'!ae"&amp;$G$1),INDIRECT("'数据-取费表'!af"&amp;$G$1))</f>
        <v>37.44</v>
      </c>
      <c r="G41" s="1384"/>
      <c r="H41" s="1191"/>
      <c r="I41" s="1398"/>
      <c r="J41" s="3458"/>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18398</v>
      </c>
      <c r="D43" s="337" t="s">
        <v>777</v>
      </c>
      <c r="E43" s="338" t="s">
        <v>778</v>
      </c>
      <c r="F43" s="339">
        <f ca="1">INDIRECT("'数据-取费表'!k"&amp;$G$1)</f>
        <v>133.12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-271.27390000000003</v>
      </c>
      <c r="D45" s="3432" t="s">
        <v>3358</v>
      </c>
      <c r="E45" s="1400"/>
      <c r="F45" s="1400"/>
      <c r="O45" s="1403" t="s">
        <v>808</v>
      </c>
      <c r="P45" s="1461"/>
      <c r="Q45" s="1461"/>
      <c r="R45" s="1461"/>
    </row>
    <row r="46" spans="1:18" s="1384" customFormat="1" ht="13.5" thickBot="1">
      <c r="A46" s="1404" t="s">
        <v>809</v>
      </c>
      <c r="C46" s="1405">
        <f ca="1">ROUND(C45,0)</f>
        <v>-271</v>
      </c>
      <c r="D46" s="1406" t="str">
        <f>C2</f>
        <v>万元</v>
      </c>
      <c r="I46" s="1407" t="s">
        <v>810</v>
      </c>
      <c r="J46" s="1408"/>
      <c r="K46" s="1409"/>
      <c r="L46" s="1410">
        <f ca="1">IF(M47="住宅",0,IF(L48&gt;J51,L60,J60))</f>
        <v>48551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2449096</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37.44</v>
      </c>
      <c r="O48" s="1418" t="s">
        <v>404</v>
      </c>
      <c r="P48" s="1419" t="s">
        <v>821</v>
      </c>
      <c r="Q48" s="1420">
        <f ca="1">J60</f>
        <v>48551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900973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52</v>
      </c>
      <c r="K51" s="1434" t="s">
        <v>830</v>
      </c>
      <c r="L51" s="1435">
        <f ca="1">ROUND(-PV(INDIRECT("'数据-取费表'!h"&amp;$G$1),J51,(C39-C13*C76),0),0)</f>
        <v>1131057</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37.44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t="s">
        <v>3395</v>
      </c>
      <c r="I53" s="1439" t="s">
        <v>836</v>
      </c>
      <c r="J53" s="2168">
        <f ca="1">IF(M47="住宅",IF(D1="——",MAX(J51,L48),MAX(J51,L48-'数据-取费表'!B24)),IF(D1="——",MIN(J51,L48),MIN(J51,L48-'数据-取费表'!B24)))</f>
        <v>37.44</v>
      </c>
      <c r="K53" s="3647" t="s">
        <v>837</v>
      </c>
      <c r="L53" s="3648"/>
      <c r="O53" s="1418" t="s">
        <v>409</v>
      </c>
      <c r="P53" s="1419" t="s">
        <v>838</v>
      </c>
      <c r="Q53" s="1420">
        <f ca="1">Q47+Q48</f>
        <v>2497647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0.24299999999999999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783847</v>
      </c>
      <c r="D56" s="1447"/>
      <c r="E56" s="1448"/>
      <c r="F56" s="1440"/>
      <c r="I56" s="1449" t="s">
        <v>842</v>
      </c>
      <c r="J56" s="1450" t="s">
        <v>3398</v>
      </c>
      <c r="K56" s="1421" t="s">
        <v>843</v>
      </c>
      <c r="L56" s="1424" t="str">
        <f ca="1">IF(L48&lt;J51,"——",L48-J51)</f>
        <v>——</v>
      </c>
      <c r="O56" s="1418" t="s">
        <v>403</v>
      </c>
      <c r="P56" s="1419" t="s">
        <v>817</v>
      </c>
      <c r="Q56" s="1420">
        <f ca="1">C40+J29</f>
        <v>2449096</v>
      </c>
      <c r="R56" s="1420" t="s">
        <v>818</v>
      </c>
    </row>
    <row r="57" spans="1:18" s="1384" customFormat="1" ht="24.75" thickBot="1">
      <c r="A57" s="1451"/>
      <c r="B57" s="950" t="s">
        <v>767</v>
      </c>
      <c r="C57" s="238">
        <f ca="1">C29</f>
        <v>900973</v>
      </c>
      <c r="D57" s="1452"/>
      <c r="E57" s="1453"/>
      <c r="F57" s="1454"/>
      <c r="I57" s="1455" t="s">
        <v>844</v>
      </c>
      <c r="J57" s="1456">
        <f ca="1">IF(OR(M47="住宅",J51&lt;L48,J56="是"),"——",J51-L48)</f>
        <v>14.560000000000002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14691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360389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48551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2449096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13515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1176</v>
      </c>
      <c r="D65" s="964" t="s">
        <v>743</v>
      </c>
      <c r="E65" s="950" t="s">
        <v>744</v>
      </c>
      <c r="F65" s="330">
        <f t="shared" ca="1" si="0"/>
        <v>1.5E-3</v>
      </c>
      <c r="I65" s="1462" t="s">
        <v>867</v>
      </c>
      <c r="J65" s="1463">
        <v>40</v>
      </c>
      <c r="K65" s="1463">
        <v>30</v>
      </c>
      <c r="L65" s="1463">
        <v>50</v>
      </c>
      <c r="M65" s="1465">
        <v>0.02</v>
      </c>
      <c r="O65" s="1418" t="s">
        <v>403</v>
      </c>
      <c r="P65" s="1419" t="s">
        <v>868</v>
      </c>
      <c r="Q65" s="1420">
        <f ca="1">C40+J29</f>
        <v>2449096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-14691</v>
      </c>
      <c r="D67" s="963" t="s">
        <v>753</v>
      </c>
      <c r="E67" s="968"/>
      <c r="F67" s="969"/>
      <c r="O67" s="1428" t="s">
        <v>405</v>
      </c>
      <c r="P67" s="1419" t="s">
        <v>850</v>
      </c>
      <c r="Q67" s="1466">
        <f ca="1">L51</f>
        <v>1131057</v>
      </c>
      <c r="R67" s="1420" t="s">
        <v>870</v>
      </c>
    </row>
    <row r="68" spans="1:18" s="1384" customFormat="1" ht="16.5" thickBot="1">
      <c r="A68" s="947" t="s">
        <v>395</v>
      </c>
      <c r="B68" s="948" t="s">
        <v>774</v>
      </c>
      <c r="C68" s="301">
        <f ca="1">ROUND(C67*(1-((1+F70)/(1+F68))^F69)/(F68-F70),0)</f>
        <v>-263643</v>
      </c>
      <c r="D68" s="965" t="s">
        <v>758</v>
      </c>
      <c r="E68" s="950" t="s">
        <v>759</v>
      </c>
      <c r="F68" s="312">
        <f ca="1">F40</f>
        <v>4.4999999999999998E-2</v>
      </c>
      <c r="O68" s="1428" t="s">
        <v>406</v>
      </c>
      <c r="P68" s="1467" t="s">
        <v>871</v>
      </c>
      <c r="Q68" s="1420">
        <f ca="1">ROUND(Q69-Q70*Q71,0)</f>
        <v>52008</v>
      </c>
      <c r="R68" s="1420" t="s">
        <v>414</v>
      </c>
    </row>
    <row r="69" spans="1:18" s="1384" customFormat="1" ht="13.5" thickBot="1">
      <c r="A69" s="951"/>
      <c r="B69" s="952"/>
      <c r="C69" s="306"/>
      <c r="D69" s="970" t="s">
        <v>762</v>
      </c>
      <c r="E69" s="950" t="s">
        <v>763</v>
      </c>
      <c r="F69" s="333">
        <f ca="1">F41</f>
        <v>37.44</v>
      </c>
      <c r="O69" s="1428" t="s">
        <v>411</v>
      </c>
      <c r="P69" s="1467" t="s">
        <v>872</v>
      </c>
      <c r="Q69" s="1420">
        <f ca="1">C39</f>
        <v>95120</v>
      </c>
      <c r="R69" s="1420" t="s">
        <v>818</v>
      </c>
    </row>
    <row r="70" spans="1:18" s="1384" customFormat="1" ht="13.5" thickBot="1">
      <c r="A70" s="954"/>
      <c r="B70" s="955"/>
      <c r="C70" s="310"/>
      <c r="D70" s="966"/>
      <c r="E70" s="950" t="s">
        <v>766</v>
      </c>
      <c r="F70" s="1054"/>
      <c r="O70" s="1428" t="s">
        <v>412</v>
      </c>
      <c r="P70" s="1467" t="s">
        <v>873</v>
      </c>
      <c r="Q70" s="1420">
        <f ca="1">C13</f>
        <v>783847</v>
      </c>
      <c r="R70" s="1420" t="s">
        <v>818</v>
      </c>
    </row>
    <row r="71" spans="1:18" s="1384" customFormat="1" ht="13.5" thickBot="1">
      <c r="A71" s="971" t="s">
        <v>396</v>
      </c>
      <c r="B71" s="972" t="s">
        <v>776</v>
      </c>
      <c r="C71" s="336">
        <f ca="1">ROUND(C68/F71,0)</f>
        <v>-1980</v>
      </c>
      <c r="D71" s="973" t="s">
        <v>777</v>
      </c>
      <c r="E71" s="974" t="s">
        <v>778</v>
      </c>
      <c r="F71" s="339">
        <f ca="1">F43</f>
        <v>133.12</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43112</v>
      </c>
      <c r="D75" s="1384"/>
      <c r="E75" s="1384"/>
      <c r="F75" s="1384"/>
      <c r="K75" s="1402"/>
      <c r="L75" s="1384"/>
      <c r="O75" s="1418" t="s">
        <v>409</v>
      </c>
      <c r="P75" s="1419" t="s">
        <v>838</v>
      </c>
      <c r="Q75" s="1420">
        <f ca="1">Q65+Q66</f>
        <v>2449096</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0.54699999999999993</v>
      </c>
    </row>
    <row r="80" spans="1:18">
      <c r="B80" s="340" t="s">
        <v>800</v>
      </c>
      <c r="C80" s="274">
        <f ca="1">ROUND(C75/C39,3)</f>
        <v>0.45300000000000001</v>
      </c>
    </row>
    <row r="81" spans="2:3">
      <c r="B81" s="270" t="s">
        <v>801</v>
      </c>
      <c r="C81" s="238"/>
    </row>
    <row r="82" spans="2:3">
      <c r="B82" s="273" t="s">
        <v>802</v>
      </c>
      <c r="C82" s="275">
        <f ca="1">1-C83</f>
        <v>0.67999999999999994</v>
      </c>
    </row>
    <row r="83" spans="2:3">
      <c r="B83" s="273" t="s">
        <v>803</v>
      </c>
      <c r="C83" s="274">
        <f ca="1">ROUND(C13/C40,3)</f>
        <v>0.32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58" t="s">
        <v>2320</v>
      </c>
      <c r="K2" s="365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0" t="s">
        <v>2330</v>
      </c>
      <c r="K3" s="366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0" t="s">
        <v>2332</v>
      </c>
      <c r="K4" s="366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6" t="s">
        <v>2336</v>
      </c>
      <c r="B6" s="3667"/>
      <c r="C6" s="3668"/>
      <c r="D6" s="2870"/>
      <c r="E6" s="2871"/>
      <c r="F6" s="2872"/>
      <c r="G6" s="2873"/>
      <c r="H6" s="2848"/>
      <c r="I6" s="2849"/>
      <c r="J6" s="3652">
        <v>1</v>
      </c>
      <c r="K6" s="365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2"/>
      <c r="K7" s="3654"/>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9" t="s">
        <v>2350</v>
      </c>
      <c r="C8" s="3670"/>
      <c r="D8" s="2889" t="s">
        <v>2351</v>
      </c>
      <c r="E8" s="2890" t="s">
        <v>2352</v>
      </c>
      <c r="F8" s="2891" t="s">
        <v>2353</v>
      </c>
      <c r="G8" s="2892"/>
      <c r="H8" s="2848"/>
      <c r="I8" s="2849"/>
      <c r="J8" s="3652"/>
      <c r="K8" s="3654"/>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9" t="s">
        <v>2356</v>
      </c>
      <c r="C9" s="3670"/>
      <c r="D9" s="2889">
        <f>ROUND(D6*E9,0)</f>
        <v>0</v>
      </c>
      <c r="E9" s="2893"/>
      <c r="F9" s="2894" t="s">
        <v>2357</v>
      </c>
      <c r="G9" s="2873"/>
      <c r="H9" s="2848"/>
      <c r="I9" s="2849"/>
      <c r="J9" s="3652"/>
      <c r="K9" s="3654"/>
      <c r="L9" s="2883" t="s">
        <v>2358</v>
      </c>
      <c r="M9" s="2884"/>
      <c r="N9" s="2860"/>
      <c r="O9" s="2885"/>
      <c r="P9" s="2885"/>
      <c r="Q9" s="2886">
        <v>365</v>
      </c>
      <c r="R9" s="2887">
        <f t="shared" si="0"/>
        <v>0</v>
      </c>
      <c r="S9" s="2841"/>
      <c r="T9" s="2841"/>
      <c r="U9" s="2841"/>
      <c r="V9" s="2849"/>
    </row>
    <row r="10" spans="1:22" s="2853" customFormat="1" ht="13.15" customHeight="1">
      <c r="A10" s="2888">
        <v>2</v>
      </c>
      <c r="B10" s="3669" t="s">
        <v>2359</v>
      </c>
      <c r="C10" s="3670"/>
      <c r="D10" s="2889">
        <f>ROUND(D6*E10,0)</f>
        <v>0</v>
      </c>
      <c r="E10" s="2893"/>
      <c r="F10" s="2894" t="s">
        <v>2360</v>
      </c>
      <c r="G10" s="2873"/>
      <c r="H10" s="2848"/>
      <c r="I10" s="2849"/>
      <c r="J10" s="3652"/>
      <c r="K10" s="3654"/>
      <c r="L10" s="2883" t="s">
        <v>2361</v>
      </c>
      <c r="M10" s="2884"/>
      <c r="N10" s="2860"/>
      <c r="O10" s="2885"/>
      <c r="P10" s="2885"/>
      <c r="Q10" s="2886">
        <v>365</v>
      </c>
      <c r="R10" s="2887">
        <f t="shared" si="0"/>
        <v>0</v>
      </c>
      <c r="S10" s="2841"/>
      <c r="T10" s="2841"/>
      <c r="U10" s="2841"/>
      <c r="V10" s="2849"/>
    </row>
    <row r="11" spans="1:22" s="2853" customFormat="1" ht="13.15" customHeight="1">
      <c r="A11" s="2888">
        <v>3</v>
      </c>
      <c r="B11" s="3669" t="s">
        <v>2362</v>
      </c>
      <c r="C11" s="3670"/>
      <c r="D11" s="2889">
        <f>D12+D14+D15+D16</f>
        <v>0</v>
      </c>
      <c r="E11" s="2895" t="e">
        <f>D11/D6</f>
        <v>#DIV/0!</v>
      </c>
      <c r="F11" s="2891"/>
      <c r="G11" s="2892"/>
      <c r="H11" s="2848"/>
      <c r="I11" s="2849"/>
      <c r="J11" s="3652"/>
      <c r="K11" s="3654"/>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2" t="s">
        <v>2365</v>
      </c>
      <c r="C12" s="3663"/>
      <c r="D12" s="2897">
        <f>ROUND(D13*1.2%*(1-30%),0)</f>
        <v>0</v>
      </c>
      <c r="E12" s="2898">
        <v>1.2E-2</v>
      </c>
      <c r="F12" s="2891" t="s">
        <v>2366</v>
      </c>
      <c r="G12" s="2892"/>
      <c r="H12" s="2848"/>
      <c r="I12" s="2849"/>
      <c r="J12" s="3652"/>
      <c r="K12" s="3654"/>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2"/>
      <c r="K13" s="3654"/>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2" t="s">
        <v>2371</v>
      </c>
      <c r="C14" s="3663"/>
      <c r="D14" s="2897">
        <f>ROUND(E14*B5/10000,0)</f>
        <v>0</v>
      </c>
      <c r="E14" s="2886"/>
      <c r="F14" s="2891" t="s">
        <v>2372</v>
      </c>
      <c r="G14" s="2892"/>
      <c r="H14" s="2848"/>
      <c r="I14" s="2849"/>
      <c r="J14" s="3652"/>
      <c r="K14" s="365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2" t="s">
        <v>2375</v>
      </c>
      <c r="C15" s="3663"/>
      <c r="D15" s="2897">
        <f>ROUND(D6*E15,0)</f>
        <v>0</v>
      </c>
      <c r="E15" s="2898">
        <v>5.5E-2</v>
      </c>
      <c r="F15" s="2891" t="s">
        <v>2376</v>
      </c>
      <c r="G15" s="2873"/>
      <c r="H15" s="2848"/>
      <c r="I15" s="2849"/>
      <c r="J15" s="3652">
        <v>2</v>
      </c>
      <c r="K15" s="365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2" t="s">
        <v>2384</v>
      </c>
      <c r="C16" s="3663"/>
      <c r="D16" s="2908">
        <f>D6*E16</f>
        <v>0</v>
      </c>
      <c r="E16" s="2909"/>
      <c r="F16" s="2894" t="s">
        <v>2385</v>
      </c>
      <c r="G16" s="2873"/>
      <c r="H16" s="2848"/>
      <c r="I16" s="2849"/>
      <c r="J16" s="3652"/>
      <c r="K16" s="3654"/>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4" t="s">
        <v>2387</v>
      </c>
      <c r="C17" s="3665"/>
      <c r="D17" s="2911">
        <f>ROUND(D6*E17,0)</f>
        <v>0</v>
      </c>
      <c r="E17" s="2912"/>
      <c r="F17" s="2913" t="s">
        <v>2388</v>
      </c>
      <c r="G17" s="2873"/>
      <c r="H17" s="2848"/>
      <c r="I17" s="2849"/>
      <c r="J17" s="3652"/>
      <c r="K17" s="3654"/>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2"/>
      <c r="K18" s="3654"/>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2"/>
      <c r="K19" s="365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2">
        <v>3</v>
      </c>
      <c r="K20" s="365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2"/>
      <c r="K21" s="3654"/>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2"/>
      <c r="K22" s="3654"/>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2"/>
      <c r="K23" s="3654"/>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2"/>
      <c r="K24" s="365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8" t="s">
        <v>2320</v>
      </c>
      <c r="K32" s="365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0" t="s">
        <v>2330</v>
      </c>
      <c r="K33" s="366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0" t="s">
        <v>2332</v>
      </c>
      <c r="K34" s="366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2">
        <v>1</v>
      </c>
      <c r="K36" s="3653"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2"/>
      <c r="K37" s="3654"/>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2"/>
      <c r="K38" s="3654"/>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2"/>
      <c r="K39" s="3654"/>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2"/>
      <c r="K40" s="3655"/>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249.7647</v>
      </c>
      <c r="C2" s="1872" t="s">
        <v>1651</v>
      </c>
      <c r="D2" s="1873" t="s">
        <v>1652</v>
      </c>
      <c r="E2" s="2607">
        <f>SUM(E6:E13)</f>
        <v>133.12</v>
      </c>
      <c r="F2" s="2707"/>
      <c r="G2" s="1489"/>
      <c r="H2" s="1489"/>
      <c r="I2" s="1489"/>
      <c r="J2" s="1489"/>
      <c r="K2" s="1489"/>
      <c r="L2" s="1489"/>
      <c r="M2" s="1489"/>
      <c r="N2" s="1489"/>
      <c r="O2" s="1489"/>
      <c r="P2" s="1489"/>
      <c r="Q2" s="1489"/>
      <c r="R2" s="1489"/>
      <c r="S2" s="1489"/>
    </row>
    <row r="3" spans="1:22" ht="15.75">
      <c r="A3" s="1870" t="s">
        <v>686</v>
      </c>
      <c r="B3" s="2601">
        <f ca="1">ROUND(B2*10000/E2,0)</f>
        <v>18762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1" t="s">
        <v>1654</v>
      </c>
      <c r="C5" s="367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249.7647</v>
      </c>
      <c r="C6" s="1872" t="s">
        <v>1651</v>
      </c>
      <c r="D6" s="2709"/>
      <c r="E6" s="2606">
        <f>IF(OR(A6=0,F6="否"),0,'数据-取费表'!K6+'数据-取费表'!S6)</f>
        <v>133.12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133.12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1" t="s">
        <v>1667</v>
      </c>
      <c r="D4" s="3692"/>
      <c r="E4" s="3693" t="s">
        <v>1668</v>
      </c>
      <c r="F4" s="3694"/>
      <c r="G4" s="3691" t="s">
        <v>1669</v>
      </c>
      <c r="H4" s="3692"/>
      <c r="I4" s="3691" t="s">
        <v>1670</v>
      </c>
      <c r="J4" s="3692"/>
      <c r="K4" s="1889" t="s">
        <v>1671</v>
      </c>
      <c r="L4" s="2715"/>
      <c r="M4" s="2716"/>
      <c r="N4" s="2716"/>
      <c r="O4" s="2716"/>
      <c r="P4" s="3695" t="s">
        <v>1672</v>
      </c>
      <c r="Q4" s="3696"/>
      <c r="R4" s="3701" t="s">
        <v>1668</v>
      </c>
      <c r="S4" s="3702"/>
      <c r="T4" s="3701" t="s">
        <v>1669</v>
      </c>
      <c r="U4" s="3702"/>
      <c r="V4" s="3707" t="s">
        <v>1670</v>
      </c>
      <c r="W4" s="3707"/>
      <c r="X4" s="1355"/>
      <c r="Y4" s="3701" t="s">
        <v>1672</v>
      </c>
      <c r="Z4" s="3702"/>
      <c r="AA4" s="3688" t="s">
        <v>1668</v>
      </c>
      <c r="AB4" s="3688" t="s">
        <v>1669</v>
      </c>
      <c r="AC4" s="3688" t="s">
        <v>1670</v>
      </c>
    </row>
    <row r="5" spans="1:29" ht="15">
      <c r="A5" s="358"/>
      <c r="B5" s="359"/>
      <c r="C5" s="3710" t="s">
        <v>1673</v>
      </c>
      <c r="D5" s="3711"/>
      <c r="E5" s="3717" t="s">
        <v>1674</v>
      </c>
      <c r="F5" s="3718"/>
      <c r="G5" s="3710" t="s">
        <v>1675</v>
      </c>
      <c r="H5" s="3711"/>
      <c r="I5" s="3710" t="s">
        <v>1676</v>
      </c>
      <c r="J5" s="3711"/>
      <c r="K5" s="1890"/>
      <c r="L5" s="2715"/>
      <c r="M5" s="2716"/>
      <c r="N5" s="2716"/>
      <c r="O5" s="2716"/>
      <c r="P5" s="3697"/>
      <c r="Q5" s="3698"/>
      <c r="R5" s="3703"/>
      <c r="S5" s="3704"/>
      <c r="T5" s="3703"/>
      <c r="U5" s="3704"/>
      <c r="V5" s="3707"/>
      <c r="W5" s="3707"/>
      <c r="X5" s="1355"/>
      <c r="Y5" s="3703"/>
      <c r="Z5" s="3704"/>
      <c r="AA5" s="3689"/>
      <c r="AB5" s="3689"/>
      <c r="AC5" s="3689"/>
    </row>
    <row r="6" spans="1:29" ht="15.75" thickBot="1">
      <c r="A6" s="360"/>
      <c r="B6" s="361"/>
      <c r="C6" s="3708" t="s">
        <v>1677</v>
      </c>
      <c r="D6" s="3709"/>
      <c r="E6" s="3715" t="s">
        <v>1677</v>
      </c>
      <c r="F6" s="3716"/>
      <c r="G6" s="3708" t="s">
        <v>1677</v>
      </c>
      <c r="H6" s="3709"/>
      <c r="I6" s="3708" t="s">
        <v>1677</v>
      </c>
      <c r="J6" s="3709"/>
      <c r="K6" s="1890" t="s">
        <v>1678</v>
      </c>
      <c r="L6" s="2715"/>
      <c r="M6" s="2716"/>
      <c r="N6" s="2716"/>
      <c r="O6" s="2716"/>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2" t="s">
        <v>1680</v>
      </c>
      <c r="Q7" s="3714"/>
      <c r="R7" s="701" t="s">
        <v>20</v>
      </c>
      <c r="S7" s="702">
        <f t="shared" ref="S7:S15" si="0">F7</f>
        <v>0</v>
      </c>
      <c r="T7" s="701" t="s">
        <v>20</v>
      </c>
      <c r="U7" s="702">
        <f t="shared" ref="U7:U15" si="1">H7</f>
        <v>0</v>
      </c>
      <c r="V7" s="701" t="s">
        <v>20</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2" t="s">
        <v>1683</v>
      </c>
      <c r="Q8" s="3713"/>
      <c r="R8" s="701" t="s">
        <v>20</v>
      </c>
      <c r="S8" s="702">
        <f t="shared" si="0"/>
        <v>100</v>
      </c>
      <c r="T8" s="701" t="s">
        <v>20</v>
      </c>
      <c r="U8" s="702">
        <f t="shared" si="1"/>
        <v>100</v>
      </c>
      <c r="V8" s="701" t="s">
        <v>20</v>
      </c>
      <c r="W8" s="702">
        <f t="shared" si="2"/>
        <v>100</v>
      </c>
      <c r="X8" s="703"/>
      <c r="Y8" s="3712" t="s">
        <v>1683</v>
      </c>
      <c r="Z8" s="371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7"/>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7"/>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7"/>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7"/>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5" t="s">
        <v>1691</v>
      </c>
      <c r="Q15" s="1352" t="str">
        <f t="shared" si="6"/>
        <v>居住社区成熟度</v>
      </c>
      <c r="R15" s="705" t="s">
        <v>18</v>
      </c>
      <c r="S15" s="706">
        <f t="shared" si="0"/>
        <v>100</v>
      </c>
      <c r="T15" s="705" t="s">
        <v>18</v>
      </c>
      <c r="U15" s="706">
        <f t="shared" si="1"/>
        <v>100</v>
      </c>
      <c r="V15" s="705" t="s">
        <v>18</v>
      </c>
      <c r="W15" s="706">
        <f t="shared" si="2"/>
        <v>100</v>
      </c>
      <c r="X15" s="1355"/>
      <c r="Y15" s="367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6"/>
      <c r="Q16" s="1352"/>
      <c r="R16" s="705"/>
      <c r="S16" s="706"/>
      <c r="T16" s="705"/>
      <c r="U16" s="706"/>
      <c r="V16" s="705"/>
      <c r="W16" s="706"/>
      <c r="X16" s="1355"/>
      <c r="Y16" s="367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6"/>
      <c r="Q17" s="1352" t="str">
        <f>B17</f>
        <v>交通便捷度</v>
      </c>
      <c r="R17" s="705" t="s">
        <v>18</v>
      </c>
      <c r="S17" s="706">
        <f>F17</f>
        <v>100</v>
      </c>
      <c r="T17" s="705" t="s">
        <v>18</v>
      </c>
      <c r="U17" s="706">
        <f>H17</f>
        <v>100</v>
      </c>
      <c r="V17" s="705" t="s">
        <v>18</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6"/>
      <c r="Q18" s="1352"/>
      <c r="R18" s="705"/>
      <c r="S18" s="706"/>
      <c r="T18" s="705"/>
      <c r="U18" s="706"/>
      <c r="V18" s="705"/>
      <c r="W18" s="706"/>
      <c r="X18" s="1355"/>
      <c r="Y18" s="367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6"/>
      <c r="Q19" s="1352" t="str">
        <f>B19</f>
        <v>公共配套设施</v>
      </c>
      <c r="R19" s="705" t="s">
        <v>18</v>
      </c>
      <c r="S19" s="706">
        <f>F19</f>
        <v>100</v>
      </c>
      <c r="T19" s="705" t="s">
        <v>18</v>
      </c>
      <c r="U19" s="706">
        <f>H19</f>
        <v>100</v>
      </c>
      <c r="V19" s="705" t="s">
        <v>18</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6"/>
      <c r="Q20" s="1352"/>
      <c r="R20" s="705"/>
      <c r="S20" s="706"/>
      <c r="T20" s="705"/>
      <c r="U20" s="706"/>
      <c r="V20" s="705"/>
      <c r="W20" s="706"/>
      <c r="X20" s="1355"/>
      <c r="Y20" s="367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6"/>
      <c r="Q22" s="1352"/>
      <c r="R22" s="705"/>
      <c r="S22" s="706"/>
      <c r="T22" s="705"/>
      <c r="U22" s="706"/>
      <c r="V22" s="705"/>
      <c r="W22" s="706"/>
      <c r="X22" s="1355"/>
      <c r="Y22" s="367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6"/>
      <c r="Q23" s="1352" t="str">
        <f>B23</f>
        <v>自然及人文环境</v>
      </c>
      <c r="R23" s="705" t="s">
        <v>18</v>
      </c>
      <c r="S23" s="706">
        <f>F23</f>
        <v>100</v>
      </c>
      <c r="T23" s="705" t="s">
        <v>18</v>
      </c>
      <c r="U23" s="706">
        <f>H23</f>
        <v>100</v>
      </c>
      <c r="V23" s="705" t="s">
        <v>18</v>
      </c>
      <c r="W23" s="706">
        <f>J23</f>
        <v>100</v>
      </c>
      <c r="X23" s="1355"/>
      <c r="Y23" s="367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6"/>
      <c r="Q24" s="1352"/>
      <c r="R24" s="705"/>
      <c r="S24" s="706"/>
      <c r="T24" s="705"/>
      <c r="U24" s="706"/>
      <c r="V24" s="705"/>
      <c r="W24" s="706"/>
      <c r="X24" s="1355"/>
      <c r="Y24" s="367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6"/>
      <c r="Q26" s="1352" t="str">
        <f t="shared" si="11"/>
        <v>朝向</v>
      </c>
      <c r="R26" s="705" t="s">
        <v>18</v>
      </c>
      <c r="S26" s="706">
        <f t="shared" si="12"/>
        <v>100</v>
      </c>
      <c r="T26" s="705" t="s">
        <v>18</v>
      </c>
      <c r="U26" s="706">
        <f t="shared" si="13"/>
        <v>100</v>
      </c>
      <c r="V26" s="705" t="s">
        <v>18</v>
      </c>
      <c r="W26" s="706">
        <f t="shared" si="14"/>
        <v>100</v>
      </c>
      <c r="X26" s="1355"/>
      <c r="Y26" s="367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6"/>
      <c r="Q27" s="1343">
        <f t="shared" si="11"/>
        <v>111</v>
      </c>
      <c r="R27" s="701" t="s">
        <v>18</v>
      </c>
      <c r="S27" s="702">
        <f t="shared" si="12"/>
        <v>100</v>
      </c>
      <c r="T27" s="701" t="s">
        <v>18</v>
      </c>
      <c r="U27" s="702">
        <f t="shared" si="13"/>
        <v>100</v>
      </c>
      <c r="V27" s="701" t="s">
        <v>18</v>
      </c>
      <c r="W27" s="702">
        <f t="shared" si="14"/>
        <v>100</v>
      </c>
      <c r="X27" s="703"/>
      <c r="Y27" s="367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6"/>
      <c r="Q28" s="1352">
        <f t="shared" si="11"/>
        <v>111</v>
      </c>
      <c r="R28" s="705" t="s">
        <v>18</v>
      </c>
      <c r="S28" s="706">
        <f t="shared" si="12"/>
        <v>100</v>
      </c>
      <c r="T28" s="705" t="s">
        <v>18</v>
      </c>
      <c r="U28" s="706">
        <f t="shared" si="13"/>
        <v>100</v>
      </c>
      <c r="V28" s="705" t="s">
        <v>18</v>
      </c>
      <c r="W28" s="706">
        <f t="shared" si="14"/>
        <v>100</v>
      </c>
      <c r="X28" s="1355"/>
      <c r="Y28" s="367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6"/>
      <c r="Q29" s="1352">
        <f t="shared" si="11"/>
        <v>111</v>
      </c>
      <c r="R29" s="705" t="s">
        <v>18</v>
      </c>
      <c r="S29" s="706">
        <f t="shared" si="12"/>
        <v>100</v>
      </c>
      <c r="T29" s="705" t="s">
        <v>18</v>
      </c>
      <c r="U29" s="706">
        <f t="shared" si="13"/>
        <v>100</v>
      </c>
      <c r="V29" s="705" t="s">
        <v>18</v>
      </c>
      <c r="W29" s="706">
        <f t="shared" si="14"/>
        <v>100</v>
      </c>
      <c r="X29" s="1355"/>
      <c r="Y29" s="367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6"/>
      <c r="Q30" s="1352">
        <f t="shared" si="11"/>
        <v>111</v>
      </c>
      <c r="R30" s="705" t="s">
        <v>18</v>
      </c>
      <c r="S30" s="706">
        <f t="shared" si="12"/>
        <v>100</v>
      </c>
      <c r="T30" s="705" t="s">
        <v>18</v>
      </c>
      <c r="U30" s="706">
        <f t="shared" si="13"/>
        <v>100</v>
      </c>
      <c r="V30" s="705" t="s">
        <v>18</v>
      </c>
      <c r="W30" s="706">
        <f t="shared" si="14"/>
        <v>100</v>
      </c>
      <c r="X30" s="1355"/>
      <c r="Y30" s="367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6"/>
      <c r="Q31" s="1352">
        <f t="shared" si="11"/>
        <v>111</v>
      </c>
      <c r="R31" s="705" t="s">
        <v>18</v>
      </c>
      <c r="S31" s="706">
        <f t="shared" si="12"/>
        <v>100</v>
      </c>
      <c r="T31" s="705" t="s">
        <v>18</v>
      </c>
      <c r="U31" s="706">
        <f t="shared" si="13"/>
        <v>100</v>
      </c>
      <c r="V31" s="705" t="s">
        <v>18</v>
      </c>
      <c r="W31" s="706">
        <f t="shared" si="14"/>
        <v>100</v>
      </c>
      <c r="X31" s="1355"/>
      <c r="Y31" s="367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0" t="s">
        <v>1696</v>
      </c>
      <c r="Q32" s="1352" t="str">
        <f t="shared" si="11"/>
        <v>建筑类型</v>
      </c>
      <c r="R32" s="705" t="s">
        <v>18</v>
      </c>
      <c r="S32" s="706">
        <f t="shared" si="12"/>
        <v>100</v>
      </c>
      <c r="T32" s="705" t="s">
        <v>18</v>
      </c>
      <c r="U32" s="706">
        <f t="shared" si="13"/>
        <v>100</v>
      </c>
      <c r="V32" s="705" t="s">
        <v>18</v>
      </c>
      <c r="W32" s="706">
        <f t="shared" si="14"/>
        <v>100</v>
      </c>
      <c r="X32" s="1355"/>
      <c r="Y32" s="368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1"/>
      <c r="Q33" s="707" t="str">
        <f t="shared" si="11"/>
        <v>项目建筑规模</v>
      </c>
      <c r="R33" s="708" t="s">
        <v>18</v>
      </c>
      <c r="S33" s="709" t="e">
        <f t="shared" si="12"/>
        <v>#N/A</v>
      </c>
      <c r="T33" s="708" t="s">
        <v>18</v>
      </c>
      <c r="U33" s="709" t="e">
        <f t="shared" si="13"/>
        <v>#N/A</v>
      </c>
      <c r="V33" s="708" t="s">
        <v>18</v>
      </c>
      <c r="W33" s="709" t="e">
        <f t="shared" si="14"/>
        <v>#N/A</v>
      </c>
      <c r="X33" s="710"/>
      <c r="Y33" s="368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1"/>
      <c r="Q34" s="1352" t="str">
        <f t="shared" si="11"/>
        <v>建筑结构</v>
      </c>
      <c r="R34" s="705" t="s">
        <v>18</v>
      </c>
      <c r="S34" s="706">
        <f t="shared" si="12"/>
        <v>100</v>
      </c>
      <c r="T34" s="705" t="s">
        <v>18</v>
      </c>
      <c r="U34" s="706">
        <f t="shared" si="13"/>
        <v>100</v>
      </c>
      <c r="V34" s="705" t="s">
        <v>18</v>
      </c>
      <c r="W34" s="706">
        <f t="shared" si="14"/>
        <v>100</v>
      </c>
      <c r="X34" s="1355"/>
      <c r="Y34" s="368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1"/>
      <c r="Q35" s="1352" t="str">
        <f t="shared" si="11"/>
        <v>建筑品质</v>
      </c>
      <c r="R35" s="705" t="s">
        <v>18</v>
      </c>
      <c r="S35" s="706">
        <f t="shared" si="12"/>
        <v>100</v>
      </c>
      <c r="T35" s="705" t="s">
        <v>18</v>
      </c>
      <c r="U35" s="706">
        <f t="shared" si="13"/>
        <v>100</v>
      </c>
      <c r="V35" s="705" t="s">
        <v>18</v>
      </c>
      <c r="W35" s="706">
        <f t="shared" si="14"/>
        <v>100</v>
      </c>
      <c r="X35" s="1355"/>
      <c r="Y35" s="368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1"/>
      <c r="Q36" s="1352" t="str">
        <f t="shared" si="11"/>
        <v>公共部分装修</v>
      </c>
      <c r="R36" s="705" t="s">
        <v>18</v>
      </c>
      <c r="S36" s="706">
        <f t="shared" si="12"/>
        <v>100</v>
      </c>
      <c r="T36" s="705" t="s">
        <v>18</v>
      </c>
      <c r="U36" s="706">
        <f t="shared" si="13"/>
        <v>100</v>
      </c>
      <c r="V36" s="705" t="s">
        <v>18</v>
      </c>
      <c r="W36" s="706">
        <f t="shared" si="14"/>
        <v>100</v>
      </c>
      <c r="X36" s="1355"/>
      <c r="Y36" s="368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1"/>
      <c r="Q37" s="1343" t="str">
        <f t="shared" si="11"/>
        <v>成新度</v>
      </c>
      <c r="R37" s="701" t="s">
        <v>18</v>
      </c>
      <c r="S37" s="702" t="e">
        <f t="shared" si="12"/>
        <v>#N/A</v>
      </c>
      <c r="T37" s="701" t="s">
        <v>18</v>
      </c>
      <c r="U37" s="702" t="e">
        <f t="shared" si="13"/>
        <v>#N/A</v>
      </c>
      <c r="V37" s="701" t="s">
        <v>18</v>
      </c>
      <c r="W37" s="702" t="e">
        <f t="shared" si="14"/>
        <v>#N/A</v>
      </c>
      <c r="X37" s="703"/>
      <c r="Y37" s="368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1" t="s">
        <v>1696</v>
      </c>
      <c r="Q38" s="1352" t="str">
        <f t="shared" si="11"/>
        <v>物业管理</v>
      </c>
      <c r="R38" s="705" t="s">
        <v>18</v>
      </c>
      <c r="S38" s="706">
        <f t="shared" si="12"/>
        <v>100</v>
      </c>
      <c r="T38" s="705" t="s">
        <v>18</v>
      </c>
      <c r="U38" s="706">
        <f t="shared" si="13"/>
        <v>100</v>
      </c>
      <c r="V38" s="705" t="s">
        <v>18</v>
      </c>
      <c r="W38" s="706">
        <f t="shared" si="14"/>
        <v>100</v>
      </c>
      <c r="X38" s="1355"/>
      <c r="Y38" s="368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1"/>
      <c r="Q39" s="1352" t="str">
        <f t="shared" si="11"/>
        <v>市政基础设施</v>
      </c>
      <c r="R39" s="705" t="s">
        <v>18</v>
      </c>
      <c r="S39" s="706">
        <f t="shared" si="12"/>
        <v>100</v>
      </c>
      <c r="T39" s="705" t="s">
        <v>18</v>
      </c>
      <c r="U39" s="706">
        <f t="shared" si="13"/>
        <v>100</v>
      </c>
      <c r="V39" s="705" t="s">
        <v>18</v>
      </c>
      <c r="W39" s="706">
        <f t="shared" si="14"/>
        <v>100</v>
      </c>
      <c r="X39" s="1355"/>
      <c r="Y39" s="368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1"/>
      <c r="Q40" s="1352" t="str">
        <f t="shared" si="11"/>
        <v>房型</v>
      </c>
      <c r="R40" s="705" t="s">
        <v>18</v>
      </c>
      <c r="S40" s="706">
        <f t="shared" si="12"/>
        <v>100</v>
      </c>
      <c r="T40" s="705" t="s">
        <v>18</v>
      </c>
      <c r="U40" s="706">
        <f t="shared" si="13"/>
        <v>100</v>
      </c>
      <c r="V40" s="705" t="s">
        <v>18</v>
      </c>
      <c r="W40" s="706">
        <f t="shared" si="14"/>
        <v>100</v>
      </c>
      <c r="X40" s="1355"/>
      <c r="Y40" s="368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1"/>
      <c r="Q41" s="707" t="str">
        <f t="shared" si="11"/>
        <v>单套/主力户型建筑面积</v>
      </c>
      <c r="R41" s="708" t="s">
        <v>18</v>
      </c>
      <c r="S41" s="709">
        <f t="shared" si="12"/>
        <v>100</v>
      </c>
      <c r="T41" s="708" t="s">
        <v>18</v>
      </c>
      <c r="U41" s="709">
        <f t="shared" si="13"/>
        <v>100</v>
      </c>
      <c r="V41" s="708" t="s">
        <v>18</v>
      </c>
      <c r="W41" s="709">
        <f t="shared" si="14"/>
        <v>100</v>
      </c>
      <c r="X41" s="710"/>
      <c r="Y41" s="368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1"/>
      <c r="Q42" s="1352" t="str">
        <f t="shared" si="11"/>
        <v>内部装修</v>
      </c>
      <c r="R42" s="705" t="s">
        <v>18</v>
      </c>
      <c r="S42" s="706">
        <f t="shared" si="12"/>
        <v>100</v>
      </c>
      <c r="T42" s="705" t="s">
        <v>18</v>
      </c>
      <c r="U42" s="706">
        <f t="shared" si="13"/>
        <v>100</v>
      </c>
      <c r="V42" s="705" t="s">
        <v>18</v>
      </c>
      <c r="W42" s="706">
        <f t="shared" si="14"/>
        <v>100</v>
      </c>
      <c r="X42" s="1355"/>
      <c r="Y42" s="368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1"/>
      <c r="Q43" s="1352" t="str">
        <f t="shared" si="11"/>
        <v>内部装修维护情况</v>
      </c>
      <c r="R43" s="705" t="s">
        <v>18</v>
      </c>
      <c r="S43" s="706">
        <f t="shared" si="12"/>
        <v>100</v>
      </c>
      <c r="T43" s="705" t="s">
        <v>18</v>
      </c>
      <c r="U43" s="706">
        <f t="shared" si="13"/>
        <v>100</v>
      </c>
      <c r="V43" s="705" t="s">
        <v>18</v>
      </c>
      <c r="W43" s="706">
        <f t="shared" si="14"/>
        <v>100</v>
      </c>
      <c r="X43" s="1355"/>
      <c r="Y43" s="368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1"/>
      <c r="Q44" s="1343">
        <f t="shared" si="11"/>
        <v>111</v>
      </c>
      <c r="R44" s="701" t="s">
        <v>18</v>
      </c>
      <c r="S44" s="702">
        <f t="shared" si="12"/>
        <v>100</v>
      </c>
      <c r="T44" s="701" t="s">
        <v>18</v>
      </c>
      <c r="U44" s="702">
        <f t="shared" si="13"/>
        <v>100</v>
      </c>
      <c r="V44" s="701" t="s">
        <v>18</v>
      </c>
      <c r="W44" s="702">
        <f t="shared" si="14"/>
        <v>100</v>
      </c>
      <c r="X44" s="703"/>
      <c r="Y44" s="368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1"/>
      <c r="Q45" s="1352">
        <f t="shared" si="11"/>
        <v>111</v>
      </c>
      <c r="R45" s="705" t="s">
        <v>18</v>
      </c>
      <c r="S45" s="706">
        <f t="shared" si="12"/>
        <v>100</v>
      </c>
      <c r="T45" s="705" t="s">
        <v>18</v>
      </c>
      <c r="U45" s="706">
        <f t="shared" si="13"/>
        <v>100</v>
      </c>
      <c r="V45" s="705" t="s">
        <v>18</v>
      </c>
      <c r="W45" s="706">
        <f t="shared" si="14"/>
        <v>100</v>
      </c>
      <c r="X45" s="1355"/>
      <c r="Y45" s="368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2"/>
      <c r="Q46" s="1352">
        <f t="shared" si="11"/>
        <v>111</v>
      </c>
      <c r="R46" s="705" t="s">
        <v>17</v>
      </c>
      <c r="S46" s="706">
        <f t="shared" si="12"/>
        <v>100</v>
      </c>
      <c r="T46" s="705" t="s">
        <v>17</v>
      </c>
      <c r="U46" s="706">
        <f t="shared" si="13"/>
        <v>100</v>
      </c>
      <c r="V46" s="705" t="s">
        <v>17</v>
      </c>
      <c r="W46" s="706">
        <f t="shared" si="14"/>
        <v>100</v>
      </c>
      <c r="X46" s="1355"/>
      <c r="Y46" s="368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6" t="str">
        <f>A47</f>
        <v>成交单价（元/平方米）</v>
      </c>
      <c r="Q47" s="3676"/>
      <c r="R47" s="3677">
        <f>E47</f>
        <v>0</v>
      </c>
      <c r="S47" s="3677"/>
      <c r="T47" s="3677">
        <f>G47</f>
        <v>0</v>
      </c>
      <c r="U47" s="3677"/>
      <c r="V47" s="3677">
        <f>I47</f>
        <v>0</v>
      </c>
      <c r="W47" s="367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133.12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701" t="s">
        <v>1771</v>
      </c>
      <c r="S4" s="3702"/>
      <c r="T4" s="3701" t="s">
        <v>1772</v>
      </c>
      <c r="U4" s="3702"/>
      <c r="V4" s="3707" t="s">
        <v>1773</v>
      </c>
      <c r="W4" s="3707"/>
      <c r="X4" s="1355"/>
      <c r="Y4" s="3701" t="s">
        <v>1775</v>
      </c>
      <c r="Z4" s="3702"/>
      <c r="AA4" s="3688" t="s">
        <v>1771</v>
      </c>
      <c r="AB4" s="3707" t="s">
        <v>1772</v>
      </c>
      <c r="AC4" s="3688" t="s">
        <v>1773</v>
      </c>
    </row>
    <row r="5" spans="1:29" ht="15">
      <c r="A5" s="358"/>
      <c r="B5" s="359"/>
      <c r="C5" s="3710" t="s">
        <v>1673</v>
      </c>
      <c r="D5" s="3711"/>
      <c r="E5" s="3717" t="s">
        <v>1674</v>
      </c>
      <c r="F5" s="3718"/>
      <c r="G5" s="3710" t="s">
        <v>1675</v>
      </c>
      <c r="H5" s="3711"/>
      <c r="I5" s="3710" t="s">
        <v>1676</v>
      </c>
      <c r="J5" s="3711"/>
      <c r="K5" s="559"/>
      <c r="L5" s="2715"/>
      <c r="M5" s="2716"/>
      <c r="N5" s="2716"/>
      <c r="O5" s="2716"/>
      <c r="P5" s="3697"/>
      <c r="Q5" s="3698"/>
      <c r="R5" s="3703"/>
      <c r="S5" s="3704"/>
      <c r="T5" s="3703"/>
      <c r="U5" s="3704"/>
      <c r="V5" s="3707"/>
      <c r="W5" s="3707"/>
      <c r="X5" s="1355"/>
      <c r="Y5" s="3703"/>
      <c r="Z5" s="3704"/>
      <c r="AA5" s="3689"/>
      <c r="AB5" s="3707"/>
      <c r="AC5" s="3689"/>
    </row>
    <row r="6" spans="1:29" ht="15.75" thickBot="1">
      <c r="A6" s="360"/>
      <c r="B6" s="361"/>
      <c r="C6" s="3708" t="s">
        <v>1677</v>
      </c>
      <c r="D6" s="3709"/>
      <c r="E6" s="3715" t="s">
        <v>1677</v>
      </c>
      <c r="F6" s="3716"/>
      <c r="G6" s="3708" t="s">
        <v>1677</v>
      </c>
      <c r="H6" s="3709"/>
      <c r="I6" s="3708" t="s">
        <v>1677</v>
      </c>
      <c r="J6" s="3709"/>
      <c r="K6" s="559" t="s">
        <v>1678</v>
      </c>
      <c r="L6" s="2715"/>
      <c r="M6" s="2716"/>
      <c r="N6" s="2716"/>
      <c r="O6" s="2716"/>
      <c r="P6" s="3699"/>
      <c r="Q6" s="3700"/>
      <c r="R6" s="3703"/>
      <c r="S6" s="3704"/>
      <c r="T6" s="3705"/>
      <c r="U6" s="3706"/>
      <c r="V6" s="3707"/>
      <c r="W6" s="3707"/>
      <c r="X6" s="1355"/>
      <c r="Y6" s="3705"/>
      <c r="Z6" s="3706"/>
      <c r="AA6" s="3690"/>
      <c r="AB6" s="3707"/>
      <c r="AC6" s="3690"/>
    </row>
    <row r="7" spans="1:29" s="108" customFormat="1" ht="15.7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2" t="s">
        <v>1683</v>
      </c>
      <c r="Q8" s="3713"/>
      <c r="R8" s="701" t="s">
        <v>14</v>
      </c>
      <c r="S8" s="702">
        <f t="shared" si="0"/>
        <v>100</v>
      </c>
      <c r="T8" s="701" t="s">
        <v>14</v>
      </c>
      <c r="U8" s="702">
        <f t="shared" si="1"/>
        <v>100</v>
      </c>
      <c r="V8" s="701" t="s">
        <v>14</v>
      </c>
      <c r="W8" s="702">
        <f t="shared" si="2"/>
        <v>100</v>
      </c>
      <c r="X8" s="703"/>
      <c r="Y8" s="3712" t="s">
        <v>1683</v>
      </c>
      <c r="Z8" s="371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5" t="s">
        <v>1691</v>
      </c>
      <c r="Q15" s="1352" t="str">
        <f t="shared" si="6"/>
        <v>商业繁华度</v>
      </c>
      <c r="R15" s="705" t="s">
        <v>14</v>
      </c>
      <c r="S15" s="706">
        <f t="shared" si="0"/>
        <v>100</v>
      </c>
      <c r="T15" s="705" t="s">
        <v>14</v>
      </c>
      <c r="U15" s="706">
        <f t="shared" si="1"/>
        <v>100</v>
      </c>
      <c r="V15" s="705" t="s">
        <v>14</v>
      </c>
      <c r="W15" s="706">
        <f t="shared" si="2"/>
        <v>100</v>
      </c>
      <c r="X15" s="1355"/>
      <c r="Y15" s="367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6"/>
      <c r="Q16" s="1352"/>
      <c r="R16" s="705"/>
      <c r="S16" s="706"/>
      <c r="T16" s="705"/>
      <c r="U16" s="706"/>
      <c r="V16" s="705"/>
      <c r="W16" s="706"/>
      <c r="X16" s="1355"/>
      <c r="Y16" s="367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6"/>
      <c r="Q18" s="1352"/>
      <c r="R18" s="705"/>
      <c r="S18" s="706"/>
      <c r="T18" s="705"/>
      <c r="U18" s="706"/>
      <c r="V18" s="705"/>
      <c r="W18" s="706"/>
      <c r="X18" s="1355"/>
      <c r="Y18" s="367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6"/>
      <c r="Q20" s="1352"/>
      <c r="R20" s="705"/>
      <c r="S20" s="706"/>
      <c r="T20" s="705"/>
      <c r="U20" s="706"/>
      <c r="V20" s="705"/>
      <c r="W20" s="706"/>
      <c r="X20" s="1355"/>
      <c r="Y20" s="367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6"/>
      <c r="Q22" s="1352"/>
      <c r="R22" s="705"/>
      <c r="S22" s="706"/>
      <c r="T22" s="705"/>
      <c r="U22" s="706"/>
      <c r="V22" s="705"/>
      <c r="W22" s="706"/>
      <c r="X22" s="1355"/>
      <c r="Y22" s="367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6"/>
      <c r="Q23" s="1352" t="str">
        <f>B23</f>
        <v>自然及人文环境</v>
      </c>
      <c r="R23" s="705" t="s">
        <v>14</v>
      </c>
      <c r="S23" s="706">
        <f>F23</f>
        <v>100</v>
      </c>
      <c r="T23" s="705" t="s">
        <v>14</v>
      </c>
      <c r="U23" s="706">
        <f>H23</f>
        <v>100</v>
      </c>
      <c r="V23" s="705" t="s">
        <v>14</v>
      </c>
      <c r="W23" s="706">
        <f>J23</f>
        <v>100</v>
      </c>
      <c r="X23" s="1355"/>
      <c r="Y23" s="367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6"/>
      <c r="Q24" s="1352"/>
      <c r="R24" s="705"/>
      <c r="S24" s="706"/>
      <c r="T24" s="705"/>
      <c r="U24" s="706"/>
      <c r="V24" s="705"/>
      <c r="W24" s="706"/>
      <c r="X24" s="1355"/>
      <c r="Y24" s="367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6"/>
      <c r="Q25" s="1352" t="str">
        <f t="shared" ref="Q25:Q46" si="11">B25</f>
        <v>临街状况</v>
      </c>
      <c r="R25" s="705" t="s">
        <v>14</v>
      </c>
      <c r="S25" s="706">
        <f>F25</f>
        <v>100</v>
      </c>
      <c r="T25" s="705" t="s">
        <v>14</v>
      </c>
      <c r="U25" s="706">
        <f>H25</f>
        <v>100</v>
      </c>
      <c r="V25" s="705" t="s">
        <v>14</v>
      </c>
      <c r="W25" s="706">
        <f>J25</f>
        <v>100</v>
      </c>
      <c r="X25" s="1355"/>
      <c r="Y25" s="367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6"/>
      <c r="Q26" s="1352" t="str">
        <f t="shared" si="11"/>
        <v>平面位置/可视性</v>
      </c>
      <c r="R26" s="705" t="s">
        <v>14</v>
      </c>
      <c r="S26" s="706">
        <f>F26</f>
        <v>100</v>
      </c>
      <c r="T26" s="705" t="s">
        <v>14</v>
      </c>
      <c r="U26" s="706">
        <f>H26</f>
        <v>100</v>
      </c>
      <c r="V26" s="705" t="s">
        <v>14</v>
      </c>
      <c r="W26" s="706">
        <f>J26</f>
        <v>100</v>
      </c>
      <c r="X26" s="1355"/>
      <c r="Y26" s="367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6"/>
      <c r="Q27" s="1343" t="str">
        <f t="shared" si="11"/>
        <v>人流量</v>
      </c>
      <c r="R27" s="701" t="s">
        <v>14</v>
      </c>
      <c r="S27" s="702">
        <f>F27</f>
        <v>100</v>
      </c>
      <c r="T27" s="701" t="s">
        <v>14</v>
      </c>
      <c r="U27" s="702">
        <f>H27</f>
        <v>100</v>
      </c>
      <c r="V27" s="701" t="s">
        <v>14</v>
      </c>
      <c r="W27" s="702">
        <f>J27</f>
        <v>100</v>
      </c>
      <c r="X27" s="703"/>
      <c r="Y27" s="367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6"/>
      <c r="Q29" s="1352">
        <f t="shared" si="11"/>
        <v>111</v>
      </c>
      <c r="R29" s="705" t="s">
        <v>14</v>
      </c>
      <c r="S29" s="706">
        <f t="shared" si="12"/>
        <v>100</v>
      </c>
      <c r="T29" s="705" t="s">
        <v>14</v>
      </c>
      <c r="U29" s="706">
        <f t="shared" si="13"/>
        <v>100</v>
      </c>
      <c r="V29" s="705" t="s">
        <v>14</v>
      </c>
      <c r="W29" s="706">
        <f t="shared" si="14"/>
        <v>100</v>
      </c>
      <c r="X29" s="1355"/>
      <c r="Y29" s="367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0" t="s">
        <v>1696</v>
      </c>
      <c r="Q32" s="1352" t="str">
        <f t="shared" si="11"/>
        <v>商业类型</v>
      </c>
      <c r="R32" s="705" t="s">
        <v>14</v>
      </c>
      <c r="S32" s="706">
        <f t="shared" si="12"/>
        <v>100</v>
      </c>
      <c r="T32" s="705" t="s">
        <v>14</v>
      </c>
      <c r="U32" s="706">
        <f t="shared" si="13"/>
        <v>100</v>
      </c>
      <c r="V32" s="705" t="s">
        <v>14</v>
      </c>
      <c r="W32" s="706">
        <f t="shared" si="14"/>
        <v>100</v>
      </c>
      <c r="X32" s="1355"/>
      <c r="Y32" s="368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1"/>
      <c r="Q33" s="707" t="str">
        <f t="shared" si="11"/>
        <v>项目建筑规模</v>
      </c>
      <c r="R33" s="708" t="s">
        <v>14</v>
      </c>
      <c r="S33" s="709" t="e">
        <f t="shared" si="12"/>
        <v>#N/A</v>
      </c>
      <c r="T33" s="708" t="s">
        <v>14</v>
      </c>
      <c r="U33" s="709" t="e">
        <f t="shared" si="13"/>
        <v>#N/A</v>
      </c>
      <c r="V33" s="708" t="s">
        <v>14</v>
      </c>
      <c r="W33" s="709" t="e">
        <f t="shared" si="14"/>
        <v>#N/A</v>
      </c>
      <c r="X33" s="710"/>
      <c r="Y33" s="368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1"/>
      <c r="Q34" s="1352" t="str">
        <f t="shared" si="11"/>
        <v>建筑结构</v>
      </c>
      <c r="R34" s="705" t="s">
        <v>14</v>
      </c>
      <c r="S34" s="706">
        <f t="shared" si="12"/>
        <v>100</v>
      </c>
      <c r="T34" s="705" t="s">
        <v>14</v>
      </c>
      <c r="U34" s="706">
        <f t="shared" si="13"/>
        <v>100</v>
      </c>
      <c r="V34" s="705" t="s">
        <v>14</v>
      </c>
      <c r="W34" s="706">
        <f t="shared" si="14"/>
        <v>100</v>
      </c>
      <c r="X34" s="1355"/>
      <c r="Y34" s="368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1"/>
      <c r="Q35" s="1352" t="str">
        <f t="shared" si="11"/>
        <v>公共部分装修</v>
      </c>
      <c r="R35" s="705" t="s">
        <v>14</v>
      </c>
      <c r="S35" s="706">
        <f t="shared" si="12"/>
        <v>100</v>
      </c>
      <c r="T35" s="705" t="s">
        <v>14</v>
      </c>
      <c r="U35" s="706">
        <f t="shared" si="13"/>
        <v>100</v>
      </c>
      <c r="V35" s="705" t="s">
        <v>14</v>
      </c>
      <c r="W35" s="706">
        <f t="shared" si="14"/>
        <v>100</v>
      </c>
      <c r="X35" s="1355"/>
      <c r="Y35" s="368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1"/>
      <c r="Q36" s="1352" t="str">
        <f t="shared" si="11"/>
        <v>成新度</v>
      </c>
      <c r="R36" s="705" t="s">
        <v>14</v>
      </c>
      <c r="S36" s="706" t="e">
        <f t="shared" si="12"/>
        <v>#N/A</v>
      </c>
      <c r="T36" s="705" t="s">
        <v>14</v>
      </c>
      <c r="U36" s="706" t="e">
        <f t="shared" si="13"/>
        <v>#N/A</v>
      </c>
      <c r="V36" s="705" t="s">
        <v>14</v>
      </c>
      <c r="W36" s="706" t="e">
        <f t="shared" si="14"/>
        <v>#N/A</v>
      </c>
      <c r="X36" s="1355"/>
      <c r="Y36" s="368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1"/>
      <c r="Q37" s="1343"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1" t="s">
        <v>1696</v>
      </c>
      <c r="Q38" s="1352" t="str">
        <f t="shared" si="11"/>
        <v>业态</v>
      </c>
      <c r="R38" s="705" t="s">
        <v>14</v>
      </c>
      <c r="S38" s="706">
        <f t="shared" si="12"/>
        <v>100</v>
      </c>
      <c r="T38" s="705" t="s">
        <v>14</v>
      </c>
      <c r="U38" s="706">
        <f t="shared" si="13"/>
        <v>100</v>
      </c>
      <c r="V38" s="705" t="s">
        <v>14</v>
      </c>
      <c r="W38" s="706">
        <f t="shared" si="14"/>
        <v>100</v>
      </c>
      <c r="X38" s="1355"/>
      <c r="Y38" s="368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1"/>
      <c r="Q39" s="1352" t="str">
        <f t="shared" si="11"/>
        <v>层高</v>
      </c>
      <c r="R39" s="705" t="s">
        <v>14</v>
      </c>
      <c r="S39" s="706">
        <f t="shared" si="12"/>
        <v>100</v>
      </c>
      <c r="T39" s="705" t="s">
        <v>14</v>
      </c>
      <c r="U39" s="706">
        <f t="shared" si="13"/>
        <v>100</v>
      </c>
      <c r="V39" s="705" t="s">
        <v>14</v>
      </c>
      <c r="W39" s="706">
        <f t="shared" si="14"/>
        <v>100</v>
      </c>
      <c r="X39" s="1355"/>
      <c r="Y39" s="368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1"/>
      <c r="Q40" s="1352" t="str">
        <f t="shared" si="11"/>
        <v>单套建筑面积</v>
      </c>
      <c r="R40" s="705" t="s">
        <v>14</v>
      </c>
      <c r="S40" s="706">
        <f t="shared" si="12"/>
        <v>100</v>
      </c>
      <c r="T40" s="705" t="s">
        <v>14</v>
      </c>
      <c r="U40" s="706">
        <f t="shared" si="13"/>
        <v>100</v>
      </c>
      <c r="V40" s="705" t="s">
        <v>14</v>
      </c>
      <c r="W40" s="706">
        <f t="shared" si="14"/>
        <v>100</v>
      </c>
      <c r="X40" s="1355"/>
      <c r="Y40" s="368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1"/>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1"/>
      <c r="Q42" s="1352" t="str">
        <f t="shared" si="11"/>
        <v>内部装修</v>
      </c>
      <c r="R42" s="705" t="s">
        <v>14</v>
      </c>
      <c r="S42" s="706">
        <f t="shared" si="12"/>
        <v>100</v>
      </c>
      <c r="T42" s="705" t="s">
        <v>14</v>
      </c>
      <c r="U42" s="706">
        <f t="shared" si="13"/>
        <v>100</v>
      </c>
      <c r="V42" s="705" t="s">
        <v>14</v>
      </c>
      <c r="W42" s="706">
        <f t="shared" si="14"/>
        <v>100</v>
      </c>
      <c r="X42" s="1355"/>
      <c r="Y42" s="368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1"/>
      <c r="Q43" s="1352" t="str">
        <f t="shared" si="11"/>
        <v>内部装修维护情况</v>
      </c>
      <c r="R43" s="705" t="s">
        <v>14</v>
      </c>
      <c r="S43" s="706">
        <f t="shared" si="12"/>
        <v>100</v>
      </c>
      <c r="T43" s="705" t="s">
        <v>14</v>
      </c>
      <c r="U43" s="706">
        <f t="shared" si="13"/>
        <v>100</v>
      </c>
      <c r="V43" s="705" t="s">
        <v>14</v>
      </c>
      <c r="W43" s="706">
        <f t="shared" si="14"/>
        <v>100</v>
      </c>
      <c r="X43" s="1355"/>
      <c r="Y43" s="368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1"/>
      <c r="Q44" s="1343">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1"/>
      <c r="Q45" s="1352">
        <f t="shared" si="11"/>
        <v>111</v>
      </c>
      <c r="R45" s="705" t="s">
        <v>14</v>
      </c>
      <c r="S45" s="706">
        <f t="shared" si="12"/>
        <v>100</v>
      </c>
      <c r="T45" s="705" t="s">
        <v>14</v>
      </c>
      <c r="U45" s="706">
        <f t="shared" si="13"/>
        <v>100</v>
      </c>
      <c r="V45" s="705" t="s">
        <v>14</v>
      </c>
      <c r="W45" s="706">
        <f t="shared" si="14"/>
        <v>100</v>
      </c>
      <c r="X45" s="1355"/>
      <c r="Y45" s="368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6" t="str">
        <f>A47</f>
        <v>成交单价（元/平方米）</v>
      </c>
      <c r="Q47" s="3676"/>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913"/>
      <c r="M5" s="914"/>
      <c r="N5" s="914"/>
      <c r="O5" s="914"/>
      <c r="P5" s="3697"/>
      <c r="Q5" s="3698"/>
      <c r="R5" s="3703"/>
      <c r="S5" s="3704"/>
      <c r="T5" s="3703"/>
      <c r="U5" s="3704"/>
      <c r="V5" s="3707"/>
      <c r="W5" s="3707"/>
      <c r="X5" s="1355"/>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913"/>
      <c r="M6" s="914"/>
      <c r="N6" s="914"/>
      <c r="O6" s="9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45141</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1683</v>
      </c>
      <c r="Q8" s="3713"/>
      <c r="R8" s="701" t="s">
        <v>14</v>
      </c>
      <c r="S8" s="702">
        <f t="shared" si="0"/>
        <v>100</v>
      </c>
      <c r="T8" s="701" t="s">
        <v>14</v>
      </c>
      <c r="U8" s="702">
        <f t="shared" si="1"/>
        <v>100</v>
      </c>
      <c r="V8" s="701" t="s">
        <v>14</v>
      </c>
      <c r="W8" s="702">
        <f t="shared" si="2"/>
        <v>100</v>
      </c>
      <c r="X8" s="703"/>
      <c r="Y8" s="3712" t="s">
        <v>1683</v>
      </c>
      <c r="Z8" s="371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9"/>
      <c r="Q16" s="1352"/>
      <c r="R16" s="705"/>
      <c r="S16" s="706"/>
      <c r="T16" s="705"/>
      <c r="U16" s="706"/>
      <c r="V16" s="705"/>
      <c r="W16" s="706"/>
      <c r="X16" s="1355"/>
      <c r="Y16" s="367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9"/>
      <c r="Q18" s="1352"/>
      <c r="R18" s="705"/>
      <c r="S18" s="706"/>
      <c r="T18" s="705"/>
      <c r="U18" s="706"/>
      <c r="V18" s="705"/>
      <c r="W18" s="706"/>
      <c r="X18" s="1355"/>
      <c r="Y18" s="367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9"/>
      <c r="Q20" s="1352"/>
      <c r="R20" s="705"/>
      <c r="S20" s="706"/>
      <c r="T20" s="705"/>
      <c r="U20" s="706"/>
      <c r="V20" s="705"/>
      <c r="W20" s="706"/>
      <c r="X20" s="1355"/>
      <c r="Y20" s="367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9"/>
      <c r="Q22" s="1352"/>
      <c r="R22" s="705"/>
      <c r="S22" s="706"/>
      <c r="T22" s="705"/>
      <c r="U22" s="706"/>
      <c r="V22" s="705"/>
      <c r="W22" s="706"/>
      <c r="X22" s="1355"/>
      <c r="Y22" s="367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9"/>
      <c r="Q24" s="1352"/>
      <c r="R24" s="705"/>
      <c r="S24" s="706"/>
      <c r="T24" s="705"/>
      <c r="U24" s="706"/>
      <c r="V24" s="705"/>
      <c r="W24" s="706"/>
      <c r="X24" s="1355"/>
      <c r="Y24" s="367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2">
        <f>B25</f>
        <v>111</v>
      </c>
      <c r="R25" s="705" t="s">
        <v>14</v>
      </c>
      <c r="S25" s="706">
        <f>F25</f>
        <v>100</v>
      </c>
      <c r="T25" s="705" t="s">
        <v>14</v>
      </c>
      <c r="U25" s="706">
        <f>H25</f>
        <v>100</v>
      </c>
      <c r="V25" s="705" t="s">
        <v>14</v>
      </c>
      <c r="W25" s="706">
        <f>J25</f>
        <v>100</v>
      </c>
      <c r="X25" s="1355"/>
      <c r="Y25" s="367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2">
        <f t="shared" ref="Q26:Q40" si="11">B26</f>
        <v>111</v>
      </c>
      <c r="R26" s="705" t="s">
        <v>14</v>
      </c>
      <c r="S26" s="706">
        <f>F26</f>
        <v>100</v>
      </c>
      <c r="T26" s="705" t="s">
        <v>14</v>
      </c>
      <c r="U26" s="706">
        <f>H26</f>
        <v>100</v>
      </c>
      <c r="V26" s="705" t="s">
        <v>14</v>
      </c>
      <c r="W26" s="706">
        <f>J26</f>
        <v>100</v>
      </c>
      <c r="X26" s="1355"/>
      <c r="Y26" s="367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3">
        <f t="shared" si="11"/>
        <v>111</v>
      </c>
      <c r="R27" s="701" t="s">
        <v>14</v>
      </c>
      <c r="S27" s="702">
        <f>F27</f>
        <v>100</v>
      </c>
      <c r="T27" s="701" t="s">
        <v>14</v>
      </c>
      <c r="U27" s="702">
        <f>H27</f>
        <v>100</v>
      </c>
      <c r="V27" s="701" t="s">
        <v>14</v>
      </c>
      <c r="W27" s="702">
        <f>J27</f>
        <v>100</v>
      </c>
      <c r="X27" s="703"/>
      <c r="Y27" s="367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2">
        <f t="shared" si="11"/>
        <v>111</v>
      </c>
      <c r="R28" s="705" t="s">
        <v>14</v>
      </c>
      <c r="S28" s="706">
        <f t="shared" ref="S28:S40" si="12">F28</f>
        <v>100</v>
      </c>
      <c r="T28" s="705" t="s">
        <v>14</v>
      </c>
      <c r="U28" s="706">
        <f t="shared" ref="U28:U40" si="13">H28</f>
        <v>100</v>
      </c>
      <c r="V28" s="705" t="s">
        <v>14</v>
      </c>
      <c r="W28" s="706">
        <f t="shared" ref="W28:W40" si="14">J28</f>
        <v>100</v>
      </c>
      <c r="X28" s="1355"/>
      <c r="Y28" s="367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9" t="s">
        <v>1696</v>
      </c>
      <c r="Q29" s="1352" t="str">
        <f t="shared" si="11"/>
        <v>建筑类型</v>
      </c>
      <c r="R29" s="705" t="s">
        <v>14</v>
      </c>
      <c r="S29" s="706">
        <f t="shared" si="12"/>
        <v>100</v>
      </c>
      <c r="T29" s="705" t="s">
        <v>14</v>
      </c>
      <c r="U29" s="706">
        <f t="shared" si="13"/>
        <v>100</v>
      </c>
      <c r="V29" s="705" t="s">
        <v>14</v>
      </c>
      <c r="W29" s="706">
        <f t="shared" si="14"/>
        <v>100</v>
      </c>
      <c r="X29" s="1355"/>
      <c r="Y29" s="368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3"/>
      <c r="Q30" s="707" t="str">
        <f t="shared" si="11"/>
        <v>项目建筑规模</v>
      </c>
      <c r="R30" s="708" t="s">
        <v>14</v>
      </c>
      <c r="S30" s="709" t="e">
        <f t="shared" si="12"/>
        <v>#N/A</v>
      </c>
      <c r="T30" s="708" t="s">
        <v>14</v>
      </c>
      <c r="U30" s="709" t="e">
        <f t="shared" si="13"/>
        <v>#N/A</v>
      </c>
      <c r="V30" s="708" t="s">
        <v>14</v>
      </c>
      <c r="W30" s="709" t="e">
        <f t="shared" si="14"/>
        <v>#N/A</v>
      </c>
      <c r="X30" s="710"/>
      <c r="Y30" s="368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3"/>
      <c r="Q31" s="1352" t="str">
        <f t="shared" si="11"/>
        <v>建筑结构</v>
      </c>
      <c r="R31" s="705" t="s">
        <v>14</v>
      </c>
      <c r="S31" s="706">
        <f t="shared" si="12"/>
        <v>100</v>
      </c>
      <c r="T31" s="705" t="s">
        <v>14</v>
      </c>
      <c r="U31" s="706">
        <f t="shared" si="13"/>
        <v>100</v>
      </c>
      <c r="V31" s="705" t="s">
        <v>14</v>
      </c>
      <c r="W31" s="706">
        <f t="shared" si="14"/>
        <v>100</v>
      </c>
      <c r="X31" s="1355"/>
      <c r="Y31" s="368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3"/>
      <c r="Q32" s="1352" t="str">
        <f t="shared" si="11"/>
        <v>公共部分装修</v>
      </c>
      <c r="R32" s="705" t="s">
        <v>14</v>
      </c>
      <c r="S32" s="706">
        <f t="shared" si="12"/>
        <v>100</v>
      </c>
      <c r="T32" s="705" t="s">
        <v>14</v>
      </c>
      <c r="U32" s="706">
        <f t="shared" si="13"/>
        <v>100</v>
      </c>
      <c r="V32" s="705" t="s">
        <v>14</v>
      </c>
      <c r="W32" s="706">
        <f t="shared" si="14"/>
        <v>100</v>
      </c>
      <c r="X32" s="1355"/>
      <c r="Y32" s="368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3"/>
      <c r="Q33" s="1352" t="str">
        <f t="shared" si="11"/>
        <v>成新度</v>
      </c>
      <c r="R33" s="705" t="s">
        <v>14</v>
      </c>
      <c r="S33" s="706" t="e">
        <f t="shared" si="12"/>
        <v>#N/A</v>
      </c>
      <c r="T33" s="705" t="s">
        <v>14</v>
      </c>
      <c r="U33" s="706" t="e">
        <f t="shared" si="13"/>
        <v>#N/A</v>
      </c>
      <c r="V33" s="705" t="s">
        <v>14</v>
      </c>
      <c r="W33" s="706" t="e">
        <f t="shared" si="14"/>
        <v>#N/A</v>
      </c>
      <c r="X33" s="1355"/>
      <c r="Y33" s="368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3"/>
      <c r="Q34" s="1343"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3" t="s">
        <v>1696</v>
      </c>
      <c r="Q35" s="1352" t="str">
        <f t="shared" si="11"/>
        <v>市政基础设施</v>
      </c>
      <c r="R35" s="705" t="s">
        <v>14</v>
      </c>
      <c r="S35" s="706">
        <f t="shared" si="12"/>
        <v>100</v>
      </c>
      <c r="T35" s="705" t="s">
        <v>14</v>
      </c>
      <c r="U35" s="706">
        <f t="shared" si="13"/>
        <v>100</v>
      </c>
      <c r="V35" s="705" t="s">
        <v>14</v>
      </c>
      <c r="W35" s="706">
        <f t="shared" si="14"/>
        <v>100</v>
      </c>
      <c r="X35" s="1355"/>
      <c r="Y35" s="368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3"/>
      <c r="Q36" s="1352" t="str">
        <f t="shared" si="11"/>
        <v>内部装修</v>
      </c>
      <c r="R36" s="705" t="s">
        <v>14</v>
      </c>
      <c r="S36" s="706">
        <f t="shared" si="12"/>
        <v>100</v>
      </c>
      <c r="T36" s="705" t="s">
        <v>14</v>
      </c>
      <c r="U36" s="706">
        <f t="shared" si="13"/>
        <v>100</v>
      </c>
      <c r="V36" s="705" t="s">
        <v>14</v>
      </c>
      <c r="W36" s="706">
        <f t="shared" si="14"/>
        <v>100</v>
      </c>
      <c r="X36" s="1355"/>
      <c r="Y36" s="368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3"/>
      <c r="Q37" s="1352" t="str">
        <f t="shared" si="11"/>
        <v>内部装修状况</v>
      </c>
      <c r="R37" s="705" t="s">
        <v>14</v>
      </c>
      <c r="S37" s="706">
        <f t="shared" si="12"/>
        <v>100</v>
      </c>
      <c r="T37" s="705" t="s">
        <v>14</v>
      </c>
      <c r="U37" s="706">
        <f t="shared" si="13"/>
        <v>100</v>
      </c>
      <c r="V37" s="705" t="s">
        <v>14</v>
      </c>
      <c r="W37" s="706">
        <f t="shared" si="14"/>
        <v>100</v>
      </c>
      <c r="X37" s="1355"/>
      <c r="Y37" s="368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3"/>
      <c r="Q38" s="707">
        <f t="shared" si="11"/>
        <v>111</v>
      </c>
      <c r="R38" s="708" t="s">
        <v>14</v>
      </c>
      <c r="S38" s="709">
        <f t="shared" si="12"/>
        <v>100</v>
      </c>
      <c r="T38" s="708" t="s">
        <v>14</v>
      </c>
      <c r="U38" s="709">
        <f t="shared" si="13"/>
        <v>100</v>
      </c>
      <c r="V38" s="708" t="s">
        <v>14</v>
      </c>
      <c r="W38" s="709">
        <f t="shared" si="14"/>
        <v>100</v>
      </c>
      <c r="X38" s="710"/>
      <c r="Y38" s="368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3"/>
      <c r="Q39" s="1352">
        <f t="shared" si="11"/>
        <v>111</v>
      </c>
      <c r="R39" s="705" t="s">
        <v>14</v>
      </c>
      <c r="S39" s="706">
        <f t="shared" si="12"/>
        <v>100</v>
      </c>
      <c r="T39" s="705" t="s">
        <v>14</v>
      </c>
      <c r="U39" s="706">
        <f t="shared" si="13"/>
        <v>100</v>
      </c>
      <c r="V39" s="705" t="s">
        <v>14</v>
      </c>
      <c r="W39" s="706">
        <f t="shared" si="14"/>
        <v>100</v>
      </c>
      <c r="X39" s="1355"/>
      <c r="Y39" s="368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4"/>
      <c r="Q40" s="1352">
        <f t="shared" si="11"/>
        <v>111</v>
      </c>
      <c r="R40" s="705" t="s">
        <v>14</v>
      </c>
      <c r="S40" s="706">
        <f t="shared" si="12"/>
        <v>100</v>
      </c>
      <c r="T40" s="705" t="s">
        <v>14</v>
      </c>
      <c r="U40" s="706">
        <f t="shared" si="13"/>
        <v>100</v>
      </c>
      <c r="V40" s="705" t="s">
        <v>14</v>
      </c>
      <c r="W40" s="706">
        <f t="shared" si="14"/>
        <v>100</v>
      </c>
      <c r="X40" s="1355"/>
      <c r="Y40" s="368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15"/>
      <c r="M5" s="2716"/>
      <c r="N5" s="2716"/>
      <c r="O5" s="2716"/>
      <c r="P5" s="3697"/>
      <c r="Q5" s="3698"/>
      <c r="R5" s="3703"/>
      <c r="S5" s="3704"/>
      <c r="T5" s="3703"/>
      <c r="U5" s="3704"/>
      <c r="V5" s="3707"/>
      <c r="W5" s="3707"/>
      <c r="X5" s="1355"/>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2715"/>
      <c r="M6" s="2716"/>
      <c r="N6" s="2716"/>
      <c r="O6" s="2716"/>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45141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2" t="s">
        <v>1683</v>
      </c>
      <c r="Q8" s="3713"/>
      <c r="R8" s="701" t="s">
        <v>14</v>
      </c>
      <c r="S8" s="702">
        <f t="shared" si="0"/>
        <v>100</v>
      </c>
      <c r="T8" s="701" t="s">
        <v>14</v>
      </c>
      <c r="U8" s="702">
        <f t="shared" si="1"/>
        <v>100</v>
      </c>
      <c r="V8" s="701" t="s">
        <v>14</v>
      </c>
      <c r="W8" s="702">
        <f t="shared" si="2"/>
        <v>100</v>
      </c>
      <c r="X8" s="703"/>
      <c r="Y8" s="3712" t="s">
        <v>1683</v>
      </c>
      <c r="Z8" s="371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9"/>
      <c r="Q15" s="1352"/>
      <c r="R15" s="705"/>
      <c r="S15" s="706"/>
      <c r="T15" s="705"/>
      <c r="U15" s="706"/>
      <c r="V15" s="705"/>
      <c r="W15" s="706"/>
      <c r="X15" s="1355"/>
      <c r="Y15" s="367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9"/>
      <c r="Q17" s="1352"/>
      <c r="R17" s="705"/>
      <c r="S17" s="706"/>
      <c r="T17" s="705"/>
      <c r="U17" s="706"/>
      <c r="V17" s="705"/>
      <c r="W17" s="706"/>
      <c r="X17" s="1355"/>
      <c r="Y17" s="367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9"/>
      <c r="Q19" s="1352"/>
      <c r="R19" s="705"/>
      <c r="S19" s="706"/>
      <c r="T19" s="705"/>
      <c r="U19" s="706"/>
      <c r="V19" s="705"/>
      <c r="W19" s="706"/>
      <c r="X19" s="1355"/>
      <c r="Y19" s="367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9"/>
      <c r="Q21" s="1352"/>
      <c r="R21" s="705"/>
      <c r="S21" s="706"/>
      <c r="T21" s="705"/>
      <c r="U21" s="706"/>
      <c r="V21" s="705"/>
      <c r="W21" s="706"/>
      <c r="X21" s="1355"/>
      <c r="Y21" s="367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9"/>
      <c r="Q24" s="1352">
        <f t="shared" ref="Q24:Q36"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1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3"/>
      <c r="Q28" s="1352" t="str">
        <f t="shared" si="11"/>
        <v>公共部分装修</v>
      </c>
      <c r="R28" s="705" t="s">
        <v>14</v>
      </c>
      <c r="S28" s="706">
        <f t="shared" si="12"/>
        <v>100</v>
      </c>
      <c r="T28" s="705" t="s">
        <v>14</v>
      </c>
      <c r="U28" s="706">
        <f t="shared" si="13"/>
        <v>100</v>
      </c>
      <c r="V28" s="705" t="s">
        <v>14</v>
      </c>
      <c r="W28" s="706">
        <f t="shared" si="14"/>
        <v>100</v>
      </c>
      <c r="X28" s="1355"/>
      <c r="Y28" s="368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3"/>
      <c r="Q29" s="1352" t="str">
        <f t="shared" si="11"/>
        <v>成新率</v>
      </c>
      <c r="R29" s="705" t="s">
        <v>14</v>
      </c>
      <c r="S29" s="706" t="e">
        <f t="shared" si="12"/>
        <v>#N/A</v>
      </c>
      <c r="T29" s="705" t="s">
        <v>14</v>
      </c>
      <c r="U29" s="706" t="e">
        <f t="shared" si="13"/>
        <v>#N/A</v>
      </c>
      <c r="V29" s="705" t="s">
        <v>14</v>
      </c>
      <c r="W29" s="706" t="e">
        <f t="shared" si="14"/>
        <v>#N/A</v>
      </c>
      <c r="X29" s="1355"/>
      <c r="Y29" s="368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3"/>
      <c r="Q30" s="1352" t="str">
        <f t="shared" si="11"/>
        <v>物业等级</v>
      </c>
      <c r="R30" s="705" t="s">
        <v>14</v>
      </c>
      <c r="S30" s="706">
        <f t="shared" si="12"/>
        <v>100</v>
      </c>
      <c r="T30" s="705" t="s">
        <v>14</v>
      </c>
      <c r="U30" s="706">
        <f t="shared" si="13"/>
        <v>100</v>
      </c>
      <c r="V30" s="705" t="s">
        <v>14</v>
      </c>
      <c r="W30" s="706">
        <f t="shared" si="14"/>
        <v>100</v>
      </c>
      <c r="X30" s="1355"/>
      <c r="Y30" s="368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3"/>
      <c r="Q31" s="1343"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3" t="s">
        <v>1696</v>
      </c>
      <c r="Q32" s="1352" t="str">
        <f t="shared" si="11"/>
        <v>车位类型</v>
      </c>
      <c r="R32" s="705" t="s">
        <v>14</v>
      </c>
      <c r="S32" s="706">
        <f t="shared" si="12"/>
        <v>100</v>
      </c>
      <c r="T32" s="705" t="s">
        <v>14</v>
      </c>
      <c r="U32" s="706">
        <f t="shared" si="13"/>
        <v>100</v>
      </c>
      <c r="V32" s="705" t="s">
        <v>14</v>
      </c>
      <c r="W32" s="706">
        <f t="shared" si="14"/>
        <v>100</v>
      </c>
      <c r="X32" s="1355"/>
      <c r="Y32" s="368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3"/>
      <c r="Q33" s="1352" t="str">
        <f t="shared" si="11"/>
        <v>是否直接入户</v>
      </c>
      <c r="R33" s="705" t="s">
        <v>14</v>
      </c>
      <c r="S33" s="706">
        <f t="shared" si="12"/>
        <v>100</v>
      </c>
      <c r="T33" s="705" t="s">
        <v>14</v>
      </c>
      <c r="U33" s="706">
        <f t="shared" si="13"/>
        <v>100</v>
      </c>
      <c r="V33" s="705" t="s">
        <v>14</v>
      </c>
      <c r="W33" s="706">
        <f t="shared" si="14"/>
        <v>100</v>
      </c>
      <c r="X33" s="1355"/>
      <c r="Y33" s="368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3"/>
      <c r="Q36" s="1352">
        <f t="shared" si="11"/>
        <v>111</v>
      </c>
      <c r="R36" s="705" t="s">
        <v>14</v>
      </c>
      <c r="S36" s="706">
        <f t="shared" si="12"/>
        <v>100</v>
      </c>
      <c r="T36" s="705" t="s">
        <v>14</v>
      </c>
      <c r="U36" s="706">
        <f t="shared" si="13"/>
        <v>100</v>
      </c>
      <c r="V36" s="705" t="s">
        <v>14</v>
      </c>
      <c r="W36" s="706">
        <f t="shared" si="14"/>
        <v>100</v>
      </c>
      <c r="X36" s="1355"/>
      <c r="Y36" s="368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3" t="str">
        <f>A39</f>
        <v>估价对象XX用房的比较价值（楼面单价，元/平方米）</v>
      </c>
      <c r="Q39" s="3674"/>
      <c r="R39" s="3720" t="e">
        <f>IF(F1="售价",ROUND(IF(D38="简单平均",AVERAGE(R38:W38),R38*F38+T38*H38+V38*J38),0),ROUND(IF(D38="简单平均",AVERAGE(R38:V38),R38*F38+T38*H38+V38*J38),1))</f>
        <v>#DIV/0!</v>
      </c>
      <c r="S39" s="3720"/>
      <c r="T39" s="3720"/>
      <c r="U39" s="3720"/>
      <c r="V39" s="3720"/>
      <c r="W39" s="372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15"/>
      <c r="M5" s="2716"/>
      <c r="N5" s="2716"/>
      <c r="O5" s="2716"/>
      <c r="P5" s="3697"/>
      <c r="Q5" s="3698"/>
      <c r="R5" s="3703"/>
      <c r="S5" s="3704"/>
      <c r="T5" s="3703"/>
      <c r="U5" s="3704"/>
      <c r="V5" s="3707"/>
      <c r="W5" s="3707"/>
      <c r="X5" s="1355"/>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2715"/>
      <c r="M6" s="2716"/>
      <c r="N6" s="2716"/>
      <c r="O6" s="2716"/>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45141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2" t="s">
        <v>1683</v>
      </c>
      <c r="Q8" s="3713"/>
      <c r="R8" s="701" t="s">
        <v>14</v>
      </c>
      <c r="S8" s="702">
        <f t="shared" si="0"/>
        <v>100</v>
      </c>
      <c r="T8" s="701" t="s">
        <v>14</v>
      </c>
      <c r="U8" s="702">
        <f t="shared" si="1"/>
        <v>100</v>
      </c>
      <c r="V8" s="701" t="s">
        <v>14</v>
      </c>
      <c r="W8" s="702">
        <f t="shared" si="2"/>
        <v>100</v>
      </c>
      <c r="X8" s="703"/>
      <c r="Y8" s="3712" t="s">
        <v>1683</v>
      </c>
      <c r="Z8" s="371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9"/>
      <c r="Q15" s="1352"/>
      <c r="R15" s="705"/>
      <c r="S15" s="706"/>
      <c r="T15" s="705"/>
      <c r="U15" s="706"/>
      <c r="V15" s="705"/>
      <c r="W15" s="706"/>
      <c r="X15" s="1355"/>
      <c r="Y15" s="367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9"/>
      <c r="Q17" s="1352"/>
      <c r="R17" s="705"/>
      <c r="S17" s="706"/>
      <c r="T17" s="705"/>
      <c r="U17" s="706"/>
      <c r="V17" s="705"/>
      <c r="W17" s="706"/>
      <c r="X17" s="1355"/>
      <c r="Y17" s="367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9"/>
      <c r="Q19" s="1352"/>
      <c r="R19" s="705"/>
      <c r="S19" s="706"/>
      <c r="T19" s="705"/>
      <c r="U19" s="706"/>
      <c r="V19" s="705"/>
      <c r="W19" s="706"/>
      <c r="X19" s="1355"/>
      <c r="Y19" s="367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9"/>
      <c r="Q21" s="1352"/>
      <c r="R21" s="705"/>
      <c r="S21" s="706"/>
      <c r="T21" s="705"/>
      <c r="U21" s="706"/>
      <c r="V21" s="705"/>
      <c r="W21" s="706"/>
      <c r="X21" s="1355"/>
      <c r="Y21" s="367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9"/>
      <c r="Q24" s="1352">
        <f t="shared" ref="Q24:Q34"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1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3"/>
      <c r="Q28" s="1352" t="str">
        <f t="shared" si="11"/>
        <v>物业等级</v>
      </c>
      <c r="R28" s="705" t="s">
        <v>14</v>
      </c>
      <c r="S28" s="706">
        <f t="shared" si="12"/>
        <v>100</v>
      </c>
      <c r="T28" s="705" t="s">
        <v>14</v>
      </c>
      <c r="U28" s="706">
        <f t="shared" si="13"/>
        <v>100</v>
      </c>
      <c r="V28" s="705" t="s">
        <v>14</v>
      </c>
      <c r="W28" s="706">
        <f t="shared" si="14"/>
        <v>100</v>
      </c>
      <c r="X28" s="1355"/>
      <c r="Y28" s="368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3"/>
      <c r="Q29" s="1352" t="str">
        <f t="shared" si="11"/>
        <v>有无电梯</v>
      </c>
      <c r="R29" s="705" t="s">
        <v>14</v>
      </c>
      <c r="S29" s="706">
        <f t="shared" si="12"/>
        <v>100</v>
      </c>
      <c r="T29" s="705" t="s">
        <v>14</v>
      </c>
      <c r="U29" s="706">
        <f t="shared" si="13"/>
        <v>100</v>
      </c>
      <c r="V29" s="705" t="s">
        <v>14</v>
      </c>
      <c r="W29" s="706">
        <f t="shared" si="14"/>
        <v>100</v>
      </c>
      <c r="X29" s="1355"/>
      <c r="Y29" s="368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3"/>
      <c r="Q30" s="1352" t="str">
        <f t="shared" si="11"/>
        <v>建筑面积</v>
      </c>
      <c r="R30" s="705" t="s">
        <v>14</v>
      </c>
      <c r="S30" s="706" t="e">
        <f t="shared" si="12"/>
        <v>#N/A</v>
      </c>
      <c r="T30" s="705" t="s">
        <v>14</v>
      </c>
      <c r="U30" s="706" t="e">
        <f t="shared" si="13"/>
        <v>#N/A</v>
      </c>
      <c r="V30" s="705" t="s">
        <v>14</v>
      </c>
      <c r="W30" s="706" t="e">
        <f t="shared" si="14"/>
        <v>#N/A</v>
      </c>
      <c r="X30" s="1355"/>
      <c r="Y30" s="368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3"/>
      <c r="Q31" s="1343"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3" t="s">
        <v>1696</v>
      </c>
      <c r="Q32" s="1352">
        <f t="shared" si="11"/>
        <v>111</v>
      </c>
      <c r="R32" s="705" t="s">
        <v>14</v>
      </c>
      <c r="S32" s="706">
        <f t="shared" si="12"/>
        <v>100</v>
      </c>
      <c r="T32" s="705" t="s">
        <v>14</v>
      </c>
      <c r="U32" s="706">
        <f t="shared" si="13"/>
        <v>100</v>
      </c>
      <c r="V32" s="705" t="s">
        <v>14</v>
      </c>
      <c r="W32" s="706">
        <f t="shared" si="14"/>
        <v>100</v>
      </c>
      <c r="X32" s="1355"/>
      <c r="Y32" s="368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3"/>
      <c r="Q33" s="1352">
        <f t="shared" si="11"/>
        <v>111</v>
      </c>
      <c r="R33" s="705" t="s">
        <v>14</v>
      </c>
      <c r="S33" s="706">
        <f t="shared" si="12"/>
        <v>100</v>
      </c>
      <c r="T33" s="705" t="s">
        <v>14</v>
      </c>
      <c r="U33" s="706">
        <f t="shared" si="13"/>
        <v>100</v>
      </c>
      <c r="V33" s="705" t="s">
        <v>14</v>
      </c>
      <c r="W33" s="706">
        <f t="shared" si="14"/>
        <v>100</v>
      </c>
      <c r="X33" s="1355"/>
      <c r="Y33" s="368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3" t="str">
        <f>A37</f>
        <v>估价对象XX用房的比较价值（楼面单价，元/平方米）</v>
      </c>
      <c r="Q37" s="3674"/>
      <c r="R37" s="3720" t="e">
        <f>IF(F1="售价",ROUND(IF(D36="简单平均",AVERAGE(R36:W36),R36*F36+T36*H36+V36*J36),0),ROUND(IF(D36="简单平均",AVERAGE(R36:V36),R36*F36+T36*H36+V36*J36),1))</f>
        <v>#DIV/0!</v>
      </c>
      <c r="S37" s="3720"/>
      <c r="T37" s="3720"/>
      <c r="U37" s="3720"/>
      <c r="V37" s="3720"/>
      <c r="W37" s="372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估价对象为北京市房地产，为所有。根据《国有土地使用证》[]，估价对象（分摊）出让国有建设用地使用权面积为0平方米，建筑面积为133.12平方米。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估价对象为北京市房地产,属开发建设的，该项目尚在开发建设中。根据《国有土地使用证》[]，估价对象（分摊）出让国有建设用地使用权面积为0平方米，规划建筑面积为133.12平方米。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2023年8月3日（评估专业人员实地查勘之日）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30" ht="15">
      <c r="A5" s="358"/>
      <c r="B5" s="359"/>
      <c r="C5" s="3710" t="s">
        <v>1673</v>
      </c>
      <c r="D5" s="3711"/>
      <c r="E5" s="3717" t="s">
        <v>1674</v>
      </c>
      <c r="F5" s="3718"/>
      <c r="G5" s="3710" t="s">
        <v>1675</v>
      </c>
      <c r="H5" s="3711"/>
      <c r="I5" s="3710" t="s">
        <v>1676</v>
      </c>
      <c r="J5" s="3711"/>
      <c r="K5" s="559"/>
      <c r="L5" s="2715"/>
      <c r="M5" s="2716"/>
      <c r="N5" s="2716"/>
      <c r="O5" s="2716"/>
      <c r="P5" s="3697"/>
      <c r="Q5" s="3698"/>
      <c r="R5" s="3703"/>
      <c r="S5" s="3704"/>
      <c r="T5" s="3703"/>
      <c r="U5" s="3704"/>
      <c r="V5" s="3707"/>
      <c r="W5" s="3707"/>
      <c r="X5" s="1355"/>
      <c r="Y5" s="3703"/>
      <c r="Z5" s="3704"/>
      <c r="AA5" s="3689"/>
      <c r="AB5" s="3689"/>
      <c r="AC5" s="3689"/>
    </row>
    <row r="6" spans="1:30" ht="15.75" thickBot="1">
      <c r="A6" s="360"/>
      <c r="B6" s="361"/>
      <c r="C6" s="3708" t="s">
        <v>1677</v>
      </c>
      <c r="D6" s="3709"/>
      <c r="E6" s="3715" t="s">
        <v>1677</v>
      </c>
      <c r="F6" s="3716"/>
      <c r="G6" s="3708" t="s">
        <v>1677</v>
      </c>
      <c r="H6" s="3709"/>
      <c r="I6" s="3708" t="s">
        <v>1677</v>
      </c>
      <c r="J6" s="3709"/>
      <c r="K6" s="559" t="s">
        <v>1678</v>
      </c>
      <c r="L6" s="2715"/>
      <c r="M6" s="2716"/>
      <c r="N6" s="2716"/>
      <c r="O6" s="2716"/>
      <c r="P6" s="3699"/>
      <c r="Q6" s="3700"/>
      <c r="R6" s="3703"/>
      <c r="S6" s="3704"/>
      <c r="T6" s="3705"/>
      <c r="U6" s="3706"/>
      <c r="V6" s="3707"/>
      <c r="W6" s="3707"/>
      <c r="X6" s="1355"/>
      <c r="Y6" s="3705"/>
      <c r="Z6" s="3706"/>
      <c r="AA6" s="3690"/>
      <c r="AB6" s="3690"/>
      <c r="AC6" s="3690"/>
    </row>
    <row r="7" spans="1:30" s="108" customFormat="1" ht="15.75" thickBot="1">
      <c r="A7" s="362" t="s">
        <v>1679</v>
      </c>
      <c r="B7" s="363"/>
      <c r="C7" s="364">
        <f>'数据-取费表'!B2</f>
        <v>45141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2" t="s">
        <v>1683</v>
      </c>
      <c r="Q8" s="3713"/>
      <c r="R8" s="701" t="s">
        <v>14</v>
      </c>
      <c r="S8" s="702">
        <f t="shared" si="0"/>
        <v>0</v>
      </c>
      <c r="T8" s="701" t="s">
        <v>14</v>
      </c>
      <c r="U8" s="702">
        <f t="shared" si="1"/>
        <v>0</v>
      </c>
      <c r="V8" s="701" t="s">
        <v>14</v>
      </c>
      <c r="W8" s="702">
        <f t="shared" si="2"/>
        <v>0</v>
      </c>
      <c r="X8" s="703"/>
      <c r="Y8" s="3712" t="s">
        <v>1683</v>
      </c>
      <c r="Z8" s="371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76"/>
      <c r="Q10" s="1343" t="str">
        <f t="shared" si="6"/>
        <v>土地使用年限（年）</v>
      </c>
      <c r="R10" s="701" t="s">
        <v>14</v>
      </c>
      <c r="S10" s="702">
        <f t="shared" si="0"/>
        <v>112</v>
      </c>
      <c r="T10" s="701" t="s">
        <v>14</v>
      </c>
      <c r="U10" s="702">
        <f t="shared" si="1"/>
        <v>112</v>
      </c>
      <c r="V10" s="701" t="s">
        <v>14</v>
      </c>
      <c r="W10" s="702">
        <f t="shared" si="2"/>
        <v>112</v>
      </c>
      <c r="X10" s="703"/>
      <c r="Y10" s="3551"/>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6"/>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8" t="s">
        <v>1691</v>
      </c>
      <c r="Q15" s="1352" t="str">
        <f t="shared" si="6"/>
        <v>居住社区成熟度</v>
      </c>
      <c r="R15" s="705" t="s">
        <v>14</v>
      </c>
      <c r="S15" s="706">
        <f t="shared" si="0"/>
        <v>100</v>
      </c>
      <c r="T15" s="705" t="s">
        <v>14</v>
      </c>
      <c r="U15" s="706">
        <f t="shared" si="1"/>
        <v>100</v>
      </c>
      <c r="V15" s="705" t="s">
        <v>14</v>
      </c>
      <c r="W15" s="706">
        <f t="shared" si="2"/>
        <v>100</v>
      </c>
      <c r="X15" s="1355"/>
      <c r="Y15" s="367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9"/>
      <c r="Q16" s="1352"/>
      <c r="R16" s="705"/>
      <c r="S16" s="706"/>
      <c r="T16" s="705"/>
      <c r="U16" s="706"/>
      <c r="V16" s="705"/>
      <c r="W16" s="706"/>
      <c r="X16" s="1355"/>
      <c r="Y16" s="367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9"/>
      <c r="Q17" s="1352" t="str">
        <f>B17</f>
        <v>商业繁华度</v>
      </c>
      <c r="R17" s="705" t="s">
        <v>14</v>
      </c>
      <c r="S17" s="706">
        <f>F17</f>
        <v>100</v>
      </c>
      <c r="T17" s="705" t="s">
        <v>14</v>
      </c>
      <c r="U17" s="706">
        <f>H17</f>
        <v>100</v>
      </c>
      <c r="V17" s="705" t="s">
        <v>14</v>
      </c>
      <c r="W17" s="706">
        <f>J17</f>
        <v>100</v>
      </c>
      <c r="X17" s="1355"/>
      <c r="Y17" s="367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9"/>
      <c r="Q18" s="1352"/>
      <c r="R18" s="705"/>
      <c r="S18" s="706"/>
      <c r="T18" s="705"/>
      <c r="U18" s="706"/>
      <c r="V18" s="705"/>
      <c r="W18" s="706"/>
      <c r="X18" s="1355"/>
      <c r="Y18" s="367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9"/>
      <c r="Q19" s="1352" t="str">
        <f>B19</f>
        <v>办公集聚程度</v>
      </c>
      <c r="R19" s="705" t="s">
        <v>14</v>
      </c>
      <c r="S19" s="706">
        <f>F19</f>
        <v>100</v>
      </c>
      <c r="T19" s="705" t="s">
        <v>14</v>
      </c>
      <c r="U19" s="706">
        <f>H19</f>
        <v>100</v>
      </c>
      <c r="V19" s="705" t="s">
        <v>14</v>
      </c>
      <c r="W19" s="706">
        <f>J19</f>
        <v>100</v>
      </c>
      <c r="X19" s="1355"/>
      <c r="Y19" s="367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9"/>
      <c r="Q20" s="1352"/>
      <c r="R20" s="705"/>
      <c r="S20" s="706"/>
      <c r="T20" s="705"/>
      <c r="U20" s="706"/>
      <c r="V20" s="705"/>
      <c r="W20" s="706"/>
      <c r="X20" s="1355"/>
      <c r="Y20" s="367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9"/>
      <c r="Q21" s="1352" t="str">
        <f>B21</f>
        <v>交通便捷度</v>
      </c>
      <c r="R21" s="705" t="s">
        <v>14</v>
      </c>
      <c r="S21" s="706">
        <f>F21</f>
        <v>100</v>
      </c>
      <c r="T21" s="705" t="s">
        <v>14</v>
      </c>
      <c r="U21" s="706">
        <f>H21</f>
        <v>100</v>
      </c>
      <c r="V21" s="705" t="s">
        <v>14</v>
      </c>
      <c r="W21" s="706">
        <f>J21</f>
        <v>100</v>
      </c>
      <c r="X21" s="1355"/>
      <c r="Y21" s="367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9"/>
      <c r="Q22" s="1352"/>
      <c r="R22" s="705"/>
      <c r="S22" s="706"/>
      <c r="T22" s="705"/>
      <c r="U22" s="706"/>
      <c r="V22" s="705"/>
      <c r="W22" s="706"/>
      <c r="X22" s="1355"/>
      <c r="Y22" s="367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9"/>
      <c r="Q23" s="1352" t="str">
        <f t="shared" ref="Q23:Q37" si="8">B23</f>
        <v>区域土地利用方向</v>
      </c>
      <c r="R23" s="705" t="s">
        <v>14</v>
      </c>
      <c r="S23" s="706">
        <f>F23</f>
        <v>100</v>
      </c>
      <c r="T23" s="705" t="s">
        <v>14</v>
      </c>
      <c r="U23" s="706">
        <f>H23</f>
        <v>100</v>
      </c>
      <c r="V23" s="705" t="s">
        <v>14</v>
      </c>
      <c r="W23" s="706">
        <f>J23</f>
        <v>100</v>
      </c>
      <c r="X23" s="1355"/>
      <c r="Y23" s="367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9"/>
      <c r="Q24" s="1352"/>
      <c r="R24" s="705"/>
      <c r="S24" s="706"/>
      <c r="T24" s="705"/>
      <c r="U24" s="706"/>
      <c r="V24" s="705"/>
      <c r="W24" s="706"/>
      <c r="X24" s="1355"/>
      <c r="Y24" s="367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9"/>
      <c r="Q25" s="1352" t="str">
        <f t="shared" si="8"/>
        <v>自然及人文环境状况</v>
      </c>
      <c r="R25" s="705" t="s">
        <v>14</v>
      </c>
      <c r="S25" s="706">
        <f>F25</f>
        <v>100</v>
      </c>
      <c r="T25" s="705" t="s">
        <v>14</v>
      </c>
      <c r="U25" s="706">
        <f>H25</f>
        <v>100</v>
      </c>
      <c r="V25" s="705" t="s">
        <v>14</v>
      </c>
      <c r="W25" s="706">
        <f>J25</f>
        <v>100</v>
      </c>
      <c r="X25" s="1355"/>
      <c r="Y25" s="367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9"/>
      <c r="Q26" s="1352"/>
      <c r="R26" s="705"/>
      <c r="S26" s="706"/>
      <c r="T26" s="705"/>
      <c r="U26" s="706"/>
      <c r="V26" s="705"/>
      <c r="W26" s="706"/>
      <c r="X26" s="1355"/>
      <c r="Y26" s="367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9"/>
      <c r="Q27" s="1343" t="str">
        <f t="shared" si="8"/>
        <v>公共配套设施</v>
      </c>
      <c r="R27" s="701" t="s">
        <v>14</v>
      </c>
      <c r="S27" s="702">
        <f>F27</f>
        <v>100</v>
      </c>
      <c r="T27" s="701" t="s">
        <v>14</v>
      </c>
      <c r="U27" s="702">
        <f>H27</f>
        <v>100</v>
      </c>
      <c r="V27" s="701" t="s">
        <v>14</v>
      </c>
      <c r="W27" s="702">
        <f>J27</f>
        <v>100</v>
      </c>
      <c r="X27" s="703"/>
      <c r="Y27" s="367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9"/>
      <c r="Q28" s="1343"/>
      <c r="R28" s="701"/>
      <c r="S28" s="702"/>
      <c r="T28" s="701"/>
      <c r="U28" s="702"/>
      <c r="V28" s="701"/>
      <c r="W28" s="702"/>
      <c r="X28" s="703"/>
      <c r="Y28" s="367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9"/>
      <c r="Q29" s="1343"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9"/>
      <c r="Q30" s="1343"/>
      <c r="R30" s="701"/>
      <c r="S30" s="702"/>
      <c r="T30" s="701"/>
      <c r="U30" s="702"/>
      <c r="V30" s="701"/>
      <c r="W30" s="702"/>
      <c r="X30" s="703"/>
      <c r="Y30" s="367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9"/>
      <c r="Q32" s="1352" t="str">
        <f t="shared" si="8"/>
        <v>毗邻道路的类型与等级</v>
      </c>
      <c r="R32" s="705" t="s">
        <v>14</v>
      </c>
      <c r="S32" s="706">
        <f t="shared" si="10"/>
        <v>100</v>
      </c>
      <c r="T32" s="705" t="s">
        <v>14</v>
      </c>
      <c r="U32" s="706">
        <f t="shared" si="11"/>
        <v>100</v>
      </c>
      <c r="V32" s="705" t="s">
        <v>14</v>
      </c>
      <c r="W32" s="706">
        <f t="shared" si="12"/>
        <v>100</v>
      </c>
      <c r="X32" s="1355"/>
      <c r="Y32" s="367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9"/>
      <c r="Q33" s="1352"/>
      <c r="R33" s="705"/>
      <c r="S33" s="706"/>
      <c r="T33" s="705"/>
      <c r="U33" s="706"/>
      <c r="V33" s="705"/>
      <c r="W33" s="706"/>
      <c r="X33" s="1355"/>
      <c r="Y33" s="367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9"/>
      <c r="Q34" s="1352" t="str">
        <f t="shared" si="8"/>
        <v>土地级别</v>
      </c>
      <c r="R34" s="705" t="s">
        <v>14</v>
      </c>
      <c r="S34" s="706">
        <f t="shared" si="10"/>
        <v>100</v>
      </c>
      <c r="T34" s="705" t="s">
        <v>14</v>
      </c>
      <c r="U34" s="706">
        <f t="shared" si="11"/>
        <v>100</v>
      </c>
      <c r="V34" s="705" t="s">
        <v>14</v>
      </c>
      <c r="W34" s="706">
        <f t="shared" si="12"/>
        <v>100</v>
      </c>
      <c r="X34" s="1355"/>
      <c r="Y34" s="367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9"/>
      <c r="Q35" s="1352">
        <f t="shared" si="8"/>
        <v>111</v>
      </c>
      <c r="R35" s="705" t="s">
        <v>14</v>
      </c>
      <c r="S35" s="706">
        <f t="shared" si="10"/>
        <v>100</v>
      </c>
      <c r="T35" s="705" t="s">
        <v>14</v>
      </c>
      <c r="U35" s="706">
        <f t="shared" si="11"/>
        <v>100</v>
      </c>
      <c r="V35" s="705" t="s">
        <v>14</v>
      </c>
      <c r="W35" s="706">
        <f t="shared" si="12"/>
        <v>100</v>
      </c>
      <c r="X35" s="1355"/>
      <c r="Y35" s="367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19" t="s">
        <v>1696</v>
      </c>
      <c r="Q36" s="1352">
        <f t="shared" si="8"/>
        <v>111</v>
      </c>
      <c r="R36" s="705" t="s">
        <v>14</v>
      </c>
      <c r="S36" s="706">
        <f t="shared" si="10"/>
        <v>100</v>
      </c>
      <c r="T36" s="705" t="s">
        <v>14</v>
      </c>
      <c r="U36" s="706">
        <f t="shared" si="11"/>
        <v>100</v>
      </c>
      <c r="V36" s="705" t="s">
        <v>14</v>
      </c>
      <c r="W36" s="706">
        <f t="shared" si="12"/>
        <v>100</v>
      </c>
      <c r="X36" s="1355"/>
      <c r="Y36" s="368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3"/>
      <c r="Q37" s="1352">
        <f t="shared" si="8"/>
        <v>111</v>
      </c>
      <c r="R37" s="708" t="s">
        <v>14</v>
      </c>
      <c r="S37" s="709">
        <f t="shared" si="10"/>
        <v>100</v>
      </c>
      <c r="T37" s="708" t="s">
        <v>14</v>
      </c>
      <c r="U37" s="709">
        <f t="shared" si="11"/>
        <v>100</v>
      </c>
      <c r="V37" s="708" t="s">
        <v>14</v>
      </c>
      <c r="W37" s="709">
        <f t="shared" si="12"/>
        <v>100</v>
      </c>
      <c r="X37" s="710"/>
      <c r="Y37" s="368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3"/>
      <c r="Q38" s="1352" t="str">
        <f>B38</f>
        <v>宗地面积</v>
      </c>
      <c r="R38" s="705" t="s">
        <v>14</v>
      </c>
      <c r="S38" s="706" t="e">
        <f t="shared" si="10"/>
        <v>#N/A</v>
      </c>
      <c r="T38" s="705" t="s">
        <v>14</v>
      </c>
      <c r="U38" s="706" t="e">
        <f t="shared" si="11"/>
        <v>#N/A</v>
      </c>
      <c r="V38" s="705" t="s">
        <v>14</v>
      </c>
      <c r="W38" s="706" t="e">
        <f t="shared" si="12"/>
        <v>#N/A</v>
      </c>
      <c r="X38" s="1355"/>
      <c r="Y38" s="368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3"/>
      <c r="Q39" s="1352" t="str">
        <f t="shared" ref="Q39:Q45" si="14">B39</f>
        <v>宗地形状</v>
      </c>
      <c r="R39" s="705" t="s">
        <v>14</v>
      </c>
      <c r="S39" s="706">
        <f t="shared" si="10"/>
        <v>100</v>
      </c>
      <c r="T39" s="705" t="s">
        <v>14</v>
      </c>
      <c r="U39" s="706">
        <f t="shared" si="11"/>
        <v>100</v>
      </c>
      <c r="V39" s="705" t="s">
        <v>14</v>
      </c>
      <c r="W39" s="706">
        <f t="shared" si="12"/>
        <v>100</v>
      </c>
      <c r="X39" s="1355"/>
      <c r="Y39" s="368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3"/>
      <c r="Q40" s="1352" t="str">
        <f t="shared" si="14"/>
        <v>临街宽度及深度</v>
      </c>
      <c r="R40" s="705" t="s">
        <v>14</v>
      </c>
      <c r="S40" s="706">
        <f t="shared" si="10"/>
        <v>100</v>
      </c>
      <c r="T40" s="705" t="s">
        <v>14</v>
      </c>
      <c r="U40" s="706">
        <f t="shared" si="11"/>
        <v>100</v>
      </c>
      <c r="V40" s="705" t="s">
        <v>14</v>
      </c>
      <c r="W40" s="706">
        <f t="shared" si="12"/>
        <v>100</v>
      </c>
      <c r="X40" s="1355"/>
      <c r="Y40" s="368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3"/>
      <c r="Q41" s="1352"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3" t="s">
        <v>1696</v>
      </c>
      <c r="Q42" s="1352" t="str">
        <f t="shared" si="14"/>
        <v>工程地质条件</v>
      </c>
      <c r="R42" s="705" t="s">
        <v>14</v>
      </c>
      <c r="S42" s="706">
        <f t="shared" si="10"/>
        <v>100</v>
      </c>
      <c r="T42" s="705" t="s">
        <v>14</v>
      </c>
      <c r="U42" s="706">
        <f t="shared" si="11"/>
        <v>100</v>
      </c>
      <c r="V42" s="705" t="s">
        <v>14</v>
      </c>
      <c r="W42" s="706">
        <f t="shared" si="12"/>
        <v>100</v>
      </c>
      <c r="X42" s="1355"/>
      <c r="Y42" s="368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3"/>
      <c r="Q43" s="1352">
        <f t="shared" si="14"/>
        <v>111</v>
      </c>
      <c r="R43" s="705" t="s">
        <v>14</v>
      </c>
      <c r="S43" s="706">
        <f t="shared" si="10"/>
        <v>100</v>
      </c>
      <c r="T43" s="705" t="s">
        <v>14</v>
      </c>
      <c r="U43" s="706">
        <f t="shared" si="11"/>
        <v>100</v>
      </c>
      <c r="V43" s="705" t="s">
        <v>14</v>
      </c>
      <c r="W43" s="706">
        <f t="shared" si="12"/>
        <v>100</v>
      </c>
      <c r="X43" s="1355"/>
      <c r="Y43" s="368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3"/>
      <c r="Q44" s="1352">
        <f t="shared" si="14"/>
        <v>111</v>
      </c>
      <c r="R44" s="705" t="s">
        <v>14</v>
      </c>
      <c r="S44" s="706">
        <f t="shared" si="10"/>
        <v>100</v>
      </c>
      <c r="T44" s="705" t="s">
        <v>14</v>
      </c>
      <c r="U44" s="706">
        <f t="shared" si="11"/>
        <v>100</v>
      </c>
      <c r="V44" s="705" t="s">
        <v>14</v>
      </c>
      <c r="W44" s="706">
        <f t="shared" si="12"/>
        <v>100</v>
      </c>
      <c r="X44" s="1355"/>
      <c r="Y44" s="368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3"/>
      <c r="Q45" s="1352">
        <f t="shared" si="14"/>
        <v>111</v>
      </c>
      <c r="R45" s="708" t="s">
        <v>14</v>
      </c>
      <c r="S45" s="709">
        <f t="shared" si="10"/>
        <v>100</v>
      </c>
      <c r="T45" s="708" t="s">
        <v>14</v>
      </c>
      <c r="U45" s="709">
        <f t="shared" si="11"/>
        <v>100</v>
      </c>
      <c r="V45" s="708" t="s">
        <v>14</v>
      </c>
      <c r="W45" s="709">
        <f t="shared" si="12"/>
        <v>100</v>
      </c>
      <c r="X45" s="710"/>
      <c r="Y45" s="368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6" t="str">
        <f>A46</f>
        <v>成交单价</v>
      </c>
      <c r="Q46" s="3676"/>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6" t="str">
        <f>A47</f>
        <v>比较价值（元/平方米）</v>
      </c>
      <c r="Q47" s="3676"/>
      <c r="R47" s="3721" t="e">
        <f>ROUND(PRODUCT(R46,AA7:AA45),0)</f>
        <v>#DIV/0!</v>
      </c>
      <c r="S47" s="3721"/>
      <c r="T47" s="3721" t="e">
        <f>ROUND(PRODUCT(T46,AB7:AB45),0)</f>
        <v>#DIV/0!</v>
      </c>
      <c r="U47" s="3721"/>
      <c r="V47" s="3721" t="e">
        <f>ROUND(PRODUCT(V46,AC7:AC45),0)</f>
        <v>#DIV/0!</v>
      </c>
      <c r="W47" s="372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3" t="str">
        <f>A48</f>
        <v>估价对象XX用房的比较价值（楼面单价，元/平方米）</v>
      </c>
      <c r="Q48" s="3674"/>
      <c r="R48" s="3722" t="e">
        <f>ROUND(IF(D47="简单平均",AVERAGE(R47:W47),R47*F47+T47*H47+V47*J47),0)</f>
        <v>#DIV/0!</v>
      </c>
      <c r="S48" s="3722"/>
      <c r="T48" s="3722"/>
      <c r="U48" s="3722"/>
      <c r="V48" s="3722"/>
      <c r="W48" s="372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1" t="s">
        <v>1887</v>
      </c>
      <c r="H55" s="372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133.12</v>
      </c>
      <c r="F56" s="886" t="e">
        <f t="shared" ref="F56:F64" si="15">ROUND(B56*E56/10000,0)</f>
        <v>#DIV/0!</v>
      </c>
      <c r="G56" s="3687"/>
      <c r="H56" s="367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133.12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5"/>
      <c r="M4" s="2716"/>
      <c r="N4" s="2716"/>
      <c r="O4" s="2716"/>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15"/>
      <c r="M5" s="2716"/>
      <c r="N5" s="2716"/>
      <c r="O5" s="2716"/>
      <c r="P5" s="3697"/>
      <c r="Q5" s="3698"/>
      <c r="R5" s="3703"/>
      <c r="S5" s="3704"/>
      <c r="T5" s="3703"/>
      <c r="U5" s="3704"/>
      <c r="V5" s="3707"/>
      <c r="W5" s="3707"/>
      <c r="X5" s="1355"/>
      <c r="Y5" s="3703"/>
      <c r="Z5" s="3704"/>
      <c r="AA5" s="3689"/>
      <c r="AB5" s="3689"/>
      <c r="AC5" s="3689"/>
    </row>
    <row r="6" spans="1:29" ht="15.75" thickBot="1">
      <c r="A6" s="360"/>
      <c r="B6" s="361"/>
      <c r="C6" s="3724" t="s">
        <v>1919</v>
      </c>
      <c r="D6" s="3725"/>
      <c r="E6" s="3726" t="s">
        <v>1919</v>
      </c>
      <c r="F6" s="3727"/>
      <c r="G6" s="3724" t="s">
        <v>1919</v>
      </c>
      <c r="H6" s="3725"/>
      <c r="I6" s="3724" t="s">
        <v>1919</v>
      </c>
      <c r="J6" s="3725"/>
      <c r="K6" s="559" t="s">
        <v>1678</v>
      </c>
      <c r="L6" s="2715"/>
      <c r="M6" s="2716"/>
      <c r="N6" s="2716"/>
      <c r="O6" s="2716"/>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45141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2" t="s">
        <v>1683</v>
      </c>
      <c r="Q8" s="3713"/>
      <c r="R8" s="701" t="s">
        <v>14</v>
      </c>
      <c r="S8" s="702">
        <f t="shared" si="0"/>
        <v>0</v>
      </c>
      <c r="T8" s="701" t="s">
        <v>14</v>
      </c>
      <c r="U8" s="702">
        <f t="shared" si="1"/>
        <v>0</v>
      </c>
      <c r="V8" s="701" t="s">
        <v>14</v>
      </c>
      <c r="W8" s="702">
        <f t="shared" si="2"/>
        <v>0</v>
      </c>
      <c r="X8" s="703"/>
      <c r="Y8" s="3712" t="s">
        <v>1683</v>
      </c>
      <c r="Z8" s="371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76"/>
      <c r="Q10" s="1343" t="str">
        <f t="shared" si="6"/>
        <v>土地使用年限（年）</v>
      </c>
      <c r="R10" s="701" t="s">
        <v>14</v>
      </c>
      <c r="S10" s="702">
        <f t="shared" si="0"/>
        <v>112</v>
      </c>
      <c r="T10" s="701" t="s">
        <v>14</v>
      </c>
      <c r="U10" s="702">
        <f t="shared" si="1"/>
        <v>112</v>
      </c>
      <c r="V10" s="701" t="s">
        <v>14</v>
      </c>
      <c r="W10" s="702">
        <f t="shared" si="2"/>
        <v>112</v>
      </c>
      <c r="X10" s="703"/>
      <c r="Y10" s="3551"/>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9"/>
      <c r="Q16" s="1352"/>
      <c r="R16" s="705"/>
      <c r="S16" s="706"/>
      <c r="T16" s="705"/>
      <c r="U16" s="706"/>
      <c r="V16" s="705"/>
      <c r="W16" s="706"/>
      <c r="X16" s="1355"/>
      <c r="Y16" s="367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9"/>
      <c r="Q18" s="1352"/>
      <c r="R18" s="705"/>
      <c r="S18" s="706"/>
      <c r="T18" s="705"/>
      <c r="U18" s="706"/>
      <c r="V18" s="705"/>
      <c r="W18" s="706"/>
      <c r="X18" s="1355"/>
      <c r="Y18" s="367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9"/>
      <c r="Q19" s="1352" t="str">
        <f t="shared" ref="Q19:Q33" si="8">B19</f>
        <v>区域土地利用方向</v>
      </c>
      <c r="R19" s="705" t="s">
        <v>14</v>
      </c>
      <c r="S19" s="706">
        <f>F19</f>
        <v>100</v>
      </c>
      <c r="T19" s="705" t="s">
        <v>14</v>
      </c>
      <c r="U19" s="706">
        <f>H19</f>
        <v>100</v>
      </c>
      <c r="V19" s="705" t="s">
        <v>14</v>
      </c>
      <c r="W19" s="706">
        <f>J19</f>
        <v>100</v>
      </c>
      <c r="X19" s="1355"/>
      <c r="Y19" s="367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9"/>
      <c r="Q20" s="1352"/>
      <c r="R20" s="705"/>
      <c r="S20" s="706"/>
      <c r="T20" s="705"/>
      <c r="U20" s="706"/>
      <c r="V20" s="705"/>
      <c r="W20" s="706"/>
      <c r="X20" s="1355"/>
      <c r="Y20" s="367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9"/>
      <c r="Q21" s="1352" t="str">
        <f t="shared" si="8"/>
        <v>环境状况</v>
      </c>
      <c r="R21" s="705" t="s">
        <v>14</v>
      </c>
      <c r="S21" s="706">
        <f>F21</f>
        <v>100</v>
      </c>
      <c r="T21" s="705" t="s">
        <v>14</v>
      </c>
      <c r="U21" s="706">
        <f>H21</f>
        <v>100</v>
      </c>
      <c r="V21" s="705" t="s">
        <v>14</v>
      </c>
      <c r="W21" s="706">
        <f>J21</f>
        <v>100</v>
      </c>
      <c r="X21" s="1355"/>
      <c r="Y21" s="367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9"/>
      <c r="Q22" s="1352"/>
      <c r="R22" s="705"/>
      <c r="S22" s="706"/>
      <c r="T22" s="705"/>
      <c r="U22" s="706"/>
      <c r="V22" s="705"/>
      <c r="W22" s="706"/>
      <c r="X22" s="1355"/>
      <c r="Y22" s="367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9"/>
      <c r="Q23" s="1343" t="str">
        <f t="shared" si="8"/>
        <v>公共配套设施</v>
      </c>
      <c r="R23" s="701" t="s">
        <v>14</v>
      </c>
      <c r="S23" s="702">
        <f>F23</f>
        <v>100</v>
      </c>
      <c r="T23" s="701" t="s">
        <v>14</v>
      </c>
      <c r="U23" s="702">
        <f>H23</f>
        <v>100</v>
      </c>
      <c r="V23" s="701" t="s">
        <v>14</v>
      </c>
      <c r="W23" s="702">
        <f>J23</f>
        <v>100</v>
      </c>
      <c r="X23" s="703"/>
      <c r="Y23" s="367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9"/>
      <c r="Q24" s="1343"/>
      <c r="R24" s="701"/>
      <c r="S24" s="702"/>
      <c r="T24" s="701"/>
      <c r="U24" s="702"/>
      <c r="V24" s="701"/>
      <c r="W24" s="702"/>
      <c r="X24" s="703"/>
      <c r="Y24" s="367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9"/>
      <c r="Q25" s="1343"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9"/>
      <c r="Q26" s="1343"/>
      <c r="R26" s="701"/>
      <c r="S26" s="702"/>
      <c r="T26" s="701"/>
      <c r="U26" s="702"/>
      <c r="V26" s="701"/>
      <c r="W26" s="702"/>
      <c r="X26" s="703"/>
      <c r="Y26" s="367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9"/>
      <c r="Q28" s="1352" t="str">
        <f t="shared" si="8"/>
        <v>毗邻道路的类型与等级</v>
      </c>
      <c r="R28" s="705" t="s">
        <v>14</v>
      </c>
      <c r="S28" s="706">
        <f t="shared" si="10"/>
        <v>100</v>
      </c>
      <c r="T28" s="705" t="s">
        <v>14</v>
      </c>
      <c r="U28" s="706">
        <f t="shared" si="11"/>
        <v>100</v>
      </c>
      <c r="V28" s="705" t="s">
        <v>14</v>
      </c>
      <c r="W28" s="706">
        <f t="shared" si="12"/>
        <v>100</v>
      </c>
      <c r="X28" s="1355"/>
      <c r="Y28" s="367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9"/>
      <c r="Q29" s="1352"/>
      <c r="R29" s="705"/>
      <c r="S29" s="706"/>
      <c r="T29" s="705"/>
      <c r="U29" s="706"/>
      <c r="V29" s="705"/>
      <c r="W29" s="706"/>
      <c r="X29" s="1355"/>
      <c r="Y29" s="367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9"/>
      <c r="Q30" s="1352" t="str">
        <f t="shared" si="8"/>
        <v>土地级别</v>
      </c>
      <c r="R30" s="705" t="s">
        <v>14</v>
      </c>
      <c r="S30" s="706">
        <f t="shared" si="10"/>
        <v>100</v>
      </c>
      <c r="T30" s="705" t="s">
        <v>14</v>
      </c>
      <c r="U30" s="706">
        <f t="shared" si="11"/>
        <v>100</v>
      </c>
      <c r="V30" s="705" t="s">
        <v>14</v>
      </c>
      <c r="W30" s="706">
        <f t="shared" si="12"/>
        <v>100</v>
      </c>
      <c r="X30" s="1355"/>
      <c r="Y30" s="367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9"/>
      <c r="Q31" s="1352">
        <f t="shared" si="8"/>
        <v>111</v>
      </c>
      <c r="R31" s="705" t="s">
        <v>14</v>
      </c>
      <c r="S31" s="706">
        <f t="shared" si="10"/>
        <v>100</v>
      </c>
      <c r="T31" s="705" t="s">
        <v>14</v>
      </c>
      <c r="U31" s="706">
        <f t="shared" si="11"/>
        <v>100</v>
      </c>
      <c r="V31" s="705" t="s">
        <v>14</v>
      </c>
      <c r="W31" s="706">
        <f t="shared" si="12"/>
        <v>100</v>
      </c>
      <c r="X31" s="1355"/>
      <c r="Y31" s="367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19" t="s">
        <v>1696</v>
      </c>
      <c r="Q32" s="1352">
        <f t="shared" si="8"/>
        <v>111</v>
      </c>
      <c r="R32" s="705" t="s">
        <v>14</v>
      </c>
      <c r="S32" s="706">
        <f t="shared" si="10"/>
        <v>100</v>
      </c>
      <c r="T32" s="705" t="s">
        <v>14</v>
      </c>
      <c r="U32" s="706">
        <f t="shared" si="11"/>
        <v>100</v>
      </c>
      <c r="V32" s="705" t="s">
        <v>14</v>
      </c>
      <c r="W32" s="706">
        <f t="shared" si="12"/>
        <v>100</v>
      </c>
      <c r="X32" s="1355"/>
      <c r="Y32" s="368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3"/>
      <c r="Q33" s="1352">
        <f t="shared" si="8"/>
        <v>111</v>
      </c>
      <c r="R33" s="708" t="s">
        <v>14</v>
      </c>
      <c r="S33" s="709">
        <f t="shared" si="10"/>
        <v>100</v>
      </c>
      <c r="T33" s="708" t="s">
        <v>14</v>
      </c>
      <c r="U33" s="709">
        <f t="shared" si="11"/>
        <v>100</v>
      </c>
      <c r="V33" s="708" t="s">
        <v>14</v>
      </c>
      <c r="W33" s="709">
        <f t="shared" si="12"/>
        <v>100</v>
      </c>
      <c r="X33" s="710"/>
      <c r="Y33" s="368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3"/>
      <c r="Q34" s="1352" t="str">
        <f>B34</f>
        <v>宗地面积</v>
      </c>
      <c r="R34" s="705" t="s">
        <v>14</v>
      </c>
      <c r="S34" s="706" t="e">
        <f t="shared" si="10"/>
        <v>#N/A</v>
      </c>
      <c r="T34" s="705" t="s">
        <v>14</v>
      </c>
      <c r="U34" s="706" t="e">
        <f t="shared" si="11"/>
        <v>#N/A</v>
      </c>
      <c r="V34" s="705" t="s">
        <v>14</v>
      </c>
      <c r="W34" s="706" t="e">
        <f t="shared" si="12"/>
        <v>#N/A</v>
      </c>
      <c r="X34" s="1355"/>
      <c r="Y34" s="368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3"/>
      <c r="Q35" s="1352" t="str">
        <f t="shared" ref="Q35:Q40" si="14">B35</f>
        <v>宗地形状</v>
      </c>
      <c r="R35" s="705" t="s">
        <v>14</v>
      </c>
      <c r="S35" s="706">
        <f t="shared" si="10"/>
        <v>100</v>
      </c>
      <c r="T35" s="705" t="s">
        <v>14</v>
      </c>
      <c r="U35" s="706">
        <f t="shared" si="11"/>
        <v>100</v>
      </c>
      <c r="V35" s="705" t="s">
        <v>14</v>
      </c>
      <c r="W35" s="706">
        <f t="shared" si="12"/>
        <v>100</v>
      </c>
      <c r="X35" s="1355"/>
      <c r="Y35" s="368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3"/>
      <c r="Q36" s="1352" t="str">
        <f t="shared" si="14"/>
        <v>宗地开发程度</v>
      </c>
      <c r="R36" s="701" t="s">
        <v>14</v>
      </c>
      <c r="S36" s="702">
        <f t="shared" si="10"/>
        <v>100</v>
      </c>
      <c r="T36" s="701" t="s">
        <v>14</v>
      </c>
      <c r="U36" s="702">
        <f t="shared" si="11"/>
        <v>100</v>
      </c>
      <c r="V36" s="701" t="s">
        <v>14</v>
      </c>
      <c r="W36" s="702">
        <f t="shared" si="12"/>
        <v>100</v>
      </c>
      <c r="X36" s="703"/>
      <c r="Y36" s="368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3" t="s">
        <v>1696</v>
      </c>
      <c r="Q37" s="1352" t="str">
        <f t="shared" si="14"/>
        <v>工程地质条件</v>
      </c>
      <c r="R37" s="705" t="s">
        <v>14</v>
      </c>
      <c r="S37" s="706">
        <f t="shared" si="10"/>
        <v>100</v>
      </c>
      <c r="T37" s="705" t="s">
        <v>14</v>
      </c>
      <c r="U37" s="706">
        <f t="shared" si="11"/>
        <v>100</v>
      </c>
      <c r="V37" s="705" t="s">
        <v>14</v>
      </c>
      <c r="W37" s="706">
        <f t="shared" si="12"/>
        <v>100</v>
      </c>
      <c r="X37" s="1355"/>
      <c r="Y37" s="368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3"/>
      <c r="Q38" s="1352">
        <f t="shared" si="14"/>
        <v>111</v>
      </c>
      <c r="R38" s="705" t="s">
        <v>14</v>
      </c>
      <c r="S38" s="706">
        <f t="shared" si="10"/>
        <v>100</v>
      </c>
      <c r="T38" s="705" t="s">
        <v>14</v>
      </c>
      <c r="U38" s="706">
        <f t="shared" si="11"/>
        <v>100</v>
      </c>
      <c r="V38" s="705" t="s">
        <v>14</v>
      </c>
      <c r="W38" s="706">
        <f t="shared" si="12"/>
        <v>100</v>
      </c>
      <c r="X38" s="1355"/>
      <c r="Y38" s="368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3"/>
      <c r="Q39" s="1352">
        <f t="shared" si="14"/>
        <v>111</v>
      </c>
      <c r="R39" s="705" t="s">
        <v>14</v>
      </c>
      <c r="S39" s="706">
        <f t="shared" si="10"/>
        <v>100</v>
      </c>
      <c r="T39" s="705" t="s">
        <v>14</v>
      </c>
      <c r="U39" s="706">
        <f t="shared" si="11"/>
        <v>100</v>
      </c>
      <c r="V39" s="705" t="s">
        <v>14</v>
      </c>
      <c r="W39" s="706">
        <f t="shared" si="12"/>
        <v>100</v>
      </c>
      <c r="X39" s="1355"/>
      <c r="Y39" s="368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3"/>
      <c r="Q40" s="1352">
        <f t="shared" si="14"/>
        <v>111</v>
      </c>
      <c r="R40" s="708" t="s">
        <v>14</v>
      </c>
      <c r="S40" s="709">
        <f t="shared" si="10"/>
        <v>100</v>
      </c>
      <c r="T40" s="708" t="s">
        <v>14</v>
      </c>
      <c r="U40" s="709">
        <f t="shared" si="11"/>
        <v>100</v>
      </c>
      <c r="V40" s="708" t="s">
        <v>14</v>
      </c>
      <c r="W40" s="709">
        <f t="shared" si="12"/>
        <v>100</v>
      </c>
      <c r="X40" s="710"/>
      <c r="Y40" s="368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6" t="str">
        <f>A41</f>
        <v>成交单价</v>
      </c>
      <c r="Q41" s="3676"/>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6" t="str">
        <f>A42</f>
        <v>比较价值（元/平方米）</v>
      </c>
      <c r="Q42" s="3676"/>
      <c r="R42" s="3721" t="e">
        <f>ROUND(PRODUCT(R41,AA7:AA40),0)</f>
        <v>#DIV/0!</v>
      </c>
      <c r="S42" s="3721"/>
      <c r="T42" s="3721" t="e">
        <f>ROUND(PRODUCT(T41,AB7:AB40),0)</f>
        <v>#DIV/0!</v>
      </c>
      <c r="U42" s="3721"/>
      <c r="V42" s="3721" t="e">
        <f>ROUND(PRODUCT(V41,AC7:AC40),0)</f>
        <v>#DIV/0!</v>
      </c>
      <c r="W42" s="372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3" t="str">
        <f>A43</f>
        <v>估价对象XX用房的比较价值（楼面单价，元/平方米）</v>
      </c>
      <c r="Q43" s="3674"/>
      <c r="R43" s="3722" t="e">
        <f>ROUND(IF(D42="简单平均",AVERAGE(R42:W42),R42*F42+T42*H42+V42*J42),0)</f>
        <v>#DIV/0!</v>
      </c>
      <c r="S43" s="3722"/>
      <c r="T43" s="3722"/>
      <c r="U43" s="3722"/>
      <c r="V43" s="3722"/>
      <c r="W43" s="372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1" t="s">
        <v>1887</v>
      </c>
      <c r="H50" s="372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133.12</v>
      </c>
      <c r="F51" s="639" t="e">
        <f t="shared" ref="F51:F60" si="15">ROUND(B51*E51/10000,0)</f>
        <v>#DIV/0!</v>
      </c>
      <c r="G51" s="3687"/>
      <c r="H51" s="367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1" t="s">
        <v>2084</v>
      </c>
      <c r="D1" s="3732"/>
      <c r="E1" s="3732"/>
      <c r="F1" s="3732"/>
      <c r="G1" s="3732"/>
      <c r="H1" s="3732"/>
      <c r="I1" s="3732"/>
      <c r="J1" s="3732"/>
      <c r="K1" s="3732"/>
      <c r="L1" s="3732"/>
      <c r="M1" s="3732"/>
      <c r="N1" s="3732"/>
      <c r="O1" s="3732"/>
      <c r="P1" s="3732"/>
      <c r="Q1" s="3732"/>
      <c r="R1" s="3732"/>
      <c r="S1" s="373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8" t="s">
        <v>27</v>
      </c>
      <c r="D22" s="3729"/>
      <c r="E22" s="3729"/>
      <c r="F22" s="3729"/>
      <c r="G22" s="3729"/>
      <c r="H22" s="3729"/>
      <c r="I22" s="3729"/>
      <c r="J22" s="3729"/>
      <c r="K22" s="3729"/>
      <c r="L22" s="3729"/>
      <c r="M22" s="3729"/>
      <c r="N22" s="3729"/>
      <c r="O22" s="3729"/>
      <c r="P22" s="3729"/>
      <c r="Q22" s="373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175</v>
      </c>
      <c r="C2" s="2145" t="s">
        <v>2074</v>
      </c>
      <c r="D2" s="2145" t="s">
        <v>2075</v>
      </c>
      <c r="E2" s="2612">
        <f ca="1">SUMIF(E6:E13,"&lt;&gt;#ref!",E6:E13)</f>
        <v>133.12</v>
      </c>
      <c r="F2" s="2793"/>
      <c r="G2" s="2793"/>
      <c r="H2" s="2793"/>
      <c r="I2" s="2793"/>
      <c r="J2" s="2793"/>
      <c r="K2" s="2793"/>
      <c r="L2" s="2793"/>
      <c r="M2" s="2793"/>
      <c r="N2" s="2793"/>
      <c r="O2" s="2793"/>
      <c r="P2" s="2793"/>
    </row>
    <row r="3" spans="1:16" ht="15.75">
      <c r="A3" s="2145" t="s">
        <v>2076</v>
      </c>
      <c r="B3" s="2602">
        <f ca="1">ROUND(B2*10000/E2,0)</f>
        <v>13146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175</v>
      </c>
      <c r="C6" s="2145" t="s">
        <v>2074</v>
      </c>
      <c r="D6" s="2793"/>
      <c r="E6" s="2612">
        <f ca="1">SUMIF(INDIRECT("'"&amp;A6&amp;"'"&amp;"!C:C"),"建筑面积",INDIRECT("'"&amp;A6&amp;"'"&amp;"!D:D"))</f>
        <v>133.12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Normal="70" zoomScaleSheetLayoutView="100" workbookViewId="0">
      <selection activeCell="D22" sqref="D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341.06040000000002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25621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1831091.48</v>
      </c>
      <c r="D5" s="211" t="s">
        <v>1469</v>
      </c>
      <c r="E5" s="212" t="s">
        <v>1470</v>
      </c>
      <c r="F5" s="212" t="s">
        <v>1471</v>
      </c>
      <c r="G5" s="213"/>
    </row>
    <row r="6" spans="1:8" s="214" customFormat="1" ht="13.5" customHeight="1">
      <c r="A6" s="778" t="s">
        <v>1472</v>
      </c>
      <c r="B6" s="215" t="s">
        <v>1473</v>
      </c>
      <c r="C6" s="216">
        <f>基准地价修正!C33*基准地价修正!D33</f>
        <v>1751060.48</v>
      </c>
      <c r="D6" s="217"/>
      <c r="E6" s="218"/>
      <c r="F6" s="218"/>
      <c r="G6" s="219"/>
    </row>
    <row r="7" spans="1:8" s="214" customFormat="1" ht="13.5" customHeight="1">
      <c r="A7" s="778" t="s">
        <v>1474</v>
      </c>
      <c r="B7" s="215" t="s">
        <v>1475</v>
      </c>
      <c r="C7" s="220">
        <f>ROUND(C6*F7,0)</f>
        <v>53407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26624</v>
      </c>
      <c r="D8" s="222"/>
      <c r="E8" s="220"/>
      <c r="F8" s="221"/>
      <c r="G8" s="1856" t="s">
        <v>3391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26624</v>
      </c>
      <c r="D10" s="845">
        <f ca="1">IF(B1="",'数据-汇总表'!E6,IF(INDIRECT("'数据-取费表'!c"&amp;$G$1)="住宅",INDIRECT("'数据-取费表'!s"&amp;$G$1),INDIRECT("'数据-取费表'!k"&amp;$G$1)+INDIRECT("'数据-取费表'!s"&amp;$G$1)))</f>
        <v>133.12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133.12</v>
      </c>
      <c r="E19" s="211">
        <f>'数据-取费表'!B31</f>
        <v>200</v>
      </c>
      <c r="F19" s="231"/>
      <c r="G19" s="1856" t="s">
        <v>3392</v>
      </c>
    </row>
    <row r="20" spans="1:7" s="214" customFormat="1" ht="13.5" customHeight="1">
      <c r="A20" s="255" t="s">
        <v>1574</v>
      </c>
      <c r="B20" s="210" t="s">
        <v>1575</v>
      </c>
      <c r="C20" s="232">
        <f ca="1">ROUND((C5+C19)*F20,0)</f>
        <v>36622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179825</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178085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1740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373543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373543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2626757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652621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599040</v>
      </c>
      <c r="D34" s="217"/>
      <c r="E34" s="220"/>
      <c r="F34" s="257"/>
      <c r="G34" s="219"/>
    </row>
    <row r="35" spans="1:7" ht="13.5" customHeight="1">
      <c r="A35" s="780" t="s">
        <v>351</v>
      </c>
      <c r="B35" s="215" t="s">
        <v>1527</v>
      </c>
      <c r="C35" s="220">
        <f ca="1">ROUND(C34*F35,0)</f>
        <v>17971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26624</v>
      </c>
      <c r="D37" s="217">
        <f ca="1">D19</f>
        <v>133.12</v>
      </c>
      <c r="E37" s="249">
        <f>'数据-取费表'!B35</f>
        <v>200</v>
      </c>
      <c r="F37" s="259"/>
      <c r="G37" s="261"/>
    </row>
    <row r="38" spans="1:7" ht="13.5" customHeight="1">
      <c r="A38" s="780" t="s">
        <v>354</v>
      </c>
      <c r="B38" s="215" t="s">
        <v>1533</v>
      </c>
      <c r="C38" s="220">
        <f ca="1">ROUND(C34*F38,0)</f>
        <v>8986</v>
      </c>
      <c r="D38" s="220"/>
      <c r="E38" s="220"/>
      <c r="F38" s="259">
        <f>'数据-取费表'!B36</f>
        <v>1.4999999999999999E-2</v>
      </c>
      <c r="G38" s="219" t="s">
        <v>1528</v>
      </c>
    </row>
    <row r="39" spans="1:7" s="214" customFormat="1" ht="13.5" customHeight="1">
      <c r="A39" s="255" t="s">
        <v>1534</v>
      </c>
      <c r="B39" s="210" t="s">
        <v>1535</v>
      </c>
      <c r="C39" s="232">
        <f ca="1">ROUND(C33*F20,0)</f>
        <v>13052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31619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30999</v>
      </c>
      <c r="D42" s="238"/>
      <c r="E42" s="238"/>
      <c r="F42" s="239"/>
      <c r="G42" s="3644" t="s">
        <v>1591</v>
      </c>
    </row>
    <row r="43" spans="1:7" ht="13.5" customHeight="1">
      <c r="A43" s="780" t="s">
        <v>347</v>
      </c>
      <c r="B43" s="215" t="s">
        <v>1545</v>
      </c>
      <c r="C43" s="238">
        <f ca="1">ROUND(IF('数据-取费表'!B22&lt;=1,C39*F22*'数据-取费表'!B20/2,C39*(POWER((1+F22),'数据-取费表'!B20/2)-1)),0)</f>
        <v>620</v>
      </c>
      <c r="D43" s="238"/>
      <c r="E43" s="238"/>
      <c r="F43" s="239"/>
      <c r="G43" s="3645"/>
    </row>
    <row r="44" spans="1:7" ht="13.5" customHeight="1">
      <c r="A44" s="780" t="s">
        <v>348</v>
      </c>
      <c r="B44" s="215" t="s">
        <v>1546</v>
      </c>
      <c r="C44" s="238">
        <f ca="1">ROUND(IF('数据-取费表'!B22&lt;=1,C40*F22*'数据-取费表'!B20/2,C40*(POWER((1+F22),'数据-取费表'!B20/2)-1)),4)</f>
        <v>1E-3</v>
      </c>
      <c r="D44" s="238"/>
      <c r="E44" s="238"/>
      <c r="F44" s="239"/>
      <c r="G44" s="3646"/>
    </row>
    <row r="45" spans="1:7" s="214" customFormat="1" ht="13.5" customHeight="1">
      <c r="A45" s="255" t="s">
        <v>1547</v>
      </c>
      <c r="B45" s="244" t="s">
        <v>1513</v>
      </c>
      <c r="C45" s="245">
        <f ca="1">C46</f>
        <v>133135</v>
      </c>
      <c r="D45" s="235">
        <f ca="1">C47</f>
        <v>4.0000000000000001E-3</v>
      </c>
      <c r="E45" s="236" t="s">
        <v>1539</v>
      </c>
      <c r="F45" s="246">
        <f ca="1">F27</f>
        <v>0.2</v>
      </c>
      <c r="G45" s="247" t="s">
        <v>1548</v>
      </c>
    </row>
    <row r="46" spans="1:7" s="214" customFormat="1" ht="13.5" customHeight="1">
      <c r="A46" s="780" t="s">
        <v>346</v>
      </c>
      <c r="B46" s="248" t="s">
        <v>1549</v>
      </c>
      <c r="C46" s="249">
        <f ca="1">ROUND((C33+C39)*F27,0)</f>
        <v>133135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900973</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783847</v>
      </c>
      <c r="D51" s="232"/>
      <c r="E51" s="232"/>
      <c r="F51" s="264"/>
      <c r="G51" s="234" t="s">
        <v>1560</v>
      </c>
    </row>
    <row r="52" spans="1:7" s="208" customFormat="1" ht="16.5" thickBot="1">
      <c r="A52" s="265" t="s">
        <v>1561</v>
      </c>
      <c r="B52" s="266"/>
      <c r="C52" s="267">
        <f ca="1">C31+C51</f>
        <v>3410604</v>
      </c>
      <c r="D52" s="266"/>
      <c r="E52" s="266"/>
      <c r="F52" s="266"/>
      <c r="G52" s="268"/>
    </row>
    <row r="55" spans="1:7" ht="15">
      <c r="B55" s="270" t="s">
        <v>1562</v>
      </c>
      <c r="C55" s="271"/>
    </row>
    <row r="56" spans="1:7">
      <c r="B56" s="273" t="s">
        <v>802</v>
      </c>
      <c r="C56" s="275">
        <f ca="1">1-C57</f>
        <v>0.77</v>
      </c>
    </row>
    <row r="57" spans="1:7">
      <c r="B57" s="273" t="s">
        <v>803</v>
      </c>
      <c r="C57" s="274">
        <f ca="1">ROUND(C51/C52,3)</f>
        <v>0.23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topLeftCell="A28" zoomScale="90" zoomScaleNormal="80" zoomScaleSheetLayoutView="90" workbookViewId="0">
      <selection activeCell="L8" sqref="L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133.12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175</v>
      </c>
      <c r="C2" s="1999" t="s">
        <v>1935</v>
      </c>
      <c r="D2" s="2000" t="s">
        <v>1936</v>
      </c>
      <c r="E2" s="3422"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Ⅴ-32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22177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13146</v>
      </c>
      <c r="C3" s="1999" t="s">
        <v>1941</v>
      </c>
      <c r="D3" s="2000" t="s">
        <v>1942</v>
      </c>
      <c r="E3" s="3420" t="s">
        <v>3385</v>
      </c>
      <c r="F3" s="2004" t="s">
        <v>3386</v>
      </c>
      <c r="G3" s="752">
        <f>IF(F3="宗地容积率",'数据-汇总表'!I4,IF(F3="估价对象容积率",'数据-汇总表'!I6,'数据-汇总表'!I7))</f>
        <v>5.07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17480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1"/>
      <c r="B4" s="3742"/>
      <c r="C4" s="3742"/>
      <c r="D4" s="3743"/>
      <c r="E4" s="3743"/>
      <c r="F4" s="3743"/>
      <c r="G4" s="3743"/>
      <c r="H4" s="3743"/>
      <c r="I4" s="3743"/>
      <c r="J4" s="374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14773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14770</v>
      </c>
      <c r="D5" s="1339">
        <f>ROUND(C6*C17+C20,0)</f>
        <v>14770</v>
      </c>
      <c r="E5" s="1339"/>
      <c r="F5" s="2007"/>
      <c r="G5" s="2008"/>
      <c r="H5" s="2008"/>
      <c r="I5" s="2008"/>
      <c r="J5" s="2009"/>
      <c r="K5" s="2010"/>
      <c r="L5" s="2003" t="s">
        <v>1948</v>
      </c>
      <c r="M5" s="864">
        <f>SUMPRODUCT((区片价!B87:B126=I2)*(区片价!C3:G3=E2)*(区片价!C87:G126))</f>
        <v>14790</v>
      </c>
      <c r="N5" s="866">
        <f>SUMPRODUCT((因素修正幅度!B87:B126=I2)*(因素修正幅度!C3:G3=E2)*(因素修正幅度!C87:G126))</f>
        <v>0.1</v>
      </c>
      <c r="O5" s="1119"/>
      <c r="P5" s="1119"/>
      <c r="Q5" s="1119"/>
      <c r="R5" s="1212">
        <v>4</v>
      </c>
      <c r="S5" s="3361">
        <f>ROUND(SUMPRODUCT((B106:B110=R5)*(C105:N105=G2)*(C106:N110)),4)</f>
        <v>0.88239999999999996</v>
      </c>
      <c r="T5" s="3361">
        <f t="shared" si="0"/>
        <v>13030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14790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12522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5.07</v>
      </c>
      <c r="AA7" s="1216"/>
      <c r="AB7" s="1216"/>
      <c r="AC7" s="1217"/>
      <c r="AD7" s="1218"/>
      <c r="AE7" s="1218"/>
      <c r="AF7" s="1218"/>
      <c r="AG7" s="1218"/>
      <c r="AH7" s="1218"/>
      <c r="AI7" s="1218"/>
      <c r="AJ7" s="1219"/>
    </row>
    <row r="8" spans="1:36" ht="25.5">
      <c r="A8" s="3299"/>
      <c r="B8" s="170" t="s">
        <v>1957</v>
      </c>
      <c r="C8" s="2026" t="s">
        <v>3387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8" t="s">
        <v>1960</v>
      </c>
      <c r="X8" s="373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0"/>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5" t="s">
        <v>3259</v>
      </c>
      <c r="B20" s="167" t="s">
        <v>1994</v>
      </c>
      <c r="C20" s="3325">
        <f>ROUND(IF(F21="与级别开发程度一致",0,(G21-E21)/C21),0)</f>
        <v>-20</v>
      </c>
      <c r="D20" s="3341" t="s">
        <v>1998</v>
      </c>
      <c r="E20" s="3342"/>
      <c r="F20" s="3751" t="s">
        <v>1995</v>
      </c>
      <c r="G20" s="3752"/>
      <c r="H20" s="3326" t="s">
        <v>3406</v>
      </c>
      <c r="I20" s="3326" t="s">
        <v>3407</v>
      </c>
      <c r="J20" s="3327" t="s">
        <v>3409</v>
      </c>
      <c r="K20" s="2047" t="s">
        <v>3410</v>
      </c>
      <c r="L20" s="2047" t="s">
        <v>3411</v>
      </c>
      <c r="M20" s="2047" t="s">
        <v>3412</v>
      </c>
      <c r="N20" s="2047" t="s">
        <v>3413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3408</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45141</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0.92920000000000003</v>
      </c>
      <c r="D24" s="2060" t="s">
        <v>2007</v>
      </c>
      <c r="E24" s="1335">
        <f>存贷款利率!E23/100</f>
        <v>4.3499999999999997E-2</v>
      </c>
      <c r="F24" s="2060" t="s">
        <v>1999</v>
      </c>
      <c r="G24" s="768">
        <f>SUMIF(M30:Q30,E2,M33:Q33)</f>
        <v>5.5E-2</v>
      </c>
      <c r="H24" s="2060" t="s">
        <v>2008</v>
      </c>
      <c r="I24" s="769">
        <f>SUMIF('数据-取费表'!C6:C15,E2,'数据-取费表'!F6:F15)/COUNTIF('数据-取费表'!C6:C15,E2)</f>
        <v>37.44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0.89080000000000004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0.89080000000000004</v>
      </c>
      <c r="E26" s="752">
        <f>ROUNDDOWN(G3,1)</f>
        <v>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52">
        <f>ROUNDUP(G3,1)</f>
        <v>5.0999999999999996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175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13154</v>
      </c>
      <c r="D33" s="2098">
        <f>'数据-汇总表'!F19</f>
        <v>133.12</v>
      </c>
      <c r="E33" s="773">
        <f>ROUND(C33*D33/10000,0)</f>
        <v>175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3289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9"/>
      <c r="B37" s="2113" t="s">
        <v>2036</v>
      </c>
      <c r="C37" s="175">
        <f>ROUND(D5*C22*C23*C24*C28*F37,0)</f>
        <v>8860</v>
      </c>
      <c r="D37" s="2098"/>
      <c r="E37" s="171">
        <f>ROUND(C37*D37/10000,0)</f>
        <v>0</v>
      </c>
      <c r="F37" s="171">
        <f>SUMIF(修正!A57:A68,G2,修正!B57:B68)</f>
        <v>0.6</v>
      </c>
      <c r="G37" s="171">
        <f>ROUND(IF(E2="工业",C37*$M$42,C37*$M$41),0)</f>
        <v>2215</v>
      </c>
      <c r="H37" s="171">
        <f>D37</f>
        <v>0</v>
      </c>
      <c r="I37" s="171">
        <f>ROUND(G37*H37/10000,0)</f>
        <v>0</v>
      </c>
      <c r="J37" s="3012"/>
      <c r="K37" s="3359" t="s">
        <v>3271</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0"/>
      <c r="B38" s="2041" t="s">
        <v>2037</v>
      </c>
      <c r="C38" s="175">
        <f>ROUND(D5*C22*C23*C24*C28*F38,0)</f>
        <v>4430</v>
      </c>
      <c r="D38" s="2098"/>
      <c r="E38" s="171">
        <f t="shared" ref="E38:E42" si="4">ROUND(C38*D38/10000,0)</f>
        <v>0</v>
      </c>
      <c r="F38" s="171">
        <f>SUMIF(修正!A57:A68,G2,修正!C57:C68)</f>
        <v>0.3</v>
      </c>
      <c r="G38" s="171">
        <f>ROUND(IF(E2="工业",C38*$M$42,C38*$M$41),0)</f>
        <v>1108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0"/>
      <c r="B39" s="2041" t="s">
        <v>3264</v>
      </c>
      <c r="C39" s="175">
        <f>ROUND(D5*C22*C23*C24*C28*F39,0)</f>
        <v>3692</v>
      </c>
      <c r="D39" s="2098"/>
      <c r="E39" s="171">
        <f t="shared" si="4"/>
        <v>0</v>
      </c>
      <c r="F39" s="171">
        <f>SUMIF(修正!A57:A68,G2,修正!D57:D68)</f>
        <v>0.25</v>
      </c>
      <c r="G39" s="171">
        <f>ROUND(IF(E2="工业",C39*$M$42,C39*$M$41),0)</f>
        <v>923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3692</v>
      </c>
      <c r="D40" s="2098"/>
      <c r="E40" s="171">
        <f t="shared" si="4"/>
        <v>0</v>
      </c>
      <c r="F40" s="175">
        <f>SUMIF(修正!A57:A68,G2,修正!E57:E68)</f>
        <v>0.25</v>
      </c>
      <c r="G40" s="171">
        <f>ROUND(IF(E2="工业",C40*$M$42,C40*$M$41),0)</f>
        <v>923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75" thickBot="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1.0545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3389</v>
      </c>
      <c r="D61" s="1065">
        <f t="shared" ref="D61:D69" si="12">SUMIF($J$60:$N$60,C61,J61:N61)</f>
        <v>1.2500000000000001E-2</v>
      </c>
      <c r="E61" s="744">
        <f>ROUND(SUM(D61:D69),4)</f>
        <v>5.45E-2</v>
      </c>
      <c r="F61" s="1814">
        <f>IF(E2="办公",SUMIF(L1:L12,G2,N1:N12),"——")</f>
        <v>0.1</v>
      </c>
      <c r="G61" s="1063">
        <v>1.2500000000000001E-2</v>
      </c>
      <c r="H61" s="1066">
        <f t="shared" ref="H61:H69" si="13">IFERROR(ROUNDDOWN($F$61*I61/2,4),"——")</f>
        <v>1.2500000000000001E-2</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3389</v>
      </c>
      <c r="D62" s="1065">
        <f t="shared" si="12"/>
        <v>1.2999999999999999E-2</v>
      </c>
      <c r="E62" s="745"/>
      <c r="F62" s="1814"/>
      <c r="G62" s="1063">
        <v>1.2999999999999999E-2</v>
      </c>
      <c r="H62" s="1066">
        <f t="shared" si="13"/>
        <v>1.2999999999999999E-2</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3389</v>
      </c>
      <c r="D63" s="1065">
        <f t="shared" si="12"/>
        <v>5.4999999999999997E-3</v>
      </c>
      <c r="E63" s="745"/>
      <c r="F63" s="1814"/>
      <c r="G63" s="1063">
        <v>5.4999999999999997E-3</v>
      </c>
      <c r="H63" s="1066">
        <f t="shared" si="13"/>
        <v>5.4999999999999997E-3</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3389</v>
      </c>
      <c r="D64" s="1065">
        <f t="shared" si="12"/>
        <v>2.5000000000000001E-3</v>
      </c>
      <c r="E64" s="745"/>
      <c r="F64" s="1814"/>
      <c r="G64" s="1063">
        <v>2.5000000000000001E-3</v>
      </c>
      <c r="H64" s="1066">
        <f t="shared" si="13"/>
        <v>2.5000000000000001E-3</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3389</v>
      </c>
      <c r="D65" s="1065">
        <f t="shared" si="12"/>
        <v>2.5000000000000001E-3</v>
      </c>
      <c r="E65" s="745"/>
      <c r="F65" s="1814"/>
      <c r="G65" s="1063">
        <v>2.5000000000000001E-3</v>
      </c>
      <c r="H65" s="1066">
        <f t="shared" si="13"/>
        <v>2.5000000000000001E-3</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3389</v>
      </c>
      <c r="D66" s="1065">
        <f t="shared" si="12"/>
        <v>3.0000000000000001E-3</v>
      </c>
      <c r="E66" s="745"/>
      <c r="F66" s="1814"/>
      <c r="G66" s="1063">
        <v>3.0000000000000001E-3</v>
      </c>
      <c r="H66" s="1066">
        <f t="shared" si="13"/>
        <v>3.0000000000000001E-3</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3389</v>
      </c>
      <c r="D67" s="1065">
        <f t="shared" si="12"/>
        <v>3.0000000000000001E-3</v>
      </c>
      <c r="E67" s="745"/>
      <c r="F67" s="1814"/>
      <c r="G67" s="1063">
        <v>3.0000000000000001E-3</v>
      </c>
      <c r="H67" s="1066">
        <f t="shared" si="13"/>
        <v>3.0000000000000001E-3</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3390</v>
      </c>
      <c r="D68" s="1065">
        <f t="shared" si="12"/>
        <v>8.9999999999999993E-3</v>
      </c>
      <c r="E68" s="745"/>
      <c r="F68" s="1814"/>
      <c r="G68" s="1063">
        <v>4.4999999999999997E-3</v>
      </c>
      <c r="H68" s="1066">
        <f t="shared" si="13"/>
        <v>4.4999999999999997E-3</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3389</v>
      </c>
      <c r="D69" s="1065">
        <f t="shared" si="12"/>
        <v>3.5000000000000001E-3</v>
      </c>
      <c r="E69" s="746"/>
      <c r="F69" s="1814"/>
      <c r="G69" s="1063">
        <v>3.5000000000000001E-3</v>
      </c>
      <c r="H69" s="1066">
        <f t="shared" si="13"/>
        <v>3.5000000000000001E-3</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47" t="s">
        <v>3299</v>
      </c>
      <c r="B103" s="3747"/>
      <c r="C103" s="3747"/>
      <c r="D103" s="3747"/>
      <c r="E103" s="3747"/>
      <c r="F103" s="3747"/>
      <c r="G103" s="3747"/>
      <c r="H103" s="3747"/>
      <c r="I103" s="3747"/>
      <c r="J103" s="3747"/>
      <c r="K103" s="3390"/>
      <c r="L103" s="3390"/>
      <c r="M103" s="3390"/>
      <c r="N103" s="3390"/>
    </row>
    <row r="104" spans="1:14">
      <c r="A104" s="3748" t="s">
        <v>3300</v>
      </c>
      <c r="B104" s="3748" t="s">
        <v>3301</v>
      </c>
      <c r="C104" s="3391" t="s">
        <v>3302</v>
      </c>
      <c r="D104" s="3392"/>
      <c r="E104" s="3392"/>
      <c r="F104" s="3392"/>
      <c r="G104" s="3392"/>
      <c r="H104" s="3392"/>
      <c r="I104" s="3392"/>
      <c r="J104" s="3393"/>
      <c r="K104" s="3394"/>
      <c r="L104" s="3394"/>
      <c r="M104" s="3394"/>
      <c r="N104" s="3394"/>
    </row>
    <row r="105" spans="1:14">
      <c r="A105" s="3748"/>
      <c r="B105" s="3748"/>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4"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5"/>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37" t="s">
        <v>3316</v>
      </c>
      <c r="B113" s="3737"/>
      <c r="C113" s="3737"/>
      <c r="D113" s="3737"/>
      <c r="E113" s="3737"/>
      <c r="F113" s="3737"/>
      <c r="G113" s="3737"/>
      <c r="H113" s="3737"/>
      <c r="I113" s="3737"/>
      <c r="J113" s="373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5.07</v>
      </c>
      <c r="C116" s="3400" t="s">
        <v>3318</v>
      </c>
      <c r="D116" s="3401">
        <f>SUMPRODUCT((A118:A122=F116)*(B117:M117=H116)*B118:M122)</f>
        <v>0.86950000000000005</v>
      </c>
      <c r="E116" s="2000" t="s">
        <v>3319</v>
      </c>
      <c r="F116" s="3402" t="str">
        <f>E2</f>
        <v>办公</v>
      </c>
      <c r="G116" s="2000" t="s">
        <v>3320</v>
      </c>
      <c r="H116" s="3402" t="str">
        <f>G2</f>
        <v>五级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0.94099999999999995</v>
      </c>
      <c r="C118" s="3388">
        <f>B118</f>
        <v>0.94099999999999995</v>
      </c>
      <c r="D118" s="3388">
        <f>ROUND(0.949-0.014*B116,4)</f>
        <v>0.878</v>
      </c>
      <c r="E118" s="3388">
        <f>D118</f>
        <v>0.878</v>
      </c>
      <c r="F118" s="3388">
        <f>E118</f>
        <v>0.878</v>
      </c>
      <c r="G118" s="3388">
        <f>F118</f>
        <v>0.878</v>
      </c>
      <c r="H118" s="3388">
        <f>G118</f>
        <v>0.878</v>
      </c>
      <c r="I118" s="3388">
        <f>ROUND(0.8486-0.018*B116,4)</f>
        <v>0.75729999999999997</v>
      </c>
      <c r="J118" s="3388">
        <f t="shared" ref="J118:M122" si="35">I118</f>
        <v>0.75729999999999997</v>
      </c>
      <c r="K118" s="3388">
        <f t="shared" si="35"/>
        <v>0.75729999999999997</v>
      </c>
      <c r="L118" s="3388">
        <f t="shared" si="35"/>
        <v>0.75729999999999997</v>
      </c>
      <c r="M118" s="3411">
        <f t="shared" si="35"/>
        <v>0.75729999999999997</v>
      </c>
      <c r="N118" s="3398"/>
    </row>
    <row r="119" spans="1:14">
      <c r="A119" s="3410" t="s">
        <v>3334</v>
      </c>
      <c r="B119" s="3388">
        <f>ROUND(0.993-0.0112*B116,4)</f>
        <v>0.93620000000000003</v>
      </c>
      <c r="C119" s="3388">
        <f>B119</f>
        <v>0.93620000000000003</v>
      </c>
      <c r="D119" s="3388">
        <f>ROUND(0.9415-0.0142*B116,4)</f>
        <v>0.86950000000000005</v>
      </c>
      <c r="E119" s="3388">
        <f t="shared" ref="E119:H120" si="36">D119</f>
        <v>0.86950000000000005</v>
      </c>
      <c r="F119" s="3388">
        <f t="shared" si="36"/>
        <v>0.86950000000000005</v>
      </c>
      <c r="G119" s="3388">
        <f t="shared" si="36"/>
        <v>0.86950000000000005</v>
      </c>
      <c r="H119" s="3388">
        <f t="shared" si="36"/>
        <v>0.86950000000000005</v>
      </c>
      <c r="I119" s="3388">
        <f>ROUND(0.838-0.0182*B116,4)</f>
        <v>0.74570000000000003</v>
      </c>
      <c r="J119" s="3388">
        <f t="shared" si="35"/>
        <v>0.74570000000000003</v>
      </c>
      <c r="K119" s="3388">
        <f t="shared" si="35"/>
        <v>0.74570000000000003</v>
      </c>
      <c r="L119" s="3388">
        <f t="shared" si="35"/>
        <v>0.74570000000000003</v>
      </c>
      <c r="M119" s="3411">
        <f t="shared" si="35"/>
        <v>0.74570000000000003</v>
      </c>
      <c r="N119" s="3398"/>
    </row>
    <row r="120" spans="1:14">
      <c r="A120" s="3410" t="s">
        <v>3335</v>
      </c>
      <c r="B120" s="3388">
        <f>ROUND(0.9448-0.0115*B116,4)</f>
        <v>0.88649999999999995</v>
      </c>
      <c r="C120" s="3388">
        <f>B120</f>
        <v>0.88649999999999995</v>
      </c>
      <c r="D120" s="3388">
        <f>ROUND(0.937-0.0145*B116,4)</f>
        <v>0.86350000000000005</v>
      </c>
      <c r="E120" s="3388">
        <f t="shared" si="36"/>
        <v>0.86350000000000005</v>
      </c>
      <c r="F120" s="3388">
        <f t="shared" si="36"/>
        <v>0.86350000000000005</v>
      </c>
      <c r="G120" s="3388">
        <f t="shared" si="36"/>
        <v>0.86350000000000005</v>
      </c>
      <c r="H120" s="3388">
        <f t="shared" si="36"/>
        <v>0.86350000000000005</v>
      </c>
      <c r="I120" s="3388">
        <f>ROUND(0.7965-0.0185*B116,4)</f>
        <v>0.70269999999999999</v>
      </c>
      <c r="J120" s="3388">
        <f t="shared" si="35"/>
        <v>0.70269999999999999</v>
      </c>
      <c r="K120" s="3388">
        <f t="shared" si="35"/>
        <v>0.70269999999999999</v>
      </c>
      <c r="L120" s="3388">
        <f t="shared" si="35"/>
        <v>0.70269999999999999</v>
      </c>
      <c r="M120" s="3411">
        <f t="shared" si="35"/>
        <v>0.70269999999999999</v>
      </c>
      <c r="N120" s="3398"/>
    </row>
    <row r="121" spans="1:14" ht="13.5" thickBot="1">
      <c r="A121" s="3412" t="s">
        <v>3336</v>
      </c>
      <c r="B121" s="3413">
        <f>ROUND(0.7836-0.012*B116,4)</f>
        <v>0.7228</v>
      </c>
      <c r="C121" s="3413">
        <f>B121</f>
        <v>0.7228</v>
      </c>
      <c r="D121" s="3413">
        <f>ROUND(0.753-0.015*B116,4)</f>
        <v>0.67700000000000005</v>
      </c>
      <c r="E121" s="3413">
        <f>D121</f>
        <v>0.67700000000000005</v>
      </c>
      <c r="F121" s="3413">
        <f>E121</f>
        <v>0.67700000000000005</v>
      </c>
      <c r="G121" s="3413">
        <f>ROUND(0.6612-0.018*B116,4)</f>
        <v>0.56989999999999996</v>
      </c>
      <c r="H121" s="3413">
        <f>G121</f>
        <v>0.56989999999999996</v>
      </c>
      <c r="I121" s="3413">
        <f>ROUND(0.5905-0.019*B116,4)</f>
        <v>0.49419999999999997</v>
      </c>
      <c r="J121" s="3413">
        <f t="shared" si="35"/>
        <v>0.49419999999999997</v>
      </c>
      <c r="K121" s="3413">
        <f t="shared" si="35"/>
        <v>0.49419999999999997</v>
      </c>
      <c r="L121" s="3413">
        <f t="shared" si="35"/>
        <v>0.49419999999999997</v>
      </c>
      <c r="M121" s="3414">
        <f t="shared" si="35"/>
        <v>0.49419999999999997</v>
      </c>
      <c r="N121" s="3398"/>
    </row>
    <row r="122" spans="1:14">
      <c r="A122" s="3415" t="s">
        <v>2615</v>
      </c>
      <c r="B122" s="3388">
        <f>ROUND(0.9404-0.0106*B116,4)</f>
        <v>0.88670000000000004</v>
      </c>
      <c r="C122" s="3388">
        <f>B122</f>
        <v>0.88670000000000004</v>
      </c>
      <c r="D122" s="3388">
        <f>ROUND(0.8955-0.0135*B116,4)</f>
        <v>0.82709999999999995</v>
      </c>
      <c r="E122" s="3388">
        <f t="shared" ref="E122:H122" si="37">D122</f>
        <v>0.82709999999999995</v>
      </c>
      <c r="F122" s="3388">
        <f t="shared" si="37"/>
        <v>0.82709999999999995</v>
      </c>
      <c r="G122" s="3388">
        <f t="shared" si="37"/>
        <v>0.82709999999999995</v>
      </c>
      <c r="H122" s="3388">
        <f t="shared" si="37"/>
        <v>0.82709999999999995</v>
      </c>
      <c r="I122" s="3388">
        <f>ROUND(0.7632-0.0166*B116,4)</f>
        <v>0.67900000000000005</v>
      </c>
      <c r="J122" s="3388">
        <f t="shared" si="35"/>
        <v>0.67900000000000005</v>
      </c>
      <c r="K122" s="3388">
        <f t="shared" si="35"/>
        <v>0.67900000000000005</v>
      </c>
      <c r="L122" s="3388">
        <f t="shared" si="35"/>
        <v>0.67900000000000005</v>
      </c>
      <c r="M122" s="3411">
        <f t="shared" si="35"/>
        <v>0.67900000000000005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2" t="s">
        <v>2610</v>
      </c>
      <c r="B20" s="3757" t="s">
        <v>2631</v>
      </c>
      <c r="C20" s="3103" t="s">
        <v>2442</v>
      </c>
      <c r="D20" s="3104"/>
      <c r="E20" s="3105">
        <v>1</v>
      </c>
      <c r="F20" s="3106" t="s">
        <v>2443</v>
      </c>
      <c r="G20" s="3106"/>
    </row>
    <row r="21" spans="1:13" ht="19.5" customHeight="1">
      <c r="A21" s="3763"/>
      <c r="B21" s="3756"/>
      <c r="C21" s="3107" t="s">
        <v>2444</v>
      </c>
      <c r="D21" s="3108"/>
      <c r="E21" s="3109">
        <v>1</v>
      </c>
      <c r="F21" s="3106" t="s">
        <v>2445</v>
      </c>
      <c r="G21" s="3106"/>
    </row>
    <row r="22" spans="1:13" ht="19.5" customHeight="1">
      <c r="A22" s="3763"/>
      <c r="B22" s="3756"/>
      <c r="C22" s="3107" t="s">
        <v>2446</v>
      </c>
      <c r="D22" s="3108"/>
      <c r="E22" s="3109">
        <v>0.9</v>
      </c>
      <c r="F22" s="3106" t="s">
        <v>2447</v>
      </c>
      <c r="G22" s="3106"/>
    </row>
    <row r="23" spans="1:13" ht="19.5" customHeight="1">
      <c r="A23" s="3763"/>
      <c r="B23" s="3756"/>
      <c r="C23" s="3107" t="s">
        <v>2448</v>
      </c>
      <c r="D23" s="3108"/>
      <c r="E23" s="3109">
        <v>0.9</v>
      </c>
      <c r="F23" s="3106" t="s">
        <v>2449</v>
      </c>
      <c r="G23" s="3106"/>
    </row>
    <row r="24" spans="1:13" ht="19.5" customHeight="1">
      <c r="A24" s="3763"/>
      <c r="B24" s="3756"/>
      <c r="C24" s="3107" t="s">
        <v>2450</v>
      </c>
      <c r="D24" s="3108"/>
      <c r="E24" s="3109">
        <v>0.8</v>
      </c>
      <c r="F24" s="3106" t="s">
        <v>2451</v>
      </c>
      <c r="G24" s="3106"/>
    </row>
    <row r="25" spans="1:13" ht="19.5" customHeight="1" thickBot="1">
      <c r="A25" s="3764"/>
      <c r="B25" s="375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9" t="s">
        <v>2634</v>
      </c>
      <c r="B27" s="3757" t="s">
        <v>2615</v>
      </c>
      <c r="C27" s="3103" t="s">
        <v>2455</v>
      </c>
      <c r="D27" s="3104"/>
      <c r="E27" s="3105">
        <v>1</v>
      </c>
      <c r="F27" s="3106" t="s">
        <v>2456</v>
      </c>
      <c r="G27" s="3106"/>
    </row>
    <row r="28" spans="1:13" ht="19.5" customHeight="1">
      <c r="A28" s="3760"/>
      <c r="B28" s="3756"/>
      <c r="C28" s="3107" t="s">
        <v>2457</v>
      </c>
      <c r="D28" s="3108"/>
      <c r="E28" s="3109">
        <v>1</v>
      </c>
      <c r="F28" s="3106" t="s">
        <v>2458</v>
      </c>
      <c r="G28" s="3106"/>
    </row>
    <row r="29" spans="1:13" ht="19.5" customHeight="1">
      <c r="A29" s="3760"/>
      <c r="B29" s="3756"/>
      <c r="C29" s="3107" t="s">
        <v>2459</v>
      </c>
      <c r="D29" s="3108"/>
      <c r="E29" s="3109">
        <v>0.8</v>
      </c>
      <c r="F29" s="3106" t="s">
        <v>2460</v>
      </c>
      <c r="G29" s="3106"/>
    </row>
    <row r="30" spans="1:13" ht="19.5" customHeight="1">
      <c r="A30" s="3760"/>
      <c r="B30" s="3756"/>
      <c r="C30" s="3107" t="s">
        <v>2461</v>
      </c>
      <c r="D30" s="3108"/>
      <c r="E30" s="3109">
        <v>0.8</v>
      </c>
      <c r="F30" s="3106" t="s">
        <v>2462</v>
      </c>
      <c r="G30" s="3106"/>
    </row>
    <row r="31" spans="1:13" ht="19.5" customHeight="1">
      <c r="A31" s="3760"/>
      <c r="B31" s="3756"/>
      <c r="C31" s="3107" t="s">
        <v>2463</v>
      </c>
      <c r="D31" s="3108"/>
      <c r="E31" s="3109">
        <v>0.8</v>
      </c>
      <c r="F31" s="3106" t="s">
        <v>2464</v>
      </c>
      <c r="G31" s="3106"/>
    </row>
    <row r="32" spans="1:13" ht="19.5" customHeight="1">
      <c r="A32" s="3760"/>
      <c r="B32" s="3756"/>
      <c r="C32" s="3107" t="s">
        <v>2465</v>
      </c>
      <c r="D32" s="3108"/>
      <c r="E32" s="3109">
        <v>0.7</v>
      </c>
      <c r="F32" s="3106" t="s">
        <v>2466</v>
      </c>
      <c r="G32" s="3106"/>
    </row>
    <row r="33" spans="1:7" ht="19.5" customHeight="1">
      <c r="A33" s="3760"/>
      <c r="B33" s="3756"/>
      <c r="C33" s="3107" t="s">
        <v>2467</v>
      </c>
      <c r="D33" s="3108"/>
      <c r="E33" s="3109">
        <v>0.8</v>
      </c>
      <c r="F33" s="3106" t="s">
        <v>2468</v>
      </c>
      <c r="G33" s="3106"/>
    </row>
    <row r="34" spans="1:7" ht="19.5" customHeight="1">
      <c r="A34" s="3760"/>
      <c r="B34" s="3756"/>
      <c r="C34" s="3107" t="s">
        <v>2469</v>
      </c>
      <c r="D34" s="3108"/>
      <c r="E34" s="3109">
        <v>0.6</v>
      </c>
      <c r="F34" s="3106" t="s">
        <v>2470</v>
      </c>
      <c r="G34" s="3106"/>
    </row>
    <row r="35" spans="1:7" ht="19.5" customHeight="1">
      <c r="A35" s="3760"/>
      <c r="B35" s="3756"/>
      <c r="C35" s="3107" t="s">
        <v>2471</v>
      </c>
      <c r="D35" s="3108"/>
      <c r="E35" s="3109">
        <v>0.2</v>
      </c>
      <c r="F35" s="3106" t="s">
        <v>2472</v>
      </c>
      <c r="G35" s="3106"/>
    </row>
    <row r="36" spans="1:7" ht="19.5" customHeight="1">
      <c r="A36" s="3760"/>
      <c r="B36" s="3756"/>
      <c r="C36" s="3107" t="s">
        <v>2473</v>
      </c>
      <c r="D36" s="3108"/>
      <c r="E36" s="3109">
        <v>0.2</v>
      </c>
      <c r="F36" s="3106" t="s">
        <v>2474</v>
      </c>
      <c r="G36" s="3106"/>
    </row>
    <row r="37" spans="1:7" ht="19.5" customHeight="1">
      <c r="A37" s="3760"/>
      <c r="B37" s="3754" t="s">
        <v>2635</v>
      </c>
      <c r="C37" s="3107" t="s">
        <v>2475</v>
      </c>
      <c r="D37" s="3108"/>
      <c r="E37" s="3109">
        <v>0.6</v>
      </c>
      <c r="F37" s="3106" t="s">
        <v>2476</v>
      </c>
      <c r="G37" s="3106"/>
    </row>
    <row r="38" spans="1:7" ht="19.5" customHeight="1">
      <c r="A38" s="3760"/>
      <c r="B38" s="3756"/>
      <c r="C38" s="3107" t="s">
        <v>2477</v>
      </c>
      <c r="D38" s="3108"/>
      <c r="E38" s="3109">
        <v>0.6</v>
      </c>
      <c r="F38" s="3106" t="s">
        <v>2478</v>
      </c>
      <c r="G38" s="3106"/>
    </row>
    <row r="39" spans="1:7" ht="19.5" customHeight="1" thickBot="1">
      <c r="A39" s="3761"/>
      <c r="B39" s="375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2" t="s">
        <v>2613</v>
      </c>
      <c r="B41" s="3757" t="s">
        <v>2637</v>
      </c>
      <c r="C41" s="3103" t="s">
        <v>2482</v>
      </c>
      <c r="D41" s="3104"/>
      <c r="E41" s="3105">
        <v>1</v>
      </c>
      <c r="F41" s="3106" t="s">
        <v>2483</v>
      </c>
      <c r="G41" s="3106"/>
    </row>
    <row r="42" spans="1:7" ht="19.5" customHeight="1">
      <c r="A42" s="3763"/>
      <c r="B42" s="3756"/>
      <c r="C42" s="3107" t="s">
        <v>2484</v>
      </c>
      <c r="D42" s="3108"/>
      <c r="E42" s="3109">
        <v>1</v>
      </c>
      <c r="F42" s="3106" t="s">
        <v>2485</v>
      </c>
      <c r="G42" s="3106"/>
    </row>
    <row r="43" spans="1:7" ht="19.5" customHeight="1">
      <c r="A43" s="3763"/>
      <c r="B43" s="3755"/>
      <c r="C43" s="3107" t="s">
        <v>2486</v>
      </c>
      <c r="D43" s="3108"/>
      <c r="E43" s="3109">
        <v>1.5</v>
      </c>
      <c r="F43" s="3106" t="s">
        <v>2487</v>
      </c>
      <c r="G43" s="3106"/>
    </row>
    <row r="44" spans="1:7" ht="19.5" customHeight="1">
      <c r="A44" s="3763"/>
      <c r="B44" s="3118" t="s">
        <v>2638</v>
      </c>
      <c r="C44" s="3107" t="s">
        <v>2639</v>
      </c>
      <c r="D44" s="3108"/>
      <c r="E44" s="3109">
        <v>2</v>
      </c>
      <c r="F44" s="3106" t="s">
        <v>2488</v>
      </c>
      <c r="G44" s="3106"/>
    </row>
    <row r="45" spans="1:7" ht="19.5" customHeight="1">
      <c r="A45" s="3763"/>
      <c r="B45" s="3754" t="s">
        <v>2640</v>
      </c>
      <c r="C45" s="3107" t="s">
        <v>2489</v>
      </c>
      <c r="D45" s="3108"/>
      <c r="E45" s="3109">
        <v>1</v>
      </c>
      <c r="F45" s="3106" t="s">
        <v>2490</v>
      </c>
      <c r="G45" s="3106"/>
    </row>
    <row r="46" spans="1:7" ht="19.5" customHeight="1">
      <c r="A46" s="3763"/>
      <c r="B46" s="3756"/>
      <c r="C46" s="3107" t="s">
        <v>2491</v>
      </c>
      <c r="D46" s="3108"/>
      <c r="E46" s="3109">
        <v>1</v>
      </c>
      <c r="F46" s="3106" t="s">
        <v>2492</v>
      </c>
      <c r="G46" s="3106"/>
    </row>
    <row r="47" spans="1:7" ht="19.5" customHeight="1">
      <c r="A47" s="3763"/>
      <c r="B47" s="3756"/>
      <c r="C47" s="3107" t="s">
        <v>2493</v>
      </c>
      <c r="D47" s="3108"/>
      <c r="E47" s="3109">
        <v>1</v>
      </c>
      <c r="F47" s="3106" t="s">
        <v>2494</v>
      </c>
      <c r="G47" s="3106"/>
    </row>
    <row r="48" spans="1:7" ht="19.5" customHeight="1">
      <c r="A48" s="3763"/>
      <c r="B48" s="3756"/>
      <c r="C48" s="3107" t="s">
        <v>2495</v>
      </c>
      <c r="D48" s="3108"/>
      <c r="E48" s="3109">
        <v>1</v>
      </c>
      <c r="F48" s="3106" t="s">
        <v>2496</v>
      </c>
      <c r="G48" s="3106"/>
    </row>
    <row r="49" spans="1:7" ht="19.5" customHeight="1">
      <c r="A49" s="3763"/>
      <c r="B49" s="3756"/>
      <c r="C49" s="3107" t="s">
        <v>2497</v>
      </c>
      <c r="D49" s="3108"/>
      <c r="E49" s="3109">
        <v>1</v>
      </c>
      <c r="F49" s="3106" t="s">
        <v>2498</v>
      </c>
      <c r="G49" s="3106"/>
    </row>
    <row r="50" spans="1:7" ht="19.5" customHeight="1">
      <c r="A50" s="3763"/>
      <c r="B50" s="3756"/>
      <c r="C50" s="3107" t="s">
        <v>2499</v>
      </c>
      <c r="D50" s="3108"/>
      <c r="E50" s="3109">
        <v>1</v>
      </c>
      <c r="F50" s="3106" t="s">
        <v>2500</v>
      </c>
      <c r="G50" s="3106"/>
    </row>
    <row r="51" spans="1:7" ht="19.5" customHeight="1" thickBot="1">
      <c r="A51" s="3764"/>
      <c r="B51" s="375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4" t="s">
        <v>2654</v>
      </c>
      <c r="C73" s="3092" t="s">
        <v>2655</v>
      </c>
      <c r="D73" s="3092" t="s">
        <v>2656</v>
      </c>
      <c r="E73" s="3118">
        <v>0.2</v>
      </c>
      <c r="F73" s="3118">
        <v>25</v>
      </c>
    </row>
    <row r="74" spans="1:7" ht="24">
      <c r="A74" s="3118">
        <v>2</v>
      </c>
      <c r="B74" s="3756"/>
      <c r="C74" s="3092" t="s">
        <v>2657</v>
      </c>
      <c r="D74" s="3092" t="s">
        <v>2658</v>
      </c>
      <c r="E74" s="3118">
        <v>0.2</v>
      </c>
      <c r="F74" s="3118">
        <v>25</v>
      </c>
    </row>
    <row r="75" spans="1:7" ht="24">
      <c r="A75" s="3118">
        <v>3</v>
      </c>
      <c r="B75" s="3756"/>
      <c r="C75" s="3092" t="s">
        <v>2659</v>
      </c>
      <c r="D75" s="3092" t="s">
        <v>2660</v>
      </c>
      <c r="E75" s="3118">
        <v>0.2</v>
      </c>
      <c r="F75" s="3118">
        <v>25</v>
      </c>
    </row>
    <row r="76" spans="1:7" ht="13.5">
      <c r="A76" s="3118">
        <v>4</v>
      </c>
      <c r="B76" s="3756"/>
      <c r="C76" s="3092" t="s">
        <v>2661</v>
      </c>
      <c r="D76" s="3092" t="s">
        <v>2662</v>
      </c>
      <c r="E76" s="3118">
        <v>0.15</v>
      </c>
      <c r="F76" s="3118">
        <v>20</v>
      </c>
    </row>
    <row r="77" spans="1:7" ht="24">
      <c r="A77" s="3118">
        <v>5</v>
      </c>
      <c r="B77" s="3756"/>
      <c r="C77" s="3092" t="s">
        <v>2663</v>
      </c>
      <c r="D77" s="3092" t="s">
        <v>2664</v>
      </c>
      <c r="E77" s="3118">
        <v>0.15</v>
      </c>
      <c r="F77" s="3118">
        <v>20</v>
      </c>
    </row>
    <row r="78" spans="1:7" ht="24">
      <c r="A78" s="3118">
        <v>6</v>
      </c>
      <c r="B78" s="3756"/>
      <c r="C78" s="3092" t="s">
        <v>2665</v>
      </c>
      <c r="D78" s="3092" t="s">
        <v>2666</v>
      </c>
      <c r="E78" s="3118">
        <v>0.15</v>
      </c>
      <c r="F78" s="3118">
        <v>20</v>
      </c>
    </row>
    <row r="79" spans="1:7" ht="24">
      <c r="A79" s="3118">
        <v>7</v>
      </c>
      <c r="B79" s="3756"/>
      <c r="C79" s="3092" t="s">
        <v>2667</v>
      </c>
      <c r="D79" s="3092" t="s">
        <v>2668</v>
      </c>
      <c r="E79" s="3118">
        <v>0.15</v>
      </c>
      <c r="F79" s="3118">
        <v>20</v>
      </c>
    </row>
    <row r="80" spans="1:7" ht="24">
      <c r="A80" s="3118">
        <v>8</v>
      </c>
      <c r="B80" s="3756"/>
      <c r="C80" s="3092" t="s">
        <v>2669</v>
      </c>
      <c r="D80" s="3092" t="s">
        <v>2670</v>
      </c>
      <c r="E80" s="3118">
        <v>0.1</v>
      </c>
      <c r="F80" s="3118">
        <v>15</v>
      </c>
    </row>
    <row r="81" spans="1:6" ht="24">
      <c r="A81" s="3118">
        <v>9</v>
      </c>
      <c r="B81" s="3756"/>
      <c r="C81" s="3092" t="s">
        <v>2671</v>
      </c>
      <c r="D81" s="3092" t="s">
        <v>2672</v>
      </c>
      <c r="E81" s="3118">
        <v>0.1</v>
      </c>
      <c r="F81" s="3118">
        <v>15</v>
      </c>
    </row>
    <row r="82" spans="1:6" ht="24">
      <c r="A82" s="3118">
        <v>10</v>
      </c>
      <c r="B82" s="3756"/>
      <c r="C82" s="3092" t="s">
        <v>2673</v>
      </c>
      <c r="D82" s="3092" t="s">
        <v>2674</v>
      </c>
      <c r="E82" s="3118">
        <v>0.1</v>
      </c>
      <c r="F82" s="3118">
        <v>15</v>
      </c>
    </row>
    <row r="83" spans="1:6" ht="24">
      <c r="A83" s="3118">
        <v>11</v>
      </c>
      <c r="B83" s="3756"/>
      <c r="C83" s="3092" t="s">
        <v>2675</v>
      </c>
      <c r="D83" s="3092" t="s">
        <v>2676</v>
      </c>
      <c r="E83" s="3118">
        <v>0.1</v>
      </c>
      <c r="F83" s="3118">
        <v>15</v>
      </c>
    </row>
    <row r="84" spans="1:6" ht="24">
      <c r="A84" s="3118">
        <v>12</v>
      </c>
      <c r="B84" s="3756"/>
      <c r="C84" s="3092" t="s">
        <v>2677</v>
      </c>
      <c r="D84" s="3092" t="s">
        <v>2678</v>
      </c>
      <c r="E84" s="3118">
        <v>0.1</v>
      </c>
      <c r="F84" s="3118">
        <v>15</v>
      </c>
    </row>
    <row r="85" spans="1:6" ht="13.5">
      <c r="A85" s="3118">
        <v>13</v>
      </c>
      <c r="B85" s="3756"/>
      <c r="C85" s="3092" t="s">
        <v>2679</v>
      </c>
      <c r="D85" s="3092" t="s">
        <v>2680</v>
      </c>
      <c r="E85" s="3118">
        <v>0.1</v>
      </c>
      <c r="F85" s="3118">
        <v>15</v>
      </c>
    </row>
    <row r="86" spans="1:6" ht="13.5">
      <c r="A86" s="3118">
        <v>14</v>
      </c>
      <c r="B86" s="3756"/>
      <c r="C86" s="3092" t="s">
        <v>2681</v>
      </c>
      <c r="D86" s="3092" t="s">
        <v>2682</v>
      </c>
      <c r="E86" s="3118">
        <v>0.1</v>
      </c>
      <c r="F86" s="3118">
        <v>15</v>
      </c>
    </row>
    <row r="87" spans="1:6" ht="13.5">
      <c r="A87" s="3118">
        <v>15</v>
      </c>
      <c r="B87" s="3756"/>
      <c r="C87" s="3092" t="s">
        <v>2683</v>
      </c>
      <c r="D87" s="3092" t="s">
        <v>2684</v>
      </c>
      <c r="E87" s="3118">
        <v>0.1</v>
      </c>
      <c r="F87" s="3118">
        <v>15</v>
      </c>
    </row>
    <row r="88" spans="1:6" ht="24">
      <c r="A88" s="3118">
        <v>16</v>
      </c>
      <c r="B88" s="3756"/>
      <c r="C88" s="3092" t="s">
        <v>2685</v>
      </c>
      <c r="D88" s="3092" t="s">
        <v>2686</v>
      </c>
      <c r="E88" s="3118">
        <v>0.1</v>
      </c>
      <c r="F88" s="3118">
        <v>15</v>
      </c>
    </row>
    <row r="89" spans="1:6" ht="24">
      <c r="A89" s="3118">
        <v>17</v>
      </c>
      <c r="B89" s="3755"/>
      <c r="C89" s="3092" t="s">
        <v>2687</v>
      </c>
      <c r="D89" s="3092" t="s">
        <v>2688</v>
      </c>
      <c r="E89" s="3118">
        <v>0.1</v>
      </c>
      <c r="F89" s="3118">
        <v>15</v>
      </c>
    </row>
    <row r="90" spans="1:6" ht="13.5">
      <c r="A90" s="3118">
        <v>18</v>
      </c>
      <c r="B90" s="3754" t="s">
        <v>2689</v>
      </c>
      <c r="C90" s="3092" t="s">
        <v>2690</v>
      </c>
      <c r="D90" s="3092" t="s">
        <v>2691</v>
      </c>
      <c r="E90" s="3118">
        <v>0.2</v>
      </c>
      <c r="F90" s="3118">
        <v>25</v>
      </c>
    </row>
    <row r="91" spans="1:6" ht="24">
      <c r="A91" s="3118">
        <v>19</v>
      </c>
      <c r="B91" s="3756"/>
      <c r="C91" s="3092" t="s">
        <v>2692</v>
      </c>
      <c r="D91" s="3092" t="s">
        <v>2693</v>
      </c>
      <c r="E91" s="3118">
        <v>0.2</v>
      </c>
      <c r="F91" s="3118">
        <v>25</v>
      </c>
    </row>
    <row r="92" spans="1:6" ht="13.5">
      <c r="A92" s="3118">
        <v>20</v>
      </c>
      <c r="B92" s="3756"/>
      <c r="C92" s="3092" t="s">
        <v>2694</v>
      </c>
      <c r="D92" s="3092" t="s">
        <v>2695</v>
      </c>
      <c r="E92" s="3118">
        <v>0.15</v>
      </c>
      <c r="F92" s="3118">
        <v>20</v>
      </c>
    </row>
    <row r="93" spans="1:6" ht="13.5">
      <c r="A93" s="3118">
        <v>21</v>
      </c>
      <c r="B93" s="3756"/>
      <c r="C93" s="3092" t="s">
        <v>2696</v>
      </c>
      <c r="D93" s="3092" t="s">
        <v>2697</v>
      </c>
      <c r="E93" s="3118">
        <v>0.15</v>
      </c>
      <c r="F93" s="3118">
        <v>20</v>
      </c>
    </row>
    <row r="94" spans="1:6" ht="13.5">
      <c r="A94" s="3118">
        <v>22</v>
      </c>
      <c r="B94" s="3756"/>
      <c r="C94" s="3092" t="s">
        <v>2698</v>
      </c>
      <c r="D94" s="3092" t="s">
        <v>2699</v>
      </c>
      <c r="E94" s="3118">
        <v>0.15</v>
      </c>
      <c r="F94" s="3118">
        <v>20</v>
      </c>
    </row>
    <row r="95" spans="1:6" ht="36">
      <c r="A95" s="3118">
        <v>23</v>
      </c>
      <c r="B95" s="3756"/>
      <c r="C95" s="3092" t="s">
        <v>2700</v>
      </c>
      <c r="D95" s="3092" t="s">
        <v>2701</v>
      </c>
      <c r="E95" s="3118">
        <v>0.15</v>
      </c>
      <c r="F95" s="3118">
        <v>20</v>
      </c>
    </row>
    <row r="96" spans="1:6" ht="13.5">
      <c r="A96" s="3118">
        <v>24</v>
      </c>
      <c r="B96" s="3756"/>
      <c r="C96" s="3092" t="s">
        <v>2702</v>
      </c>
      <c r="D96" s="3092" t="s">
        <v>2703</v>
      </c>
      <c r="E96" s="3118">
        <v>0.1</v>
      </c>
      <c r="F96" s="3118">
        <v>15</v>
      </c>
    </row>
    <row r="97" spans="1:6" ht="13.5">
      <c r="A97" s="3118">
        <v>25</v>
      </c>
      <c r="B97" s="3756"/>
      <c r="C97" s="3092" t="s">
        <v>2704</v>
      </c>
      <c r="D97" s="3092" t="s">
        <v>2705</v>
      </c>
      <c r="E97" s="3118">
        <v>0.1</v>
      </c>
      <c r="F97" s="3118">
        <v>15</v>
      </c>
    </row>
    <row r="98" spans="1:6" ht="24">
      <c r="A98" s="3118">
        <v>26</v>
      </c>
      <c r="B98" s="3756"/>
      <c r="C98" s="3092" t="s">
        <v>2706</v>
      </c>
      <c r="D98" s="3092" t="s">
        <v>2707</v>
      </c>
      <c r="E98" s="3118">
        <v>0.1</v>
      </c>
      <c r="F98" s="3118">
        <v>15</v>
      </c>
    </row>
    <row r="99" spans="1:6" ht="24">
      <c r="A99" s="3118">
        <v>27</v>
      </c>
      <c r="B99" s="3756"/>
      <c r="C99" s="3092" t="s">
        <v>2708</v>
      </c>
      <c r="D99" s="3092" t="s">
        <v>2709</v>
      </c>
      <c r="E99" s="3118">
        <v>0.1</v>
      </c>
      <c r="F99" s="3118">
        <v>15</v>
      </c>
    </row>
    <row r="100" spans="1:6" ht="13.5">
      <c r="A100" s="3118">
        <v>28</v>
      </c>
      <c r="B100" s="3756"/>
      <c r="C100" s="3092" t="s">
        <v>2710</v>
      </c>
      <c r="D100" s="3092" t="s">
        <v>2711</v>
      </c>
      <c r="E100" s="3118">
        <v>0.1</v>
      </c>
      <c r="F100" s="3118">
        <v>15</v>
      </c>
    </row>
    <row r="101" spans="1:6" ht="13.5">
      <c r="A101" s="3118">
        <v>29</v>
      </c>
      <c r="B101" s="3756"/>
      <c r="C101" s="3092" t="s">
        <v>2712</v>
      </c>
      <c r="D101" s="3092" t="s">
        <v>2713</v>
      </c>
      <c r="E101" s="3118">
        <v>0.1</v>
      </c>
      <c r="F101" s="3118">
        <v>15</v>
      </c>
    </row>
    <row r="102" spans="1:6" ht="13.5">
      <c r="A102" s="3118">
        <v>30</v>
      </c>
      <c r="B102" s="3756"/>
      <c r="C102" s="3092" t="s">
        <v>2714</v>
      </c>
      <c r="D102" s="3092" t="s">
        <v>2715</v>
      </c>
      <c r="E102" s="3118">
        <v>0.1</v>
      </c>
      <c r="F102" s="3118">
        <v>15</v>
      </c>
    </row>
    <row r="103" spans="1:6" ht="24">
      <c r="A103" s="3118">
        <v>31</v>
      </c>
      <c r="B103" s="3756"/>
      <c r="C103" s="3092" t="s">
        <v>2716</v>
      </c>
      <c r="D103" s="3092" t="s">
        <v>2717</v>
      </c>
      <c r="E103" s="3118">
        <v>0.1</v>
      </c>
      <c r="F103" s="3118">
        <v>15</v>
      </c>
    </row>
    <row r="104" spans="1:6" ht="24">
      <c r="A104" s="3118">
        <v>32</v>
      </c>
      <c r="B104" s="3756"/>
      <c r="C104" s="3092" t="s">
        <v>2718</v>
      </c>
      <c r="D104" s="3092" t="s">
        <v>2719</v>
      </c>
      <c r="E104" s="3118">
        <v>0.1</v>
      </c>
      <c r="F104" s="3118">
        <v>15</v>
      </c>
    </row>
    <row r="105" spans="1:6" ht="24">
      <c r="A105" s="3118">
        <v>33</v>
      </c>
      <c r="B105" s="3756"/>
      <c r="C105" s="3092" t="s">
        <v>2720</v>
      </c>
      <c r="D105" s="3092" t="s">
        <v>2721</v>
      </c>
      <c r="E105" s="3118">
        <v>0.1</v>
      </c>
      <c r="F105" s="3118">
        <v>15</v>
      </c>
    </row>
    <row r="106" spans="1:6" ht="24">
      <c r="A106" s="3118">
        <v>34</v>
      </c>
      <c r="B106" s="3755"/>
      <c r="C106" s="3092" t="s">
        <v>2722</v>
      </c>
      <c r="D106" s="3092" t="s">
        <v>2723</v>
      </c>
      <c r="E106" s="3118">
        <v>0.1</v>
      </c>
      <c r="F106" s="3118">
        <v>15</v>
      </c>
    </row>
    <row r="107" spans="1:6" ht="24">
      <c r="A107" s="3118">
        <v>35</v>
      </c>
      <c r="B107" s="3754" t="s">
        <v>2724</v>
      </c>
      <c r="C107" s="3118" t="s">
        <v>2725</v>
      </c>
      <c r="D107" s="3092" t="s">
        <v>2726</v>
      </c>
      <c r="E107" s="3118">
        <v>0.15</v>
      </c>
      <c r="F107" s="3118">
        <v>20</v>
      </c>
    </row>
    <row r="108" spans="1:6" ht="13.5">
      <c r="A108" s="3118">
        <v>36</v>
      </c>
      <c r="B108" s="3756"/>
      <c r="C108" s="3118" t="s">
        <v>2727</v>
      </c>
      <c r="D108" s="3092" t="s">
        <v>2728</v>
      </c>
      <c r="E108" s="3118">
        <v>0.15</v>
      </c>
      <c r="F108" s="3118">
        <v>20</v>
      </c>
    </row>
    <row r="109" spans="1:6" ht="13.5">
      <c r="A109" s="3118">
        <v>37</v>
      </c>
      <c r="B109" s="3756"/>
      <c r="C109" s="3118" t="s">
        <v>2729</v>
      </c>
      <c r="D109" s="3092" t="s">
        <v>2730</v>
      </c>
      <c r="E109" s="3118">
        <v>0.15</v>
      </c>
      <c r="F109" s="3118">
        <v>20</v>
      </c>
    </row>
    <row r="110" spans="1:6" ht="13.5">
      <c r="A110" s="3118">
        <v>38</v>
      </c>
      <c r="B110" s="3756"/>
      <c r="C110" s="3118" t="s">
        <v>2731</v>
      </c>
      <c r="D110" s="3092" t="s">
        <v>2732</v>
      </c>
      <c r="E110" s="3118">
        <v>0.1</v>
      </c>
      <c r="F110" s="3118">
        <v>15</v>
      </c>
    </row>
    <row r="111" spans="1:6" ht="24">
      <c r="A111" s="3118">
        <v>39</v>
      </c>
      <c r="B111" s="3756"/>
      <c r="C111" s="3118" t="s">
        <v>2733</v>
      </c>
      <c r="D111" s="3092" t="s">
        <v>2734</v>
      </c>
      <c r="E111" s="3118">
        <v>0.1</v>
      </c>
      <c r="F111" s="3118">
        <v>15</v>
      </c>
    </row>
    <row r="112" spans="1:6" ht="24">
      <c r="A112" s="3118">
        <v>40</v>
      </c>
      <c r="B112" s="3755"/>
      <c r="C112" s="3118" t="s">
        <v>2735</v>
      </c>
      <c r="D112" s="3092" t="s">
        <v>2736</v>
      </c>
      <c r="E112" s="3118">
        <v>0.1</v>
      </c>
      <c r="F112" s="3118">
        <v>15</v>
      </c>
    </row>
    <row r="113" spans="1:6" ht="13.5">
      <c r="A113" s="3118">
        <v>41</v>
      </c>
      <c r="B113" s="3753" t="s">
        <v>2737</v>
      </c>
      <c r="C113" s="3118" t="s">
        <v>2738</v>
      </c>
      <c r="D113" s="3092" t="s">
        <v>2739</v>
      </c>
      <c r="E113" s="3118">
        <v>0.1</v>
      </c>
      <c r="F113" s="3118">
        <v>15</v>
      </c>
    </row>
    <row r="114" spans="1:6" ht="13.5">
      <c r="A114" s="3118">
        <v>42</v>
      </c>
      <c r="B114" s="3753"/>
      <c r="C114" s="3118" t="s">
        <v>2740</v>
      </c>
      <c r="D114" s="3092" t="s">
        <v>2741</v>
      </c>
      <c r="E114" s="3118">
        <v>0.1</v>
      </c>
      <c r="F114" s="3118">
        <v>15</v>
      </c>
    </row>
    <row r="115" spans="1:6" ht="24">
      <c r="A115" s="3118">
        <v>43</v>
      </c>
      <c r="B115" s="3753"/>
      <c r="C115" s="3118" t="s">
        <v>2742</v>
      </c>
      <c r="D115" s="3092" t="s">
        <v>2743</v>
      </c>
      <c r="E115" s="3118">
        <v>0.1</v>
      </c>
      <c r="F115" s="3118">
        <v>15</v>
      </c>
    </row>
    <row r="116" spans="1:6" ht="13.5">
      <c r="A116" s="3118">
        <v>44</v>
      </c>
      <c r="B116" s="3754" t="s">
        <v>2744</v>
      </c>
      <c r="C116" s="3118" t="s">
        <v>2745</v>
      </c>
      <c r="D116" s="3092" t="s">
        <v>2746</v>
      </c>
      <c r="E116" s="3118">
        <v>0.1</v>
      </c>
      <c r="F116" s="3118">
        <v>15</v>
      </c>
    </row>
    <row r="117" spans="1:6" ht="24">
      <c r="A117" s="3118">
        <v>45</v>
      </c>
      <c r="B117" s="3755"/>
      <c r="C117" s="3092" t="s">
        <v>2747</v>
      </c>
      <c r="D117" s="3092" t="s">
        <v>2748</v>
      </c>
      <c r="E117" s="3118">
        <v>0.1</v>
      </c>
      <c r="F117" s="3118">
        <v>15</v>
      </c>
    </row>
    <row r="118" spans="1:6" ht="24">
      <c r="A118" s="3118">
        <v>46</v>
      </c>
      <c r="B118" s="3754" t="s">
        <v>2749</v>
      </c>
      <c r="C118" s="3118" t="s">
        <v>2750</v>
      </c>
      <c r="D118" s="3092" t="s">
        <v>2751</v>
      </c>
      <c r="E118" s="3118">
        <v>0.1</v>
      </c>
      <c r="F118" s="3118">
        <v>15</v>
      </c>
    </row>
    <row r="119" spans="1:6" ht="24">
      <c r="A119" s="3118">
        <v>47</v>
      </c>
      <c r="B119" s="3755"/>
      <c r="C119" s="3118" t="s">
        <v>2752</v>
      </c>
      <c r="D119" s="3092" t="s">
        <v>2753</v>
      </c>
      <c r="E119" s="3118">
        <v>0.1</v>
      </c>
      <c r="F119" s="3118">
        <v>15</v>
      </c>
    </row>
    <row r="120" spans="1:6" ht="13.5">
      <c r="A120" s="3118">
        <v>48</v>
      </c>
      <c r="B120" s="3754" t="s">
        <v>2754</v>
      </c>
      <c r="C120" s="3118" t="s">
        <v>2755</v>
      </c>
      <c r="D120" s="3092" t="s">
        <v>2756</v>
      </c>
      <c r="E120" s="3118">
        <v>0.1</v>
      </c>
      <c r="F120" s="3118">
        <v>15</v>
      </c>
    </row>
    <row r="121" spans="1:6" ht="13.5">
      <c r="A121" s="3118">
        <v>49</v>
      </c>
      <c r="B121" s="3755"/>
      <c r="C121" s="3118" t="s">
        <v>2757</v>
      </c>
      <c r="D121" s="3092" t="s">
        <v>2758</v>
      </c>
      <c r="E121" s="3118">
        <v>0.1</v>
      </c>
      <c r="F121" s="3118">
        <v>15</v>
      </c>
    </row>
    <row r="122" spans="1:6" ht="24">
      <c r="A122" s="3118">
        <v>50</v>
      </c>
      <c r="B122" s="3753" t="s">
        <v>2759</v>
      </c>
      <c r="C122" s="3118" t="s">
        <v>2760</v>
      </c>
      <c r="D122" s="3092" t="s">
        <v>2761</v>
      </c>
      <c r="E122" s="3118">
        <v>0.1</v>
      </c>
      <c r="F122" s="3118">
        <v>15</v>
      </c>
    </row>
    <row r="123" spans="1:6" ht="24">
      <c r="A123" s="3118">
        <v>51</v>
      </c>
      <c r="B123" s="3753"/>
      <c r="C123" s="3118" t="s">
        <v>2762</v>
      </c>
      <c r="D123" s="3092" t="s">
        <v>2763</v>
      </c>
      <c r="E123" s="3118">
        <v>0.1</v>
      </c>
      <c r="F123" s="3118">
        <v>15</v>
      </c>
    </row>
    <row r="124" spans="1:6" ht="24">
      <c r="A124" s="3118">
        <v>52</v>
      </c>
      <c r="B124" s="3753" t="s">
        <v>2764</v>
      </c>
      <c r="C124" s="3118" t="s">
        <v>2765</v>
      </c>
      <c r="D124" s="3092" t="s">
        <v>2766</v>
      </c>
      <c r="E124" s="3118">
        <v>0.1</v>
      </c>
      <c r="F124" s="3118">
        <v>15</v>
      </c>
    </row>
    <row r="125" spans="1:6" ht="24">
      <c r="A125" s="3118">
        <v>53</v>
      </c>
      <c r="B125" s="375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3" t="s">
        <v>2772</v>
      </c>
      <c r="C127" s="3118" t="s">
        <v>2773</v>
      </c>
      <c r="D127" s="3092" t="s">
        <v>2774</v>
      </c>
      <c r="E127" s="3118">
        <v>0.1</v>
      </c>
      <c r="F127" s="3118">
        <v>15</v>
      </c>
    </row>
    <row r="128" spans="1:6" ht="13.5">
      <c r="A128" s="3118">
        <v>56</v>
      </c>
      <c r="B128" s="3753"/>
      <c r="C128" s="3118" t="s">
        <v>2775</v>
      </c>
      <c r="D128" s="3092" t="s">
        <v>2776</v>
      </c>
      <c r="E128" s="3118">
        <v>0.1</v>
      </c>
      <c r="F128" s="3118">
        <v>15</v>
      </c>
    </row>
    <row r="129" spans="1:6" ht="24">
      <c r="A129" s="3118">
        <v>57</v>
      </c>
      <c r="B129" s="3753"/>
      <c r="C129" s="3118" t="s">
        <v>2777</v>
      </c>
      <c r="D129" s="3092" t="s">
        <v>2778</v>
      </c>
      <c r="E129" s="3118">
        <v>0.1</v>
      </c>
      <c r="F129" s="3118">
        <v>15</v>
      </c>
    </row>
    <row r="130" spans="1:6" ht="24">
      <c r="A130" s="3118">
        <v>58</v>
      </c>
      <c r="B130" s="3753" t="s">
        <v>2779</v>
      </c>
      <c r="C130" s="3118" t="s">
        <v>2780</v>
      </c>
      <c r="D130" s="3092" t="s">
        <v>2781</v>
      </c>
      <c r="E130" s="3118">
        <v>0.1</v>
      </c>
      <c r="F130" s="3118">
        <v>15</v>
      </c>
    </row>
    <row r="131" spans="1:6" ht="13.5">
      <c r="A131" s="3118">
        <v>59</v>
      </c>
      <c r="B131" s="3753"/>
      <c r="C131" s="3118" t="s">
        <v>2782</v>
      </c>
      <c r="D131" s="3092" t="s">
        <v>2783</v>
      </c>
      <c r="E131" s="3118">
        <v>0.1</v>
      </c>
      <c r="F131" s="3118">
        <v>15</v>
      </c>
    </row>
    <row r="132" spans="1:6" ht="13.5">
      <c r="A132" s="3118">
        <v>60</v>
      </c>
      <c r="B132" s="3754" t="s">
        <v>2784</v>
      </c>
      <c r="C132" s="3118" t="s">
        <v>2785</v>
      </c>
      <c r="D132" s="3092" t="s">
        <v>2786</v>
      </c>
      <c r="E132" s="3118">
        <v>0.1</v>
      </c>
      <c r="F132" s="3118">
        <v>15</v>
      </c>
    </row>
    <row r="133" spans="1:6" ht="13.5">
      <c r="A133" s="3118">
        <v>61</v>
      </c>
      <c r="B133" s="375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3" t="s">
        <v>2792</v>
      </c>
      <c r="C135" s="3118" t="s">
        <v>2793</v>
      </c>
      <c r="D135" s="3092" t="s">
        <v>2794</v>
      </c>
      <c r="E135" s="3118">
        <v>0.1</v>
      </c>
      <c r="F135" s="3118">
        <v>15</v>
      </c>
    </row>
    <row r="136" spans="1:6" ht="13.5">
      <c r="A136" s="3118">
        <v>64</v>
      </c>
      <c r="B136" s="375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0.89239999999999997</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0.84889999999999999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29648</v>
      </c>
      <c r="C2" s="2" t="s">
        <v>106</v>
      </c>
      <c r="D2" s="199"/>
      <c r="E2" s="199"/>
      <c r="F2" s="199"/>
      <c r="G2" s="199"/>
    </row>
    <row r="3" spans="1:7" s="200" customFormat="1" ht="18" customHeight="1" thickBot="1">
      <c r="A3" s="203" t="s">
        <v>58</v>
      </c>
      <c r="B3" s="204">
        <f ca="1">ROUND(B2*10000/'数据-汇总表'!E3,0)</f>
        <v>2227163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133.12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133.12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133.12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1E-3</v>
      </c>
      <c r="D44" s="238"/>
      <c r="E44" s="238"/>
      <c r="F44" s="239"/>
      <c r="G44" s="3646"/>
    </row>
    <row r="45" spans="1:7" s="214" customFormat="1" ht="13.5" customHeight="1">
      <c r="A45" s="777" t="s">
        <v>341</v>
      </c>
      <c r="B45" s="244" t="s">
        <v>85</v>
      </c>
      <c r="C45" s="245">
        <f>C46</f>
        <v>13</v>
      </c>
      <c r="D45" s="235">
        <f>C47</f>
        <v>4.0000000000000001E-3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90</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78</v>
      </c>
      <c r="D51" s="232"/>
      <c r="E51" s="232"/>
      <c r="F51" s="264"/>
      <c r="G51" s="234" t="s">
        <v>37</v>
      </c>
    </row>
    <row r="52" spans="1:7" s="208" customFormat="1" ht="16.5" thickBot="1">
      <c r="A52" s="265" t="s">
        <v>38</v>
      </c>
      <c r="B52" s="266"/>
      <c r="C52" s="267">
        <f ca="1">C31+C51</f>
        <v>29648</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132"/>
  <sheetViews>
    <sheetView view="pageBreakPreview" zoomScale="80" zoomScaleNormal="70" zoomScaleSheetLayoutView="80" workbookViewId="0">
      <selection activeCell="G6" sqref="G6:H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3455</v>
      </c>
      <c r="E1" s="3433" t="s">
        <v>3442</v>
      </c>
      <c r="F1" s="1879" t="s">
        <v>3418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758.46450000000004</v>
      </c>
      <c r="C2" s="3803" t="s">
        <v>43</v>
      </c>
      <c r="D2" s="1115">
        <f ca="1">IF(E1="项目模式",SUMIF(INDIRECT("'"&amp;F2&amp;"'"&amp;"!A:A"),"承租人权益价值",INDIRECT("'"&amp;F2&amp;"'"&amp;"!c:c")),SUMIF(INDIRECT("'"&amp;F2&amp;"'"&amp;"!A:A"),"承租人权益价值（单套）",INDIRECT("'"&amp;F2&amp;"'"&amp;"!c:c")))</f>
        <v>-271.27390000000003</v>
      </c>
      <c r="E2" s="1882" t="s">
        <v>1463</v>
      </c>
      <c r="F2" s="1883" t="s">
        <v>3394</v>
      </c>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56976</v>
      </c>
      <c r="C3" s="354" t="s">
        <v>1768</v>
      </c>
      <c r="D3" s="353">
        <f>IF(D1="",'数据-汇总表'!E3,SUMIF('数据-汇总表'!$C19:$C33,D1,'数据-汇总表'!$E19:$E33))</f>
        <v>133.12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5"/>
      <c r="M4" s="2716"/>
      <c r="N4" s="2716"/>
      <c r="O4" s="2716"/>
      <c r="P4" s="3771" t="s">
        <v>1775</v>
      </c>
      <c r="Q4" s="3772"/>
      <c r="R4" s="3775" t="s">
        <v>1771</v>
      </c>
      <c r="S4" s="3776"/>
      <c r="T4" s="3775" t="s">
        <v>1772</v>
      </c>
      <c r="U4" s="3776"/>
      <c r="V4" s="3777" t="s">
        <v>1773</v>
      </c>
      <c r="W4" s="3777"/>
      <c r="X4" s="1958"/>
      <c r="Y4" s="3775" t="s">
        <v>1775</v>
      </c>
      <c r="Z4" s="3776"/>
      <c r="AA4" s="3780" t="s">
        <v>1771</v>
      </c>
      <c r="AB4" s="3780" t="s">
        <v>1772</v>
      </c>
      <c r="AC4" s="3768" t="s">
        <v>1773</v>
      </c>
    </row>
    <row r="5" spans="1:29" ht="15">
      <c r="A5" s="358"/>
      <c r="B5" s="359"/>
      <c r="C5" s="3778" t="s">
        <v>3426</v>
      </c>
      <c r="D5" s="3718"/>
      <c r="E5" s="3778" t="s">
        <v>3426</v>
      </c>
      <c r="F5" s="3718"/>
      <c r="G5" s="3778" t="s">
        <v>3426</v>
      </c>
      <c r="H5" s="3718"/>
      <c r="I5" s="3778" t="s">
        <v>3426</v>
      </c>
      <c r="J5" s="3718"/>
      <c r="K5" s="559"/>
      <c r="L5" s="2715"/>
      <c r="M5" s="2716"/>
      <c r="N5" s="2716"/>
      <c r="O5" s="2716"/>
      <c r="P5" s="3773"/>
      <c r="Q5" s="3698"/>
      <c r="R5" s="3703"/>
      <c r="S5" s="3704"/>
      <c r="T5" s="3703"/>
      <c r="U5" s="3704"/>
      <c r="V5" s="3707"/>
      <c r="W5" s="3707"/>
      <c r="X5" s="1355"/>
      <c r="Y5" s="3703"/>
      <c r="Z5" s="3704"/>
      <c r="AA5" s="3689"/>
      <c r="AB5" s="3689"/>
      <c r="AC5" s="3769"/>
    </row>
    <row r="6" spans="1:29" ht="15.75" thickBot="1">
      <c r="A6" s="360"/>
      <c r="B6" s="361"/>
      <c r="C6" s="3708" t="s">
        <v>1677</v>
      </c>
      <c r="D6" s="3709"/>
      <c r="E6" s="3715" t="s">
        <v>1677</v>
      </c>
      <c r="F6" s="3716"/>
      <c r="G6" s="3708" t="s">
        <v>1677</v>
      </c>
      <c r="H6" s="3709"/>
      <c r="I6" s="3708" t="s">
        <v>1677</v>
      </c>
      <c r="J6" s="3709"/>
      <c r="K6" s="559" t="s">
        <v>1678</v>
      </c>
      <c r="L6" s="2715"/>
      <c r="M6" s="2716"/>
      <c r="N6" s="2716"/>
      <c r="O6" s="2716"/>
      <c r="P6" s="3774"/>
      <c r="Q6" s="3700"/>
      <c r="R6" s="3703"/>
      <c r="S6" s="3704"/>
      <c r="T6" s="3705"/>
      <c r="U6" s="3706"/>
      <c r="V6" s="3707"/>
      <c r="W6" s="3707"/>
      <c r="X6" s="1355"/>
      <c r="Y6" s="3705"/>
      <c r="Z6" s="3706"/>
      <c r="AA6" s="3690"/>
      <c r="AB6" s="3690"/>
      <c r="AC6" s="3770"/>
    </row>
    <row r="7" spans="1:29" s="108" customFormat="1" ht="15.75" thickBot="1">
      <c r="A7" s="362" t="s">
        <v>1679</v>
      </c>
      <c r="B7" s="363"/>
      <c r="C7" s="364">
        <f>'数据-取费表'!B2</f>
        <v>45141</v>
      </c>
      <c r="D7" s="365">
        <v>100</v>
      </c>
      <c r="E7" s="366">
        <f>Sheet1!R53</f>
        <v>44980</v>
      </c>
      <c r="F7" s="367">
        <f>SUMIF(59:59,YEAR(E7)&amp;"-"&amp;MONTH(E7),60:60)</f>
        <v>100</v>
      </c>
      <c r="G7" s="366">
        <f>Sheet1!R54</f>
        <v>44623</v>
      </c>
      <c r="H7" s="365">
        <f>SUMIF(59:59,YEAR(G7)&amp;"-"&amp;MONTH(G7),60:60)</f>
        <v>99</v>
      </c>
      <c r="I7" s="366">
        <f>Sheet1!R55</f>
        <v>45055</v>
      </c>
      <c r="J7" s="365">
        <f>SUMIF(59:59,YEAR(I7)&amp;"-"&amp;MONTH(I7),60:60)</f>
        <v>100</v>
      </c>
      <c r="K7" s="560"/>
      <c r="L7" s="2717"/>
      <c r="M7" s="2718"/>
      <c r="N7" s="2718"/>
      <c r="O7" s="2718"/>
      <c r="P7" s="3779" t="s">
        <v>1680</v>
      </c>
      <c r="Q7" s="3714"/>
      <c r="R7" s="701" t="s">
        <v>14</v>
      </c>
      <c r="S7" s="702">
        <f t="shared" ref="S7:S15" si="0">F7</f>
        <v>100</v>
      </c>
      <c r="T7" s="701" t="s">
        <v>14</v>
      </c>
      <c r="U7" s="702">
        <f t="shared" ref="U7:U15" si="1">H7</f>
        <v>99</v>
      </c>
      <c r="V7" s="701" t="s">
        <v>14</v>
      </c>
      <c r="W7" s="702">
        <f t="shared" ref="W7:W15" si="2">J7</f>
        <v>100</v>
      </c>
      <c r="X7" s="703"/>
      <c r="Y7" s="3712" t="s">
        <v>1680</v>
      </c>
      <c r="Z7" s="3713"/>
      <c r="AA7" s="704">
        <f>D7/F7</f>
        <v>1</v>
      </c>
      <c r="AB7" s="704">
        <f>D7/H7</f>
        <v>1.0101010101010102</v>
      </c>
      <c r="AC7" s="1959">
        <f>D7/J7</f>
        <v>1</v>
      </c>
    </row>
    <row r="8" spans="1:29" s="108" customFormat="1" ht="15.75" thickBot="1">
      <c r="A8" s="362" t="s">
        <v>1681</v>
      </c>
      <c r="B8" s="363"/>
      <c r="C8" s="368" t="s">
        <v>3427</v>
      </c>
      <c r="D8" s="365">
        <v>100</v>
      </c>
      <c r="E8" s="368" t="s">
        <v>3427</v>
      </c>
      <c r="F8" s="367">
        <f>SUMIF(62:62,E8,63:63)-SUMIF(62:62,C8,63:63)+100</f>
        <v>100</v>
      </c>
      <c r="G8" s="368" t="s">
        <v>3427</v>
      </c>
      <c r="H8" s="365">
        <f>SUMIF(62:62,G8,63:63)-SUMIF(62:62,C8,63:63)+100</f>
        <v>100</v>
      </c>
      <c r="I8" s="368" t="s">
        <v>3427</v>
      </c>
      <c r="J8" s="365">
        <f>SUMIF(62:62,I8,63:63)-SUMIF(62:62,C8,63:63)+100</f>
        <v>100</v>
      </c>
      <c r="K8" s="560"/>
      <c r="L8" s="2717"/>
      <c r="M8" s="2718"/>
      <c r="N8" s="2718"/>
      <c r="O8" s="2718"/>
      <c r="P8" s="3779" t="s">
        <v>1683</v>
      </c>
      <c r="Q8" s="3713"/>
      <c r="R8" s="701" t="s">
        <v>14</v>
      </c>
      <c r="S8" s="702">
        <f t="shared" si="0"/>
        <v>100</v>
      </c>
      <c r="T8" s="701" t="s">
        <v>14</v>
      </c>
      <c r="U8" s="702">
        <f t="shared" si="1"/>
        <v>100</v>
      </c>
      <c r="V8" s="701" t="s">
        <v>14</v>
      </c>
      <c r="W8" s="702">
        <f t="shared" si="2"/>
        <v>100</v>
      </c>
      <c r="X8" s="703"/>
      <c r="Y8" s="3712" t="s">
        <v>1683</v>
      </c>
      <c r="Z8" s="3713"/>
      <c r="AA8" s="704">
        <f t="shared" ref="AA8:AA47" si="3">D8/F8</f>
        <v>1</v>
      </c>
      <c r="AB8" s="704">
        <f t="shared" ref="AB8:AB47" si="4">D8/H8</f>
        <v>1</v>
      </c>
      <c r="AC8" s="1959">
        <f t="shared" ref="AC8:AC47" si="5">D8/J8</f>
        <v>1</v>
      </c>
    </row>
    <row r="9" spans="1:29" s="108" customFormat="1">
      <c r="A9" s="369" t="s">
        <v>1684</v>
      </c>
      <c r="B9" s="63" t="s">
        <v>1685</v>
      </c>
      <c r="C9" s="3452" t="s">
        <v>3428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7"/>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5" t="s">
        <v>1691</v>
      </c>
      <c r="Q15" s="1352" t="str">
        <f t="shared" si="6"/>
        <v>办公集聚程度</v>
      </c>
      <c r="R15" s="705" t="s">
        <v>14</v>
      </c>
      <c r="S15" s="706">
        <f t="shared" si="0"/>
        <v>100</v>
      </c>
      <c r="T15" s="705" t="s">
        <v>14</v>
      </c>
      <c r="U15" s="706">
        <f t="shared" si="1"/>
        <v>100</v>
      </c>
      <c r="V15" s="705" t="s">
        <v>14</v>
      </c>
      <c r="W15" s="706">
        <f t="shared" si="2"/>
        <v>100</v>
      </c>
      <c r="X15" s="1355"/>
      <c r="Y15" s="3678" t="s">
        <v>1691</v>
      </c>
      <c r="Z15" s="1356" t="str">
        <f t="shared" si="7"/>
        <v>办公集聚程度</v>
      </c>
      <c r="AA15" s="1353">
        <f t="shared" si="3"/>
        <v>1</v>
      </c>
      <c r="AB15" s="1353">
        <f t="shared" si="4"/>
        <v>1</v>
      </c>
      <c r="AC15" s="1962">
        <f t="shared" si="5"/>
        <v>1</v>
      </c>
    </row>
    <row r="16" spans="1:29" ht="15">
      <c r="A16" s="379"/>
      <c r="B16" s="578"/>
      <c r="C16" s="1904" t="s">
        <v>3451</v>
      </c>
      <c r="D16" s="399"/>
      <c r="E16" s="1904" t="s">
        <v>3451</v>
      </c>
      <c r="F16" s="399"/>
      <c r="G16" s="1904" t="s">
        <v>3451</v>
      </c>
      <c r="H16" s="401"/>
      <c r="I16" s="1904" t="s">
        <v>3451</v>
      </c>
      <c r="J16" s="399"/>
      <c r="K16" s="564"/>
      <c r="L16" s="2722"/>
      <c r="M16" s="2716"/>
      <c r="N16" s="2716"/>
      <c r="O16" s="2716"/>
      <c r="P16" s="3686"/>
      <c r="Q16" s="1352"/>
      <c r="R16" s="705"/>
      <c r="S16" s="706"/>
      <c r="T16" s="705"/>
      <c r="U16" s="706"/>
      <c r="V16" s="705"/>
      <c r="W16" s="706"/>
      <c r="X16" s="1355"/>
      <c r="Y16" s="367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962">
        <f t="shared" si="5"/>
        <v>1</v>
      </c>
    </row>
    <row r="18" spans="1:29" ht="15">
      <c r="A18" s="379"/>
      <c r="B18" s="580"/>
      <c r="C18" s="1964" t="s">
        <v>3389</v>
      </c>
      <c r="D18" s="401"/>
      <c r="E18" s="1964" t="s">
        <v>3389</v>
      </c>
      <c r="F18" s="401"/>
      <c r="G18" s="1964" t="s">
        <v>3389</v>
      </c>
      <c r="H18" s="399"/>
      <c r="I18" s="1964" t="s">
        <v>3389</v>
      </c>
      <c r="J18" s="399"/>
      <c r="K18" s="564"/>
      <c r="L18" s="2722"/>
      <c r="M18" s="2716"/>
      <c r="N18" s="2716"/>
      <c r="O18" s="2716"/>
      <c r="P18" s="3686"/>
      <c r="Q18" s="1352"/>
      <c r="R18" s="705"/>
      <c r="S18" s="706"/>
      <c r="T18" s="705"/>
      <c r="U18" s="706"/>
      <c r="V18" s="705"/>
      <c r="W18" s="706"/>
      <c r="X18" s="1355"/>
      <c r="Y18" s="367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962">
        <f t="shared" si="5"/>
        <v>1</v>
      </c>
    </row>
    <row r="20" spans="1:29" ht="15">
      <c r="A20" s="379"/>
      <c r="B20" s="580"/>
      <c r="C20" s="1904" t="s">
        <v>3389</v>
      </c>
      <c r="D20" s="399"/>
      <c r="E20" s="1964" t="s">
        <v>3389</v>
      </c>
      <c r="F20" s="399"/>
      <c r="G20" s="1964" t="s">
        <v>3389</v>
      </c>
      <c r="H20" s="399"/>
      <c r="I20" s="1964" t="s">
        <v>3389</v>
      </c>
      <c r="J20" s="399"/>
      <c r="K20" s="564"/>
      <c r="L20" s="2722"/>
      <c r="M20" s="2716"/>
      <c r="N20" s="2716"/>
      <c r="O20" s="2716"/>
      <c r="P20" s="3686"/>
      <c r="Q20" s="1352"/>
      <c r="R20" s="705"/>
      <c r="S20" s="706"/>
      <c r="T20" s="705"/>
      <c r="U20" s="706"/>
      <c r="V20" s="705"/>
      <c r="W20" s="706"/>
      <c r="X20" s="1355"/>
      <c r="Y20" s="367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962">
        <f t="shared" ref="AC21" si="10">D21/J21</f>
        <v>1</v>
      </c>
    </row>
    <row r="22" spans="1:29" ht="15">
      <c r="A22" s="379"/>
      <c r="B22" s="581"/>
      <c r="C22" s="1964" t="s">
        <v>3452</v>
      </c>
      <c r="D22" s="399"/>
      <c r="E22" s="1964" t="s">
        <v>3452</v>
      </c>
      <c r="F22" s="399"/>
      <c r="G22" s="1964" t="s">
        <v>3452</v>
      </c>
      <c r="H22" s="399"/>
      <c r="I22" s="1964" t="s">
        <v>3452</v>
      </c>
      <c r="J22" s="399"/>
      <c r="K22" s="1130"/>
      <c r="L22" s="2722"/>
      <c r="M22" s="2716"/>
      <c r="N22" s="2716"/>
      <c r="O22" s="2716"/>
      <c r="P22" s="3686"/>
      <c r="Q22" s="1352"/>
      <c r="R22" s="705"/>
      <c r="S22" s="706"/>
      <c r="T22" s="705"/>
      <c r="U22" s="706"/>
      <c r="V22" s="705"/>
      <c r="W22" s="706"/>
      <c r="X22" s="1355"/>
      <c r="Y22" s="367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6"/>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962">
        <f t="shared" si="5"/>
        <v>1</v>
      </c>
    </row>
    <row r="24" spans="1:29" ht="15">
      <c r="A24" s="379"/>
      <c r="B24" s="581"/>
      <c r="C24" s="1904" t="s">
        <v>3389</v>
      </c>
      <c r="D24" s="399"/>
      <c r="E24" s="1964" t="s">
        <v>3389</v>
      </c>
      <c r="F24" s="399"/>
      <c r="G24" s="1964" t="s">
        <v>3389</v>
      </c>
      <c r="H24" s="399"/>
      <c r="I24" s="1964" t="s">
        <v>3389</v>
      </c>
      <c r="J24" s="399"/>
      <c r="K24" s="564"/>
      <c r="L24" s="2722"/>
      <c r="M24" s="2716"/>
      <c r="N24" s="2716"/>
      <c r="O24" s="2716"/>
      <c r="P24" s="3686"/>
      <c r="Q24" s="1352"/>
      <c r="R24" s="705"/>
      <c r="S24" s="706"/>
      <c r="T24" s="705"/>
      <c r="U24" s="706"/>
      <c r="V24" s="705"/>
      <c r="W24" s="706"/>
      <c r="X24" s="1355"/>
      <c r="Y24" s="367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6"/>
      <c r="Q25" s="1352" t="str">
        <f>B25</f>
        <v>毗邻道路的类型与等级</v>
      </c>
      <c r="R25" s="705" t="s">
        <v>14</v>
      </c>
      <c r="S25" s="706">
        <f>F25</f>
        <v>100</v>
      </c>
      <c r="T25" s="705" t="s">
        <v>14</v>
      </c>
      <c r="U25" s="706">
        <f>H25</f>
        <v>100</v>
      </c>
      <c r="V25" s="705" t="s">
        <v>14</v>
      </c>
      <c r="W25" s="706">
        <f>J25</f>
        <v>100</v>
      </c>
      <c r="X25" s="1355"/>
      <c r="Y25" s="367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6"/>
      <c r="Q26" s="1352"/>
      <c r="R26" s="705"/>
      <c r="S26" s="706"/>
      <c r="T26" s="705"/>
      <c r="U26" s="706"/>
      <c r="V26" s="705"/>
      <c r="W26" s="706"/>
      <c r="X26" s="1355"/>
      <c r="Y26" s="3679"/>
      <c r="Z26" s="1356"/>
      <c r="AA26" s="1353">
        <v>1</v>
      </c>
      <c r="AB26" s="1353">
        <v>1</v>
      </c>
      <c r="AC26" s="1962">
        <v>1</v>
      </c>
    </row>
    <row r="27" spans="1:29" ht="15">
      <c r="A27" s="379"/>
      <c r="B27" s="580" t="s">
        <v>1783</v>
      </c>
      <c r="C27" s="582" t="s">
        <v>3431</v>
      </c>
      <c r="D27" s="386">
        <v>100</v>
      </c>
      <c r="E27" s="565" t="s">
        <v>3433</v>
      </c>
      <c r="F27" s="386">
        <f>SUMIF(89:89,E27,90:90)-SUMIF(89:89,C27,90:90)+100</f>
        <v>98</v>
      </c>
      <c r="G27" s="582" t="s">
        <v>3431</v>
      </c>
      <c r="H27" s="386">
        <f>SUMIF(89:89,G27,90:90)-SUMIF(89:89,C27,90:90)+100</f>
        <v>100</v>
      </c>
      <c r="I27" s="565" t="s">
        <v>3429</v>
      </c>
      <c r="J27" s="386">
        <f>SUMIF(89:89,I27,90:90)-SUMIF(89:89,C27,90:90)+100</f>
        <v>102</v>
      </c>
      <c r="K27" s="561">
        <v>2</v>
      </c>
      <c r="L27" s="2722"/>
      <c r="M27" s="2716"/>
      <c r="N27" s="2716"/>
      <c r="O27" s="2716"/>
      <c r="P27" s="3686"/>
      <c r="Q27" s="1352" t="str">
        <f t="shared" ref="Q27:Q47" si="11">B27</f>
        <v>楼层</v>
      </c>
      <c r="R27" s="705" t="s">
        <v>14</v>
      </c>
      <c r="S27" s="706">
        <f>F27</f>
        <v>98</v>
      </c>
      <c r="T27" s="705" t="s">
        <v>14</v>
      </c>
      <c r="U27" s="706">
        <f>H27</f>
        <v>100</v>
      </c>
      <c r="V27" s="705" t="s">
        <v>14</v>
      </c>
      <c r="W27" s="706">
        <f>J27</f>
        <v>102</v>
      </c>
      <c r="X27" s="1355"/>
      <c r="Y27" s="3679"/>
      <c r="Z27" s="1356" t="str">
        <f>Q27</f>
        <v>楼层</v>
      </c>
      <c r="AA27" s="1353">
        <f t="shared" si="3"/>
        <v>1.0204081632653061</v>
      </c>
      <c r="AB27" s="1353">
        <f t="shared" si="4"/>
        <v>1</v>
      </c>
      <c r="AC27" s="1962">
        <f t="shared" si="5"/>
        <v>0.98039215686274506</v>
      </c>
    </row>
    <row r="28" spans="1:29" s="108" customFormat="1" ht="15">
      <c r="A28" s="382"/>
      <c r="B28" s="579" t="s">
        <v>1816</v>
      </c>
      <c r="C28" s="1965" t="s">
        <v>3424</v>
      </c>
      <c r="D28" s="413">
        <v>100</v>
      </c>
      <c r="E28" s="1956" t="s">
        <v>3416</v>
      </c>
      <c r="F28" s="413">
        <f>SUMIF(91:91,E28,92:92)-SUMIF(91:91,C28,92:92)+100</f>
        <v>98</v>
      </c>
      <c r="G28" s="1956" t="s">
        <v>3416</v>
      </c>
      <c r="H28" s="413">
        <f>SUMIF(91:91,G28,92:92)-SUMIF(91:91,C28,92:92)+100</f>
        <v>98</v>
      </c>
      <c r="I28" s="1956" t="s">
        <v>3416</v>
      </c>
      <c r="J28" s="413">
        <f>SUMIF(91:91,I28,92:92)-SUMIF(91:91,C28,92:92)+100</f>
        <v>98</v>
      </c>
      <c r="K28" s="561">
        <v>2</v>
      </c>
      <c r="L28" s="2717"/>
      <c r="M28" s="2718"/>
      <c r="N28" s="2718"/>
      <c r="O28" s="2718"/>
      <c r="P28" s="3686"/>
      <c r="Q28" s="1343" t="str">
        <f t="shared" si="11"/>
        <v>朝向</v>
      </c>
      <c r="R28" s="701" t="s">
        <v>14</v>
      </c>
      <c r="S28" s="702">
        <f>F28</f>
        <v>98</v>
      </c>
      <c r="T28" s="701" t="s">
        <v>14</v>
      </c>
      <c r="U28" s="702">
        <f>H28</f>
        <v>98</v>
      </c>
      <c r="V28" s="701" t="s">
        <v>14</v>
      </c>
      <c r="W28" s="702">
        <f>J28</f>
        <v>98</v>
      </c>
      <c r="X28" s="703"/>
      <c r="Y28" s="3679"/>
      <c r="Z28" s="52" t="str">
        <f>Q28</f>
        <v>朝向</v>
      </c>
      <c r="AA28" s="1353">
        <f>D28/F28</f>
        <v>1.0204081632653061</v>
      </c>
      <c r="AB28" s="1353">
        <f>D28/H28</f>
        <v>1.0204081632653061</v>
      </c>
      <c r="AC28" s="1962">
        <f>D28/J28</f>
        <v>1.0204081632653061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6"/>
      <c r="Q29" s="1352">
        <f t="shared" si="11"/>
        <v>111</v>
      </c>
      <c r="R29" s="705" t="s">
        <v>14</v>
      </c>
      <c r="S29" s="706">
        <f t="shared" ref="S29:S47" si="12">F29</f>
        <v>100</v>
      </c>
      <c r="T29" s="705" t="s">
        <v>14</v>
      </c>
      <c r="U29" s="706">
        <f t="shared" ref="U29:U47" si="13">H29</f>
        <v>100</v>
      </c>
      <c r="V29" s="705" t="s">
        <v>14</v>
      </c>
      <c r="W29" s="706">
        <f t="shared" ref="W29:W47" si="14">J29</f>
        <v>100</v>
      </c>
      <c r="X29" s="1355"/>
      <c r="Y29" s="367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6"/>
      <c r="Q32" s="1352">
        <f t="shared" si="11"/>
        <v>111</v>
      </c>
      <c r="R32" s="705" t="s">
        <v>14</v>
      </c>
      <c r="S32" s="706">
        <f t="shared" si="12"/>
        <v>100</v>
      </c>
      <c r="T32" s="705" t="s">
        <v>14</v>
      </c>
      <c r="U32" s="706">
        <f t="shared" si="13"/>
        <v>100</v>
      </c>
      <c r="V32" s="705" t="s">
        <v>14</v>
      </c>
      <c r="W32" s="706">
        <f t="shared" si="14"/>
        <v>100</v>
      </c>
      <c r="X32" s="1355"/>
      <c r="Y32" s="3679"/>
      <c r="Z32" s="1356">
        <f t="shared" si="15"/>
        <v>111</v>
      </c>
      <c r="AA32" s="1353">
        <f t="shared" si="3"/>
        <v>1</v>
      </c>
      <c r="AB32" s="1353">
        <f t="shared" si="4"/>
        <v>1</v>
      </c>
      <c r="AC32" s="1962">
        <f t="shared" si="5"/>
        <v>1</v>
      </c>
    </row>
    <row r="33" spans="1:29" ht="15">
      <c r="A33" s="391" t="s">
        <v>1694</v>
      </c>
      <c r="B33" s="63" t="s">
        <v>1817</v>
      </c>
      <c r="C33" s="1967" t="s">
        <v>3440</v>
      </c>
      <c r="D33" s="418">
        <v>100</v>
      </c>
      <c r="E33" s="1967" t="s">
        <v>3440</v>
      </c>
      <c r="F33" s="412">
        <f>SUMIF(101:101,E33,102:102)-SUMIF(101:101,C33,102:102)+100</f>
        <v>100</v>
      </c>
      <c r="G33" s="1967" t="s">
        <v>3440</v>
      </c>
      <c r="H33" s="386">
        <f>SUMIF(101:101,G33,102:102)-SUMIF(101:101,C33,102:102)+100</f>
        <v>100</v>
      </c>
      <c r="I33" s="1967" t="s">
        <v>3440</v>
      </c>
      <c r="J33" s="418">
        <f>SUMIF(101:101,I33,102:102)-SUMIF(101:101,C33,102:102)+100</f>
        <v>100</v>
      </c>
      <c r="K33" s="561"/>
      <c r="L33" s="2722"/>
      <c r="M33" s="2716"/>
      <c r="N33" s="2716"/>
      <c r="O33" s="2716"/>
      <c r="P33" s="3680" t="s">
        <v>1696</v>
      </c>
      <c r="Q33" s="1352" t="str">
        <f t="shared" si="11"/>
        <v>建筑类型</v>
      </c>
      <c r="R33" s="705" t="s">
        <v>14</v>
      </c>
      <c r="S33" s="706">
        <f t="shared" si="12"/>
        <v>100</v>
      </c>
      <c r="T33" s="705" t="s">
        <v>14</v>
      </c>
      <c r="U33" s="706">
        <f t="shared" si="13"/>
        <v>100</v>
      </c>
      <c r="V33" s="705" t="s">
        <v>14</v>
      </c>
      <c r="W33" s="706">
        <f t="shared" si="14"/>
        <v>100</v>
      </c>
      <c r="X33" s="1355"/>
      <c r="Y33" s="3683"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133.12</v>
      </c>
      <c r="D34" s="127">
        <v>100</v>
      </c>
      <c r="E34" s="381">
        <f>Sheet1!N53</f>
        <v>110.36</v>
      </c>
      <c r="F34" s="376">
        <f>LOOKUP(E34,104:104,105:105)-LOOKUP(C34,104:104,105:105)+100</f>
        <v>100</v>
      </c>
      <c r="G34" s="380">
        <f>Sheet1!N54</f>
        <v>110.36</v>
      </c>
      <c r="H34" s="127">
        <f>LOOKUP(G34,104:104,105:105)-LOOKUP(C34,104:104,105:105)+100</f>
        <v>100</v>
      </c>
      <c r="I34" s="380">
        <f>Sheet1!N55</f>
        <v>110.36</v>
      </c>
      <c r="J34" s="127">
        <f>LOOKUP(I34,104:104,105:105)-LOOKUP(C34,104:104,105:105)+100</f>
        <v>100</v>
      </c>
      <c r="K34" s="562"/>
      <c r="L34" s="2721"/>
      <c r="M34" s="2723"/>
      <c r="N34" s="2723"/>
      <c r="O34" s="2723"/>
      <c r="P34" s="3681"/>
      <c r="Q34" s="707" t="str">
        <f t="shared" si="11"/>
        <v>项目建筑规模</v>
      </c>
      <c r="R34" s="708" t="s">
        <v>14</v>
      </c>
      <c r="S34" s="709">
        <f t="shared" si="12"/>
        <v>100</v>
      </c>
      <c r="T34" s="708" t="s">
        <v>14</v>
      </c>
      <c r="U34" s="709">
        <f t="shared" si="13"/>
        <v>100</v>
      </c>
      <c r="V34" s="708" t="s">
        <v>14</v>
      </c>
      <c r="W34" s="709">
        <f t="shared" si="14"/>
        <v>100</v>
      </c>
      <c r="X34" s="710"/>
      <c r="Y34" s="3683"/>
      <c r="Z34" s="711" t="str">
        <f t="shared" si="15"/>
        <v>项目建筑规模</v>
      </c>
      <c r="AA34" s="1353">
        <f t="shared" si="3"/>
        <v>1</v>
      </c>
      <c r="AB34" s="1353">
        <f t="shared" si="4"/>
        <v>1</v>
      </c>
      <c r="AC34" s="1962">
        <f t="shared" si="5"/>
        <v>1</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c r="L35" s="2722"/>
      <c r="M35" s="2716"/>
      <c r="N35" s="2716"/>
      <c r="O35" s="2716"/>
      <c r="P35" s="3681"/>
      <c r="Q35" s="1352" t="str">
        <f t="shared" si="11"/>
        <v>建筑结构</v>
      </c>
      <c r="R35" s="705" t="s">
        <v>14</v>
      </c>
      <c r="S35" s="706">
        <f t="shared" si="12"/>
        <v>100</v>
      </c>
      <c r="T35" s="705" t="s">
        <v>14</v>
      </c>
      <c r="U35" s="706">
        <f t="shared" si="13"/>
        <v>100</v>
      </c>
      <c r="V35" s="705" t="s">
        <v>14</v>
      </c>
      <c r="W35" s="706">
        <f t="shared" si="14"/>
        <v>100</v>
      </c>
      <c r="X35" s="1355"/>
      <c r="Y35" s="3683"/>
      <c r="Z35" s="1356" t="str">
        <f t="shared" si="15"/>
        <v>建筑结构</v>
      </c>
      <c r="AA35" s="1353">
        <f t="shared" si="3"/>
        <v>1</v>
      </c>
      <c r="AB35" s="1353">
        <f t="shared" si="4"/>
        <v>1</v>
      </c>
      <c r="AC35" s="1962">
        <f t="shared" si="5"/>
        <v>1</v>
      </c>
    </row>
    <row r="36" spans="1:29" ht="15">
      <c r="A36" s="423"/>
      <c r="B36" s="375" t="s">
        <v>1785</v>
      </c>
      <c r="C36" s="411" t="s">
        <v>3443</v>
      </c>
      <c r="D36" s="386">
        <v>100</v>
      </c>
      <c r="E36" s="411" t="s">
        <v>3443</v>
      </c>
      <c r="F36" s="412">
        <f>SUMIF(108:108,E36,109:109)-SUMIF(108:108,C36,109:109)+100</f>
        <v>100</v>
      </c>
      <c r="G36" s="411" t="s">
        <v>3443</v>
      </c>
      <c r="H36" s="386">
        <f>SUMIF(108:108,G36,109:109)-SUMIF(108:108,C36,109:109)+100</f>
        <v>100</v>
      </c>
      <c r="I36" s="411" t="s">
        <v>3443</v>
      </c>
      <c r="J36" s="386">
        <f>SUMIF(108:108,I36,109:109)-SUMIF(108:108,C36,109:109)+100</f>
        <v>100</v>
      </c>
      <c r="K36" s="561"/>
      <c r="L36" s="2722"/>
      <c r="M36" s="2716"/>
      <c r="N36" s="2716"/>
      <c r="O36" s="2716"/>
      <c r="P36" s="3681"/>
      <c r="Q36" s="1352" t="str">
        <f t="shared" si="11"/>
        <v>公共部分装修</v>
      </c>
      <c r="R36" s="705" t="s">
        <v>14</v>
      </c>
      <c r="S36" s="706">
        <f t="shared" si="12"/>
        <v>100</v>
      </c>
      <c r="T36" s="705" t="s">
        <v>14</v>
      </c>
      <c r="U36" s="706">
        <f t="shared" si="13"/>
        <v>100</v>
      </c>
      <c r="V36" s="705" t="s">
        <v>14</v>
      </c>
      <c r="W36" s="706">
        <f t="shared" si="14"/>
        <v>100</v>
      </c>
      <c r="X36" s="1355"/>
      <c r="Y36" s="3683"/>
      <c r="Z36" s="1356" t="str">
        <f t="shared" si="15"/>
        <v>公共部分装修</v>
      </c>
      <c r="AA36" s="1353">
        <f t="shared" si="3"/>
        <v>1</v>
      </c>
      <c r="AB36" s="1353">
        <f t="shared" si="4"/>
        <v>1</v>
      </c>
      <c r="AC36" s="1962">
        <f t="shared" si="5"/>
        <v>1</v>
      </c>
    </row>
    <row r="37" spans="1:29" ht="15">
      <c r="A37" s="423"/>
      <c r="B37" s="375" t="s">
        <v>1786</v>
      </c>
      <c r="C37" s="425">
        <f>'数据-取费表'!N6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c r="L37" s="2722"/>
      <c r="M37" s="2716"/>
      <c r="N37" s="2716"/>
      <c r="O37" s="2716"/>
      <c r="P37" s="3681"/>
      <c r="Q37" s="1352" t="str">
        <f t="shared" si="11"/>
        <v>成新度</v>
      </c>
      <c r="R37" s="705" t="s">
        <v>14</v>
      </c>
      <c r="S37" s="706">
        <f t="shared" si="12"/>
        <v>100</v>
      </c>
      <c r="T37" s="705" t="s">
        <v>14</v>
      </c>
      <c r="U37" s="706">
        <f t="shared" si="13"/>
        <v>100</v>
      </c>
      <c r="V37" s="705" t="s">
        <v>14</v>
      </c>
      <c r="W37" s="706">
        <f t="shared" si="14"/>
        <v>100</v>
      </c>
      <c r="X37" s="1355"/>
      <c r="Y37" s="368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1"/>
      <c r="Q38" s="1343"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9">
        <f t="shared" si="5"/>
        <v>1</v>
      </c>
    </row>
    <row r="39" spans="1:29" ht="15">
      <c r="A39" s="423"/>
      <c r="B39" s="375" t="s">
        <v>1819</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c r="L39" s="2722"/>
      <c r="M39" s="2716"/>
      <c r="N39" s="2716"/>
      <c r="O39" s="2716"/>
      <c r="P39" s="3681" t="s">
        <v>1696</v>
      </c>
      <c r="Q39" s="1352" t="str">
        <f t="shared" si="11"/>
        <v>物业管理</v>
      </c>
      <c r="R39" s="705" t="s">
        <v>14</v>
      </c>
      <c r="S39" s="706">
        <f t="shared" si="12"/>
        <v>100</v>
      </c>
      <c r="T39" s="705" t="s">
        <v>14</v>
      </c>
      <c r="U39" s="706">
        <f t="shared" si="13"/>
        <v>100</v>
      </c>
      <c r="V39" s="705" t="s">
        <v>14</v>
      </c>
      <c r="W39" s="706">
        <f t="shared" si="14"/>
        <v>100</v>
      </c>
      <c r="X39" s="1355"/>
      <c r="Y39" s="3683" t="s">
        <v>1696</v>
      </c>
      <c r="Z39" s="1356" t="str">
        <f t="shared" si="15"/>
        <v>物业管理</v>
      </c>
      <c r="AA39" s="1353">
        <f t="shared" si="3"/>
        <v>1</v>
      </c>
      <c r="AB39" s="1353">
        <f t="shared" si="4"/>
        <v>1</v>
      </c>
      <c r="AC39" s="1962">
        <f t="shared" si="5"/>
        <v>1</v>
      </c>
    </row>
    <row r="40" spans="1:29" ht="15">
      <c r="A40" s="423"/>
      <c r="B40" s="375" t="s">
        <v>1787</v>
      </c>
      <c r="C40" s="411" t="s">
        <v>3449</v>
      </c>
      <c r="D40" s="386">
        <v>100</v>
      </c>
      <c r="E40" s="411" t="s">
        <v>3449</v>
      </c>
      <c r="F40" s="412">
        <f>SUMIF(117:117,E40,118:118)-SUMIF(117:117,C40,118:118)+100</f>
        <v>100</v>
      </c>
      <c r="G40" s="411" t="s">
        <v>3449</v>
      </c>
      <c r="H40" s="386">
        <f>SUMIF(117:117,G40,118:118)-SUMIF(117:117,C40,118:118)+100</f>
        <v>100</v>
      </c>
      <c r="I40" s="411" t="s">
        <v>3449</v>
      </c>
      <c r="J40" s="386">
        <f>SUMIF(117:117,I40,118:118)-SUMIF(117:117,C40,118:118)+100</f>
        <v>100</v>
      </c>
      <c r="K40" s="561"/>
      <c r="L40" s="2722"/>
      <c r="M40" s="2716"/>
      <c r="N40" s="2716"/>
      <c r="O40" s="2716"/>
      <c r="P40" s="3681"/>
      <c r="Q40" s="1352" t="str">
        <f t="shared" si="11"/>
        <v>市政基础设施</v>
      </c>
      <c r="R40" s="705" t="s">
        <v>14</v>
      </c>
      <c r="S40" s="706">
        <f t="shared" si="12"/>
        <v>100</v>
      </c>
      <c r="T40" s="705" t="s">
        <v>14</v>
      </c>
      <c r="U40" s="706">
        <f t="shared" si="13"/>
        <v>100</v>
      </c>
      <c r="V40" s="705" t="s">
        <v>14</v>
      </c>
      <c r="W40" s="706">
        <f t="shared" si="14"/>
        <v>100</v>
      </c>
      <c r="X40" s="1355"/>
      <c r="Y40" s="368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1"/>
      <c r="Q41" s="1352" t="str">
        <f t="shared" si="11"/>
        <v>层高</v>
      </c>
      <c r="R41" s="705" t="s">
        <v>14</v>
      </c>
      <c r="S41" s="706">
        <f t="shared" si="12"/>
        <v>100</v>
      </c>
      <c r="T41" s="705" t="s">
        <v>14</v>
      </c>
      <c r="U41" s="706">
        <f t="shared" si="13"/>
        <v>100</v>
      </c>
      <c r="V41" s="705" t="s">
        <v>14</v>
      </c>
      <c r="W41" s="706">
        <f t="shared" si="14"/>
        <v>100</v>
      </c>
      <c r="X41" s="1355"/>
      <c r="Y41" s="368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1"/>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3">
        <f t="shared" si="3"/>
        <v>1</v>
      </c>
      <c r="AB42" s="1353">
        <f t="shared" si="4"/>
        <v>1</v>
      </c>
      <c r="AC42" s="1962">
        <f t="shared" si="5"/>
        <v>1</v>
      </c>
    </row>
    <row r="43" spans="1:29" ht="15">
      <c r="A43" s="423"/>
      <c r="B43" s="375" t="s">
        <v>1792</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c r="L43" s="2722"/>
      <c r="M43" s="2716"/>
      <c r="N43" s="2716"/>
      <c r="O43" s="2716"/>
      <c r="P43" s="3681"/>
      <c r="Q43" s="1352" t="str">
        <f t="shared" si="11"/>
        <v>内部装修</v>
      </c>
      <c r="R43" s="705" t="s">
        <v>14</v>
      </c>
      <c r="S43" s="706">
        <f t="shared" si="12"/>
        <v>100</v>
      </c>
      <c r="T43" s="705" t="s">
        <v>14</v>
      </c>
      <c r="U43" s="706">
        <f t="shared" si="13"/>
        <v>100</v>
      </c>
      <c r="V43" s="705" t="s">
        <v>14</v>
      </c>
      <c r="W43" s="706">
        <f t="shared" si="14"/>
        <v>100</v>
      </c>
      <c r="X43" s="1355"/>
      <c r="Y43" s="3683"/>
      <c r="Z43" s="1356" t="str">
        <f t="shared" si="15"/>
        <v>内部装修</v>
      </c>
      <c r="AA43" s="1353">
        <f t="shared" si="3"/>
        <v>1</v>
      </c>
      <c r="AB43" s="1353">
        <f t="shared" si="4"/>
        <v>1</v>
      </c>
      <c r="AC43" s="1962">
        <f t="shared" si="5"/>
        <v>1</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c r="L44" s="2722"/>
      <c r="M44" s="2716"/>
      <c r="N44" s="2716"/>
      <c r="O44" s="2716"/>
      <c r="P44" s="3681"/>
      <c r="Q44" s="1352" t="str">
        <f t="shared" si="11"/>
        <v>内部装修维护情况</v>
      </c>
      <c r="R44" s="705" t="s">
        <v>14</v>
      </c>
      <c r="S44" s="706">
        <f t="shared" si="12"/>
        <v>100</v>
      </c>
      <c r="T44" s="705" t="s">
        <v>14</v>
      </c>
      <c r="U44" s="706">
        <f t="shared" si="13"/>
        <v>100</v>
      </c>
      <c r="V44" s="705" t="s">
        <v>14</v>
      </c>
      <c r="W44" s="706">
        <f t="shared" si="14"/>
        <v>100</v>
      </c>
      <c r="X44" s="1355"/>
      <c r="Y44" s="368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1"/>
      <c r="Q45" s="1343">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2"/>
      <c r="Q47" s="1352">
        <f t="shared" si="11"/>
        <v>111</v>
      </c>
      <c r="R47" s="705" t="s">
        <v>14</v>
      </c>
      <c r="S47" s="706">
        <f t="shared" si="12"/>
        <v>100</v>
      </c>
      <c r="T47" s="705" t="s">
        <v>14</v>
      </c>
      <c r="U47" s="706">
        <f t="shared" si="13"/>
        <v>100</v>
      </c>
      <c r="V47" s="705" t="s">
        <v>14</v>
      </c>
      <c r="W47" s="706">
        <f t="shared" si="14"/>
        <v>100</v>
      </c>
      <c r="X47" s="1355"/>
      <c r="Y47" s="3684"/>
      <c r="Z47" s="1356">
        <f t="shared" si="15"/>
        <v>111</v>
      </c>
      <c r="AA47" s="1353">
        <f t="shared" si="3"/>
        <v>1</v>
      </c>
      <c r="AB47" s="1353">
        <f t="shared" si="4"/>
        <v>1</v>
      </c>
      <c r="AC47" s="1962">
        <f t="shared" si="5"/>
        <v>1</v>
      </c>
    </row>
    <row r="48" spans="1:29" ht="15">
      <c r="A48" s="430" t="s">
        <v>1708</v>
      </c>
      <c r="B48" s="431"/>
      <c r="C48" s="1154" t="s">
        <v>0</v>
      </c>
      <c r="D48" s="1155"/>
      <c r="E48" s="1156">
        <f>Sheet1!P53</f>
        <v>56905</v>
      </c>
      <c r="F48" s="1157"/>
      <c r="G48" s="1158">
        <f>Sheet1!P54</f>
        <v>50743</v>
      </c>
      <c r="H48" s="1159"/>
      <c r="I48" s="1156">
        <f>Sheet1!P55</f>
        <v>59351</v>
      </c>
      <c r="J48" s="436"/>
      <c r="K48" s="714"/>
      <c r="L48" s="2724"/>
      <c r="M48" s="2716"/>
      <c r="N48" s="2716"/>
      <c r="O48" s="2716"/>
      <c r="P48" s="3687" t="str">
        <f>A48</f>
        <v>成交单价（元/平方米）</v>
      </c>
      <c r="Q48" s="3676"/>
      <c r="R48" s="3677">
        <f>E48</f>
        <v>56905</v>
      </c>
      <c r="S48" s="3677"/>
      <c r="T48" s="3677">
        <f>G48</f>
        <v>50743</v>
      </c>
      <c r="U48" s="3677"/>
      <c r="V48" s="3677">
        <f>I48</f>
        <v>59351</v>
      </c>
      <c r="W48" s="3677"/>
      <c r="X48" s="397"/>
      <c r="Y48" s="712"/>
      <c r="Z48" s="397"/>
      <c r="AA48" s="397"/>
      <c r="AB48" s="397"/>
      <c r="AC48" s="578"/>
    </row>
    <row r="49" spans="1:29" ht="15.75" thickBot="1">
      <c r="A49" s="437" t="s">
        <v>1793</v>
      </c>
      <c r="B49" s="438"/>
      <c r="C49" s="1160">
        <f>R50</f>
        <v>56976</v>
      </c>
      <c r="D49" s="2317" t="s">
        <v>2138</v>
      </c>
      <c r="E49" s="1161">
        <f>R49</f>
        <v>59251</v>
      </c>
      <c r="F49" s="2318"/>
      <c r="G49" s="1160">
        <f>T49</f>
        <v>52302</v>
      </c>
      <c r="H49" s="2318"/>
      <c r="I49" s="1161">
        <f>V49</f>
        <v>59375</v>
      </c>
      <c r="J49" s="2318"/>
      <c r="K49" s="2320">
        <f>F49+H49+J49</f>
        <v>0</v>
      </c>
      <c r="L49" s="2724"/>
      <c r="M49" s="2716"/>
      <c r="N49" s="2716"/>
      <c r="O49" s="2716"/>
      <c r="P49" s="3687" t="str">
        <f>A49</f>
        <v>比较价值（元/平方米）</v>
      </c>
      <c r="Q49" s="3676"/>
      <c r="R49" s="3677">
        <f>IF(F1="售价",ROUND(PRODUCT(R48,AA7:AA47),0),ROUND(PRODUCT(R48,AA7:AA47),1))</f>
        <v>59251</v>
      </c>
      <c r="S49" s="3677"/>
      <c r="T49" s="3677">
        <f>IF(F1="售价",ROUND(PRODUCT(T48,AB7:AB47),0),ROUND(PRODUCT(T48,AB7:AB47),1))</f>
        <v>52302</v>
      </c>
      <c r="U49" s="3677"/>
      <c r="V49" s="3677">
        <f>IF(F1="售价",ROUND(PRODUCT(V48,AC7:AC47),0),ROUND(PRODUCT(V48,AC7:AC47),1))</f>
        <v>59375</v>
      </c>
      <c r="W49" s="3677"/>
      <c r="X49" s="397"/>
      <c r="Y49" s="397"/>
      <c r="Z49" s="397"/>
      <c r="AA49" s="397"/>
      <c r="AB49" s="397"/>
      <c r="AC49" s="578"/>
    </row>
    <row r="50" spans="1:29" ht="15.75" thickBot="1">
      <c r="A50" s="441" t="s">
        <v>1794</v>
      </c>
      <c r="B50" s="442"/>
      <c r="C50" s="1163">
        <f>R50</f>
        <v>56976</v>
      </c>
      <c r="D50" s="1163"/>
      <c r="E50" s="1163"/>
      <c r="F50" s="1163"/>
      <c r="G50" s="1163"/>
      <c r="H50" s="1163"/>
      <c r="I50" s="1163"/>
      <c r="J50" s="443"/>
      <c r="K50" s="715"/>
      <c r="L50" s="2724"/>
      <c r="M50" s="2716"/>
      <c r="N50" s="2716"/>
      <c r="O50" s="2716"/>
      <c r="P50" s="3765" t="str">
        <f>A50</f>
        <v>估价对象XX用房的比较价值（楼面单价，元/平方米）</v>
      </c>
      <c r="Q50" s="3766"/>
      <c r="R50" s="3767">
        <f>IF(F1="售价",ROUND(IF(D49="简单平均",AVERAGE(R49:V49),R49*F49+T49*H49+V49*J49),0),ROUND(IF(D49="简单平均",AVERAGE(R49:V49),R49*F49+T49*H49+V49*J49),1))</f>
        <v>56976</v>
      </c>
      <c r="S50" s="3767"/>
      <c r="T50" s="3767"/>
      <c r="U50" s="3767"/>
      <c r="V50" s="3767"/>
      <c r="W50" s="376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4.1226605746419454E-2</v>
      </c>
      <c r="F53" s="449" t="str">
        <f>IF(OR(E53&gt;=0.3,E53&lt;=-0.3),"超过30%","")</f>
        <v/>
      </c>
      <c r="G53" s="448">
        <f>IF(G48&lt;G49,G49/G48-1,G48/G49-1)</f>
        <v>3.0723449539838077E-2</v>
      </c>
      <c r="H53" s="449" t="str">
        <f>IF(OR(G53&gt;=0.3,G53&lt;=-0.3),"超过30%","")</f>
        <v/>
      </c>
      <c r="I53" s="448">
        <f>IF(I48&lt;I49,I49/I48-1,I48/I49-1)</f>
        <v>4.0437397853443358E-4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0.13286298803105034</v>
      </c>
      <c r="F54" s="449" t="str">
        <f>IF(OR(E54&gt;=0.2,E54&lt;=-0.2),"超过20%","")</f>
        <v/>
      </c>
      <c r="G54" s="448">
        <f>IF(G49&lt;I49,I49/G49-1,G49/I49-1)</f>
        <v>0.13523383427019997</v>
      </c>
      <c r="H54" s="449" t="str">
        <f>IF(OR(G54&gt;=0.2,G54&lt;=-0.2),"超过20%","")</f>
        <v/>
      </c>
      <c r="I54" s="448">
        <f>IF(I49&lt;E49,E49/I49-1,I49/E49-1)</f>
        <v>2.0927916828408222E-3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0.12143546893167523</v>
      </c>
      <c r="F55" s="449" t="str">
        <f>IF(OR(E55&gt;=0.3,E55&lt;=-0.3),"超过30%","")</f>
        <v/>
      </c>
      <c r="G55" s="448">
        <f>IF(G48&lt;I48,I48/G48-1,G48/I48-1)</f>
        <v>0.16963916205190865</v>
      </c>
      <c r="H55" s="449" t="str">
        <f>IF(OR(G55&gt;=0.3,G55&lt;=-0.3),"超过30%","")</f>
        <v/>
      </c>
      <c r="I55" s="448">
        <f>IF(I48&lt;E48,E48/I48-1,I48/E48-1)</f>
        <v>4.298392056937006E-2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3455">
        <f t="shared" ref="P59" si="17">EDATE(O59,-1)</f>
        <v>44743</v>
      </c>
      <c r="Q59" s="3455">
        <f t="shared" ref="Q59" si="18">EDATE(P59,-1)</f>
        <v>44713</v>
      </c>
      <c r="R59" s="3455">
        <f t="shared" ref="R59" si="19">EDATE(Q59,-1)</f>
        <v>44682</v>
      </c>
      <c r="S59" s="3455">
        <f t="shared" ref="S59" si="20">EDATE(R59,-1)</f>
        <v>44652</v>
      </c>
      <c r="T59" s="3455">
        <f t="shared" ref="T59" si="21">EDATE(S59,-1)</f>
        <v>44621</v>
      </c>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v>
      </c>
      <c r="J60" s="461">
        <v>99.5</v>
      </c>
      <c r="K60" s="461">
        <v>99.5</v>
      </c>
      <c r="L60" s="461">
        <v>99.5</v>
      </c>
      <c r="M60" s="462">
        <v>99.5</v>
      </c>
      <c r="N60" s="461">
        <v>99.5</v>
      </c>
      <c r="O60" s="462">
        <v>99.5</v>
      </c>
      <c r="P60" s="462">
        <v>99</v>
      </c>
      <c r="Q60" s="2661">
        <v>99</v>
      </c>
      <c r="R60" s="2661">
        <v>99</v>
      </c>
      <c r="S60" s="2661">
        <v>99</v>
      </c>
      <c r="T60" s="2661">
        <v>99</v>
      </c>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22">D69&amp;"（含）"&amp;"-"&amp;E69</f>
        <v>1（含）-2</v>
      </c>
      <c r="E68" s="496" t="str">
        <f t="shared" si="22"/>
        <v>2（含）-3</v>
      </c>
      <c r="F68" s="496" t="str">
        <f t="shared" si="22"/>
        <v>3（含）-</v>
      </c>
      <c r="G68" s="496" t="str">
        <f t="shared" si="22"/>
        <v>（含）-</v>
      </c>
      <c r="H68" s="496" t="str">
        <f t="shared" si="22"/>
        <v>（含）-</v>
      </c>
      <c r="I68" s="496" t="str">
        <f t="shared" si="22"/>
        <v>（含）-</v>
      </c>
      <c r="J68" s="496" t="str">
        <f t="shared" si="22"/>
        <v>（含）-</v>
      </c>
      <c r="K68" s="496" t="str">
        <f t="shared" si="22"/>
        <v>（含）-</v>
      </c>
      <c r="L68" s="496" t="str">
        <f t="shared" si="22"/>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23">C70-$K11</f>
        <v>100</v>
      </c>
      <c r="E70" s="493">
        <f t="shared" si="23"/>
        <v>100</v>
      </c>
      <c r="F70" s="493">
        <f t="shared" si="23"/>
        <v>100</v>
      </c>
      <c r="G70" s="493">
        <f t="shared" si="23"/>
        <v>100</v>
      </c>
      <c r="H70" s="493">
        <f t="shared" si="23"/>
        <v>100</v>
      </c>
      <c r="I70" s="493">
        <f t="shared" si="23"/>
        <v>100</v>
      </c>
      <c r="J70" s="493">
        <f t="shared" si="23"/>
        <v>100</v>
      </c>
      <c r="K70" s="493">
        <f t="shared" si="23"/>
        <v>100</v>
      </c>
      <c r="L70" s="493">
        <f t="shared" si="23"/>
        <v>100</v>
      </c>
      <c r="M70" s="494">
        <f t="shared" si="23"/>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6" t="s">
        <v>3446</v>
      </c>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4">C88-$K25</f>
        <v>100</v>
      </c>
      <c r="E88" s="493">
        <f t="shared" si="24"/>
        <v>100</v>
      </c>
      <c r="F88" s="493">
        <f t="shared" si="24"/>
        <v>100</v>
      </c>
      <c r="G88" s="493">
        <f t="shared" si="24"/>
        <v>100</v>
      </c>
      <c r="H88" s="493">
        <f t="shared" si="24"/>
        <v>100</v>
      </c>
      <c r="I88" s="493">
        <f t="shared" si="24"/>
        <v>100</v>
      </c>
      <c r="J88" s="493">
        <f t="shared" si="24"/>
        <v>100</v>
      </c>
      <c r="K88" s="493">
        <f t="shared" si="24"/>
        <v>100</v>
      </c>
      <c r="L88" s="493">
        <f t="shared" si="24"/>
        <v>100</v>
      </c>
      <c r="M88" s="493">
        <f t="shared" si="24"/>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3430</v>
      </c>
      <c r="D89" s="3453" t="s">
        <v>3432</v>
      </c>
      <c r="E89" s="3453" t="s">
        <v>3434</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5">D90-$K27</f>
        <v>96</v>
      </c>
      <c r="F90" s="493">
        <f t="shared" si="25"/>
        <v>94</v>
      </c>
      <c r="G90" s="493">
        <f t="shared" si="25"/>
        <v>92</v>
      </c>
      <c r="H90" s="493">
        <f t="shared" si="25"/>
        <v>90</v>
      </c>
      <c r="I90" s="493">
        <f t="shared" si="25"/>
        <v>88</v>
      </c>
      <c r="J90" s="493">
        <f t="shared" si="25"/>
        <v>86</v>
      </c>
      <c r="K90" s="493">
        <f t="shared" si="25"/>
        <v>84</v>
      </c>
      <c r="L90" s="493">
        <f t="shared" si="25"/>
        <v>82</v>
      </c>
      <c r="M90" s="493">
        <f t="shared" si="25"/>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53" t="s">
        <v>3437</v>
      </c>
      <c r="D91" s="3453" t="s">
        <v>3438</v>
      </c>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6">C92-$K28</f>
        <v>98</v>
      </c>
      <c r="E92" s="493">
        <f t="shared" si="26"/>
        <v>96</v>
      </c>
      <c r="F92" s="493">
        <f t="shared" si="26"/>
        <v>94</v>
      </c>
      <c r="G92" s="493">
        <f t="shared" si="26"/>
        <v>92</v>
      </c>
      <c r="H92" s="493">
        <f t="shared" si="26"/>
        <v>90</v>
      </c>
      <c r="I92" s="493">
        <f t="shared" si="26"/>
        <v>88</v>
      </c>
      <c r="J92" s="493">
        <f t="shared" si="26"/>
        <v>86</v>
      </c>
      <c r="K92" s="493">
        <f t="shared" si="26"/>
        <v>84</v>
      </c>
      <c r="L92" s="493">
        <f t="shared" si="26"/>
        <v>82</v>
      </c>
      <c r="M92" s="493">
        <f t="shared" si="26"/>
        <v>80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7">C102-$K33</f>
        <v>100</v>
      </c>
      <c r="E102" s="493">
        <f t="shared" si="27"/>
        <v>100</v>
      </c>
      <c r="F102" s="493">
        <f t="shared" si="27"/>
        <v>100</v>
      </c>
      <c r="G102" s="493">
        <f t="shared" si="27"/>
        <v>100</v>
      </c>
      <c r="H102" s="493">
        <f t="shared" si="27"/>
        <v>100</v>
      </c>
      <c r="I102" s="493">
        <f t="shared" si="27"/>
        <v>100</v>
      </c>
      <c r="J102" s="493">
        <f t="shared" si="27"/>
        <v>100</v>
      </c>
      <c r="K102" s="493">
        <f t="shared" si="27"/>
        <v>100</v>
      </c>
      <c r="L102" s="493">
        <f t="shared" si="27"/>
        <v>100</v>
      </c>
      <c r="M102" s="494">
        <f t="shared" si="27"/>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8">D104&amp;"(含)"&amp;"-"&amp;E104</f>
        <v>100(含)-150</v>
      </c>
      <c r="E103" s="527" t="str">
        <f t="shared" si="28"/>
        <v>150(含)-</v>
      </c>
      <c r="F103" s="527" t="str">
        <f t="shared" si="28"/>
        <v>(含)-</v>
      </c>
      <c r="G103" s="527" t="str">
        <f t="shared" si="28"/>
        <v>(含)-</v>
      </c>
      <c r="H103" s="527" t="str">
        <f t="shared" si="28"/>
        <v>(含)-</v>
      </c>
      <c r="I103" s="527" t="str">
        <f t="shared" si="28"/>
        <v>(含)-</v>
      </c>
      <c r="J103" s="527" t="str">
        <f t="shared" si="28"/>
        <v>(含)-</v>
      </c>
      <c r="K103" s="527" t="str">
        <f t="shared" si="28"/>
        <v>(含)-</v>
      </c>
      <c r="L103" s="527" t="str">
        <f t="shared" si="28"/>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150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3" t="s">
        <v>3435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9">C107-$K35</f>
        <v>100</v>
      </c>
      <c r="E107" s="493">
        <f t="shared" si="29"/>
        <v>100</v>
      </c>
      <c r="F107" s="493">
        <f t="shared" si="29"/>
        <v>100</v>
      </c>
      <c r="G107" s="493">
        <f t="shared" si="29"/>
        <v>100</v>
      </c>
      <c r="H107" s="493">
        <f t="shared" si="29"/>
        <v>100</v>
      </c>
      <c r="I107" s="493">
        <f t="shared" si="29"/>
        <v>100</v>
      </c>
      <c r="J107" s="493">
        <f t="shared" si="29"/>
        <v>100</v>
      </c>
      <c r="K107" s="493">
        <f t="shared" si="29"/>
        <v>100</v>
      </c>
      <c r="L107" s="493">
        <f t="shared" si="29"/>
        <v>100</v>
      </c>
      <c r="M107" s="494">
        <f t="shared" si="29"/>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3" t="s">
        <v>3436</v>
      </c>
      <c r="D108" s="3453" t="s">
        <v>3454</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30">C109-$K36</f>
        <v>100</v>
      </c>
      <c r="E109" s="493">
        <f t="shared" si="30"/>
        <v>100</v>
      </c>
      <c r="F109" s="493">
        <f t="shared" si="30"/>
        <v>100</v>
      </c>
      <c r="G109" s="493">
        <f t="shared" si="30"/>
        <v>100</v>
      </c>
      <c r="H109" s="493">
        <f t="shared" si="30"/>
        <v>100</v>
      </c>
      <c r="I109" s="493">
        <f t="shared" si="30"/>
        <v>100</v>
      </c>
      <c r="J109" s="493">
        <f t="shared" si="30"/>
        <v>100</v>
      </c>
      <c r="K109" s="493">
        <f t="shared" si="30"/>
        <v>100</v>
      </c>
      <c r="L109" s="493">
        <f t="shared" si="30"/>
        <v>100</v>
      </c>
      <c r="M109" s="494">
        <f t="shared" si="30"/>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31">D112+$K37</f>
        <v>100</v>
      </c>
      <c r="F112" s="493">
        <f t="shared" si="31"/>
        <v>100</v>
      </c>
      <c r="G112" s="493">
        <f t="shared" si="31"/>
        <v>100</v>
      </c>
      <c r="H112" s="493">
        <f t="shared" si="31"/>
        <v>100</v>
      </c>
      <c r="I112" s="493">
        <f t="shared" si="31"/>
        <v>100</v>
      </c>
      <c r="J112" s="493">
        <f t="shared" si="31"/>
        <v>100</v>
      </c>
      <c r="K112" s="493">
        <f t="shared" si="31"/>
        <v>100</v>
      </c>
      <c r="L112" s="493">
        <f t="shared" si="31"/>
        <v>100</v>
      </c>
      <c r="M112" s="493">
        <f t="shared" si="31"/>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32">D114-$K38</f>
        <v>100</v>
      </c>
      <c r="F114" s="493">
        <f t="shared" si="32"/>
        <v>100</v>
      </c>
      <c r="G114" s="493">
        <f t="shared" si="32"/>
        <v>100</v>
      </c>
      <c r="H114" s="493">
        <f t="shared" si="32"/>
        <v>100</v>
      </c>
      <c r="I114" s="493">
        <f t="shared" si="32"/>
        <v>100</v>
      </c>
      <c r="J114" s="493">
        <f t="shared" si="32"/>
        <v>100</v>
      </c>
      <c r="K114" s="493">
        <f t="shared" si="32"/>
        <v>100</v>
      </c>
      <c r="L114" s="493">
        <f t="shared" si="32"/>
        <v>100</v>
      </c>
      <c r="M114" s="493">
        <f t="shared" si="32"/>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3" t="s">
        <v>3448</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33">C116-$K39</f>
        <v>100</v>
      </c>
      <c r="E116" s="493">
        <f t="shared" si="33"/>
        <v>100</v>
      </c>
      <c r="F116" s="493">
        <f t="shared" si="33"/>
        <v>100</v>
      </c>
      <c r="G116" s="493">
        <f t="shared" si="33"/>
        <v>100</v>
      </c>
      <c r="H116" s="493">
        <f t="shared" si="33"/>
        <v>100</v>
      </c>
      <c r="I116" s="493">
        <f t="shared" si="33"/>
        <v>100</v>
      </c>
      <c r="J116" s="493">
        <f t="shared" si="33"/>
        <v>100</v>
      </c>
      <c r="K116" s="493">
        <f t="shared" si="33"/>
        <v>100</v>
      </c>
      <c r="L116" s="493">
        <f t="shared" si="33"/>
        <v>100</v>
      </c>
      <c r="M116" s="494">
        <f t="shared" si="33"/>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3" t="s">
        <v>3450</v>
      </c>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4">D120-$K41</f>
        <v>100</v>
      </c>
      <c r="F120" s="493">
        <f t="shared" si="34"/>
        <v>100</v>
      </c>
      <c r="G120" s="493">
        <f t="shared" si="34"/>
        <v>100</v>
      </c>
      <c r="H120" s="493">
        <f t="shared" si="34"/>
        <v>100</v>
      </c>
      <c r="I120" s="493">
        <f t="shared" si="34"/>
        <v>100</v>
      </c>
      <c r="J120" s="493">
        <f t="shared" si="34"/>
        <v>100</v>
      </c>
      <c r="K120" s="493">
        <f t="shared" si="34"/>
        <v>100</v>
      </c>
      <c r="L120" s="493">
        <f t="shared" si="34"/>
        <v>100</v>
      </c>
      <c r="M120" s="493">
        <f t="shared" si="34"/>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3" t="s">
        <v>3444</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5">C124-$K43</f>
        <v>100</v>
      </c>
      <c r="E124" s="493">
        <f t="shared" si="35"/>
        <v>100</v>
      </c>
      <c r="F124" s="493">
        <f t="shared" si="35"/>
        <v>100</v>
      </c>
      <c r="G124" s="493">
        <f t="shared" si="35"/>
        <v>100</v>
      </c>
      <c r="H124" s="493">
        <f t="shared" si="35"/>
        <v>100</v>
      </c>
      <c r="I124" s="493">
        <f t="shared" si="35"/>
        <v>100</v>
      </c>
      <c r="J124" s="493">
        <f t="shared" si="35"/>
        <v>100</v>
      </c>
      <c r="K124" s="493">
        <f t="shared" si="35"/>
        <v>100</v>
      </c>
      <c r="L124" s="493">
        <f t="shared" si="35"/>
        <v>100</v>
      </c>
      <c r="M124" s="494">
        <f t="shared" si="35"/>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9"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493"/>
      <c r="B4" s="3465" t="s">
        <v>917</v>
      </c>
      <c r="C4" s="3465"/>
      <c r="D4" s="3465"/>
      <c r="E4" s="1493"/>
    </row>
    <row r="5" spans="1:5" ht="16.5" thickTop="1">
      <c r="A5" s="1491"/>
      <c r="B5" s="3463" t="s">
        <v>909</v>
      </c>
      <c r="C5" s="1494" t="s">
        <v>910</v>
      </c>
      <c r="D5" s="850" t="e">
        <f ca="1">结果表!H101</f>
        <v>#REF!</v>
      </c>
      <c r="E5" s="1491"/>
    </row>
    <row r="6" spans="1:5" ht="15.75">
      <c r="A6" s="1491"/>
      <c r="B6" s="3463"/>
      <c r="C6" s="1494" t="s">
        <v>911</v>
      </c>
      <c r="D6" s="850" t="e">
        <f ca="1">NUMBERSTRING(INT(D5*10000),2)&amp;"元整"</f>
        <v>#REF!</v>
      </c>
      <c r="E6" s="1491"/>
    </row>
    <row r="7" spans="1:5" ht="15.75">
      <c r="A7" s="1491"/>
      <c r="B7" s="3468"/>
      <c r="C7" s="1495" t="s">
        <v>912</v>
      </c>
      <c r="D7" s="851" t="e">
        <f ca="1">结果表!H102</f>
        <v>#REF!</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t="e">
        <f ca="1">结果表!H107</f>
        <v>#REF!</v>
      </c>
      <c r="E13" s="1491"/>
    </row>
    <row r="14" spans="1:5" ht="15.75">
      <c r="A14" s="1491"/>
      <c r="B14" s="3463"/>
      <c r="C14" s="1494" t="s">
        <v>911</v>
      </c>
      <c r="D14" s="850" t="e">
        <f ca="1">NUMBERSTRING(INT(D13*10000),2)&amp;"元整"</f>
        <v>#REF!</v>
      </c>
      <c r="E14" s="1491"/>
    </row>
    <row r="15" spans="1:5" ht="15">
      <c r="A15" s="1491"/>
      <c r="B15" s="3468"/>
      <c r="C15" s="1495" t="s">
        <v>921</v>
      </c>
      <c r="D15" s="859" t="e">
        <f ca="1">结果表!H108</f>
        <v>#REF!</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3" t="s">
        <v>2844</v>
      </c>
      <c r="B1" s="3783"/>
      <c r="C1" s="3783"/>
      <c r="D1" s="3783"/>
      <c r="E1" s="3783"/>
      <c r="F1" s="3783"/>
      <c r="G1" s="3784"/>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1"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2"/>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5" t="s">
        <v>3186</v>
      </c>
      <c r="B1" s="3785"/>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90"/>
  </cols>
  <sheetData>
    <row r="1" spans="1:6" ht="15">
      <c r="A1" s="3786" t="s">
        <v>3237</v>
      </c>
      <c r="B1" s="3786"/>
      <c r="C1" s="3786"/>
      <c r="D1" s="3786"/>
      <c r="E1" s="3786"/>
      <c r="F1" s="3787"/>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45141</v>
      </c>
      <c r="B1" s="3210" t="s">
        <v>2843</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8" t="s">
        <v>2831</v>
      </c>
      <c r="S21" s="3789"/>
      <c r="T21" s="3789"/>
      <c r="U21" s="3789"/>
      <c r="V21" s="3789"/>
      <c r="W21" s="3789"/>
      <c r="X21" s="3165"/>
      <c r="Y21" s="3788" t="s">
        <v>2832</v>
      </c>
      <c r="Z21" s="3789"/>
      <c r="AA21" s="3789"/>
      <c r="AB21" s="3789"/>
      <c r="AC21" s="3789"/>
      <c r="AD21" s="3789"/>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G34:R59"/>
  <sheetViews>
    <sheetView topLeftCell="B21" workbookViewId="0">
      <selection activeCell="I32" sqref="I32"/>
    </sheetView>
  </sheetViews>
  <sheetFormatPr defaultRowHeight="13.5"/>
  <cols>
    <col min="10" max="10" width="14.375" bestFit="1" customWidth="1"/>
    <col min="13" max="13" width="16.625" bestFit="1" customWidth="1"/>
    <col min="18" max="18" width="14.625" bestFit="1" customWidth="1"/>
  </cols>
  <sheetData>
    <row r="34" spans="7:8">
      <c r="G34" s="3450" t="s">
        <v>3399</v>
      </c>
      <c r="H34">
        <v>5.8</v>
      </c>
    </row>
    <row r="35" spans="7:8">
      <c r="G35" s="3450" t="s">
        <v>3401</v>
      </c>
      <c r="H35" s="3450" t="s">
        <v>3400</v>
      </c>
    </row>
    <row r="36" spans="7:8">
      <c r="G36" s="3450" t="s">
        <v>3402</v>
      </c>
      <c r="H36">
        <v>8.1999999999999993</v>
      </c>
    </row>
    <row r="37" spans="7:8">
      <c r="G37" s="3450" t="s">
        <v>3403</v>
      </c>
      <c r="H37">
        <v>6.9</v>
      </c>
    </row>
    <row r="38" spans="7:8">
      <c r="G38" s="3450" t="s">
        <v>3404</v>
      </c>
      <c r="H38">
        <v>7.5</v>
      </c>
    </row>
    <row r="39" spans="7:8">
      <c r="G39" s="3450" t="s">
        <v>3405</v>
      </c>
      <c r="H39">
        <v>5.5</v>
      </c>
    </row>
    <row r="53" spans="12:18">
      <c r="L53" s="3801" t="s">
        <v>3419</v>
      </c>
      <c r="M53" s="3450" t="s">
        <v>3414</v>
      </c>
      <c r="N53">
        <v>110.36</v>
      </c>
      <c r="O53">
        <v>6280000</v>
      </c>
      <c r="P53">
        <f>ROUND(O53/N53,0)</f>
        <v>56905</v>
      </c>
      <c r="Q53" s="3450" t="s">
        <v>3417</v>
      </c>
      <c r="R53" s="3451">
        <v>44980</v>
      </c>
    </row>
    <row r="54" spans="12:18">
      <c r="L54" s="3802"/>
      <c r="M54" s="3450" t="s">
        <v>3415</v>
      </c>
      <c r="N54">
        <v>110.36</v>
      </c>
      <c r="O54">
        <v>5600000</v>
      </c>
      <c r="P54">
        <f>ROUND(O54/N54,0)</f>
        <v>50743</v>
      </c>
      <c r="Q54" s="3450" t="s">
        <v>3417</v>
      </c>
      <c r="R54" s="3451">
        <v>44623</v>
      </c>
    </row>
    <row r="55" spans="12:18">
      <c r="L55" s="3802"/>
      <c r="M55" s="3450" t="s">
        <v>3439</v>
      </c>
      <c r="N55">
        <v>110.36</v>
      </c>
      <c r="O55">
        <v>6550000</v>
      </c>
      <c r="P55">
        <f>ROUND(O55/N55,0)</f>
        <v>59351</v>
      </c>
      <c r="Q55" s="3450" t="s">
        <v>3417</v>
      </c>
      <c r="R55" s="3451">
        <v>45055</v>
      </c>
    </row>
    <row r="56" spans="12:18">
      <c r="L56" s="3450" t="s">
        <v>3420</v>
      </c>
    </row>
    <row r="57" spans="12:18">
      <c r="M57">
        <v>140.63</v>
      </c>
      <c r="N57">
        <v>11660</v>
      </c>
      <c r="O57" s="3450" t="s">
        <v>3417</v>
      </c>
      <c r="P57" s="3450" t="s">
        <v>3421</v>
      </c>
    </row>
    <row r="58" spans="12:18">
      <c r="M58">
        <v>141.26</v>
      </c>
      <c r="N58">
        <v>13000</v>
      </c>
      <c r="O58" s="3450" t="s">
        <v>3423</v>
      </c>
      <c r="P58" s="3450" t="s">
        <v>3422</v>
      </c>
    </row>
    <row r="59" spans="12:18">
      <c r="M59">
        <v>141</v>
      </c>
      <c r="N59">
        <v>15000</v>
      </c>
      <c r="O59" s="3450" t="s">
        <v>3425</v>
      </c>
      <c r="P59" s="3450" t="s">
        <v>3422</v>
      </c>
    </row>
  </sheetData>
  <mergeCells count="1">
    <mergeCell ref="L53:L55"/>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133.12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4" t="str">
        <f>结果表!A120</f>
        <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
      </c>
      <c r="B8" s="3474"/>
      <c r="C8" s="3474"/>
      <c r="D8" s="3474" t="e">
        <f ca="1">结果表!D122</f>
        <v>#REF!</v>
      </c>
      <c r="E8" s="3474"/>
      <c r="F8" s="3474"/>
      <c r="G8" s="3474"/>
      <c r="H8" s="3474"/>
      <c r="I8" s="3474"/>
    </row>
    <row r="9" spans="1:9" ht="15">
      <c r="A9" s="3475" t="s">
        <v>927</v>
      </c>
      <c r="B9" s="3475"/>
      <c r="C9" s="3475"/>
      <c r="D9" s="3475" t="e">
        <f ca="1">结果表!D123</f>
        <v>#REF!</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1" t="str">
        <f>IF(项目基本情况!B8="抵押","3.抵押双方在办理抵押登记手续时，应使用本公司出具的正式《房地产评估报告》，特提醒报告使用者注意。","——")</f>
        <v>——</v>
      </c>
      <c r="B13" s="3486"/>
      <c r="C13" s="3486"/>
      <c r="D13" s="3486"/>
    </row>
    <row r="14" spans="1:4" ht="15.75" customHeight="1">
      <c r="A14" s="3481" t="str">
        <f>IF(项目基本情况!B8="抵押","4.本次评估估价师所知悉的法定优先受偿款情况说明如下：","——")</f>
        <v>——</v>
      </c>
      <c r="B14" s="3486"/>
      <c r="C14" s="3486"/>
      <c r="D14" s="3486"/>
    </row>
    <row r="15" spans="1:4" ht="42" customHeight="1">
      <c r="A15" s="3481" t="str">
        <f>IF(项目基本情况!B8="抵押","（1）"&amp;CONCATENATE(项目基本情况!L20,项目基本情况!L21,项目基本情况!L22),"——")</f>
        <v>——</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45146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2023-08-08T05:23:40Z</dcterms:modified>
</cp:coreProperties>
</file>